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ovalley" sheetId="1" r:id="rId4"/>
    <sheet state="visible" name="Biolago" sheetId="2" r:id="rId5"/>
    <sheet state="visible" name="Biorn" sheetId="3" r:id="rId6"/>
    <sheet state="visible" name="Biowin" sheetId="4" r:id="rId7"/>
    <sheet state="visible" name="ci3" sheetId="5" r:id="rId8"/>
    <sheet state="visible" name="Atlantapole" sheetId="6" r:id="rId9"/>
    <sheet state="visible" name="BioM" sheetId="7" r:id="rId10"/>
    <sheet state="visible" name="Bionow" sheetId="8" r:id="rId11"/>
    <sheet state="visible" name="Biopartner" sheetId="9" r:id="rId12"/>
    <sheet state="visible" name="Biocat" sheetId="10" r:id="rId13"/>
    <sheet state="visible" name="Bioregio" sheetId="11" r:id="rId14"/>
    <sheet state="visible" name="EU_startups" sheetId="12" r:id="rId15"/>
  </sheets>
  <definedNames/>
  <calcPr/>
</workbook>
</file>

<file path=xl/sharedStrings.xml><?xml version="1.0" encoding="utf-8"?>
<sst xmlns="http://schemas.openxmlformats.org/spreadsheetml/2006/main" count="1822" uniqueCount="1298">
  <si>
    <t>https://www.biovalley.de/mitglieder/liste-der-mitglieder</t>
  </si>
  <si>
    <t>//*[contains(concat( " ", @class, " " ), concat( " ", "cbUserListRowCol1", " " ))]</t>
  </si>
  <si>
    <t>//*[contains(concat( " ", @class, " " ), concat( " ", "cbUserListRowCol2", " " ))]</t>
  </si>
  <si>
    <t>//*[contains(concat( " ", @class, " " ), concat( " ", "cbUserListFL_email", " " ))]</t>
  </si>
  <si>
    <t>//p</t>
  </si>
  <si>
    <t>Name</t>
  </si>
  <si>
    <t>Link</t>
  </si>
  <si>
    <t>Address line1</t>
  </si>
  <si>
    <t>Address line2</t>
  </si>
  <si>
    <t>Address line3</t>
  </si>
  <si>
    <t>Phone number</t>
  </si>
  <si>
    <t>Summary</t>
  </si>
  <si>
    <t>https://www.biolago.org/en/members.html</t>
  </si>
  <si>
    <t>//td</t>
  </si>
  <si>
    <t>Columns :</t>
  </si>
  <si>
    <t>Strength field</t>
  </si>
  <si>
    <t>Focus</t>
  </si>
  <si>
    <t>Location</t>
  </si>
  <si>
    <t>https://www.biorn.org/members-profile</t>
  </si>
  <si>
    <t>//*[contains(concat( " ", @class, " " ), concat( " ", "L0MOmM", " " ))]</t>
  </si>
  <si>
    <t>Main sector</t>
  </si>
  <si>
    <t>Subsector</t>
  </si>
  <si>
    <t>https://biowin.org/biowins-members/</t>
  </si>
  <si>
    <t>//*[contains(concat( " ", @class, " " ), concat( " ", "sftgridbox", " " ))]</t>
  </si>
  <si>
    <t>https://ci-3.de/partners/</t>
  </si>
  <si>
    <t>https://www.atlanpolebiotherapies.eu/members/?v=1&amp;r=&amp;type=digital&amp;reg=&amp;act=&amp;ent=</t>
  </si>
  <si>
    <t>https://www.atlanpolebiotherapies.eu/members/page/2/?v=1&amp;r&amp;type=digital&amp;reg&amp;act&amp;ent#038;r&amp;type=digital&amp;reg&amp;act&amp;ent</t>
  </si>
  <si>
    <t>https://www.atlanpolebiotherapies.eu/members/page/3/?v=1&amp;r&amp;type=digital&amp;reg&amp;act&amp;ent#038;r&amp;type=digital&amp;reg&amp;act&amp;ent</t>
  </si>
  <si>
    <t>https://www.atlanpolebiotherapies.eu/members/page/4/?v=1&amp;r&amp;type=digital&amp;reg&amp;act&amp;ent#038;r&amp;type=digital&amp;reg&amp;act&amp;ent</t>
  </si>
  <si>
    <t>https://www.atlanpolebiotherapies.eu/members/page/5/?v=1&amp;r&amp;type=digital&amp;reg&amp;act&amp;ent#038;r&amp;type=digital&amp;reg&amp;act&amp;ent</t>
  </si>
  <si>
    <t>//h2</t>
  </si>
  <si>
    <t>//*[contains(concat( " ", @class, " " ), concat( " ", "grid80", " " ))]</t>
  </si>
  <si>
    <t>Title</t>
  </si>
  <si>
    <t>https://www.bio-m.org/en/facts-and-figures/company-database.html?tx_biomdatabaseconnection_pi1%5Baction%5D=list&amp;tx_biomdatabaseconnection_pi1%5Bcontroller%5D=Company&amp;cHash=209ab06839bccaa6ba9ebd55b506af60</t>
  </si>
  <si>
    <t>https://www.bio-m.org/en/facts-and-figures/company-database.html?tx_biomdatabaseconnection_pi1%5Bpage_index%5D=2&amp;tx_biomdatabaseconnection_pi1%5Baction%5D=list&amp;tx_biomdatabaseconnection_pi1%5Bcontroller%5D=Company&amp;cHash=e524e941dde1262c1366befcb1220eb8</t>
  </si>
  <si>
    <t>https://www.bio-m.org/en/facts-and-figures/company-database.html?tx_biomdatabaseconnection_pi1%5Bpage_index%5D=3&amp;tx_biomdatabaseconnection_pi1%5Baction%5D=list&amp;tx_biomdatabaseconnection_pi1%5Bcontroller%5D=Company&amp;cHash=8f10d6d1ef3786bc6fd35b38db337177</t>
  </si>
  <si>
    <t>https://www.bio-m.org/en/facts-and-figures/company-database.html?tx_biomdatabaseconnection_pi1%5Bpage_index%5D=4&amp;tx_biomdatabaseconnection_pi1%5Baction%5D=list&amp;tx_biomdatabaseconnection_pi1%5Bcontroller%5D=Company&amp;cHash=cb4d737826476baee0d32125d3a4a65f</t>
  </si>
  <si>
    <t>https://www.bio-m.org/en/facts-and-figures/company-database.html?tx_biomdatabaseconnection_pi1%5Bpage_index%5D=5&amp;tx_biomdatabaseconnection_pi1%5Baction%5D=list&amp;tx_biomdatabaseconnection_pi1%5Bcontroller%5D=Company&amp;cHash=9414574add4d1fc4c50d2f7e6722a953</t>
  </si>
  <si>
    <t>https://www.bio-m.org/en/facts-and-figures/company-database.html?tx_biomdatabaseconnection_pi1%5Bpage_index%5D=6&amp;tx_biomdatabaseconnection_pi1%5Baction%5D=list&amp;tx_biomdatabaseconnection_pi1%5Bcontroller%5D=Company&amp;cHash=d47d584152dc53c58d0c488dab19a57a</t>
  </si>
  <si>
    <t>https://www.bio-m.org/en/facts-and-figures/company-database.html?tx_biomdatabaseconnection_pi1%5Bpage_index%5D=7&amp;tx_biomdatabaseconnection_pi1%5Baction%5D=list&amp;tx_biomdatabaseconnection_pi1%5Bcontroller%5D=Company&amp;cHash=a968215df550f9f9877f7c6ac009ebc1</t>
  </si>
  <si>
    <t>https://www.bio-m.org/en/facts-and-figures/company-database.html?tx_biomdatabaseconnection_pi1%5Bpage_index%5D=8&amp;tx_biomdatabaseconnection_pi1%5Baction%5D=list&amp;tx_biomdatabaseconnection_pi1%5Bcontroller%5D=Company&amp;cHash=56ea038f30cb9776e36ee88e412655c1</t>
  </si>
  <si>
    <t>https://www.bio-m.org/en/facts-and-figures/company-database.html?tx_biomdatabaseconnection_pi1%5Bpage_index%5D=9&amp;tx_biomdatabaseconnection_pi1%5Baction%5D=list&amp;tx_biomdatabaseconnection_pi1%5Bcontroller%5D=Company&amp;cHash=4c494962d9edd89583754ee3b0363321</t>
  </si>
  <si>
    <t>https://www.bio-m.org/en/facts-and-figures/company-database.html?tx_biomdatabaseconnection_pi1%5Bpage_index%5D=10&amp;tx_biomdatabaseconnection_pi1%5Baction%5D=list&amp;tx_biomdatabaseconnection_pi1%5Bcontroller%5D=Company&amp;cHash=543971381b1a6415897f07534301e884</t>
  </si>
  <si>
    <t>https://www.bio-m.org/en/facts-and-figures/company-database.html?tx_biomdatabaseconnection_pi1%5Bpage_index%5D=11&amp;tx_biomdatabaseconnection_pi1%5Baction%5D=list&amp;tx_biomdatabaseconnection_pi1%5Bcontroller%5D=Company&amp;cHash=8a30b4abb1eb2245aa90f34a57b3a78a</t>
  </si>
  <si>
    <t>https://www.bio-m.org/en/facts-and-figures/company-database.html?tx_biomdatabaseconnection_pi1%5Bpage_index%5D=12&amp;tx_biomdatabaseconnection_pi1%5Baction%5D=list&amp;tx_biomdatabaseconnection_pi1%5Bcontroller%5D=Company&amp;cHash=ea21b18d314a2af7422bf8ad3d5d0651</t>
  </si>
  <si>
    <t>https://www.bio-m.org/en/facts-and-figures/company-database.html?tx_biomdatabaseconnection_pi1%5Bpage_index%5D=13&amp;tx_biomdatabaseconnection_pi1%5Baction%5D=list&amp;tx_biomdatabaseconnection_pi1%5Bcontroller%5D=Company&amp;cHash=cb527aea1e56ff365ca55d1d7a798067</t>
  </si>
  <si>
    <t>https://www.bio-m.org/en/facts-and-figures/company-database.html?tx_biomdatabaseconnection_pi1%5Bpage_index%5D=14&amp;tx_biomdatabaseconnection_pi1%5Baction%5D=list&amp;tx_biomdatabaseconnection_pi1%5Bcontroller%5D=Company&amp;cHash=e30edfeacae8430cf46ec964471c0adb</t>
  </si>
  <si>
    <t>https://www.bio-m.org/en/facts-and-figures/company-database.html?tx_biomdatabaseconnection_pi1%5Bpage_index%5D=15&amp;tx_biomdatabaseconnection_pi1%5Baction%5D=list&amp;tx_biomdatabaseconnection_pi1%5Bcontroller%5D=Company&amp;cHash=28be56b18fc617f7f5e3ed4cc7cdf870</t>
  </si>
  <si>
    <t>https://www.bio-m.org/en/facts-and-figures/company-database.html?tx_biomdatabaseconnection_pi1%5Bpage_index%5D=16&amp;tx_biomdatabaseconnection_pi1%5Baction%5D=list&amp;tx_biomdatabaseconnection_pi1%5Bcontroller%5D=Company&amp;cHash=effb85f14ef9cf7fb460d601263d9c42</t>
  </si>
  <si>
    <t>https://www.bio-m.org/en/facts-and-figures/company-database.html?tx_biomdatabaseconnection_pi1%5Bpage_index%5D=17&amp;tx_biomdatabaseconnection_pi1%5Baction%5D=list&amp;tx_biomdatabaseconnection_pi1%5Bcontroller%5D=Company&amp;cHash=4f54e3cf0025b54c528a35c07aa2f628</t>
  </si>
  <si>
    <t>https://www.bio-m.org/en/facts-and-figures/company-database.html?tx_biomdatabaseconnection_pi1%5Bpage_index%5D=18&amp;tx_biomdatabaseconnection_pi1%5Baction%5D=list&amp;tx_biomdatabaseconnection_pi1%5Bcontroller%5D=Company&amp;cHash=297157c24d87faad528812b00c49d25d</t>
  </si>
  <si>
    <t>https://www.bio-m.org/en/facts-and-figures/company-database.html?tx_biomdatabaseconnection_pi1%5Bpage_index%5D=19&amp;tx_biomdatabaseconnection_pi1%5Baction%5D=list&amp;tx_biomdatabaseconnection_pi1%5Bcontroller%5D=Company&amp;cHash=582daf4b0caf36e8fad9310f34551ff3</t>
  </si>
  <si>
    <t>https://www.bio-m.org/en/facts-and-figures/company-database.html?tx_biomdatabaseconnection_pi1%5Bpage_index%5D=20&amp;tx_biomdatabaseconnection_pi1%5Baction%5D=list&amp;tx_biomdatabaseconnection_pi1%5Bcontroller%5D=Company&amp;cHash=4076bbec07eeace1e15e2f5fbe84e31a</t>
  </si>
  <si>
    <t>//*[contains(concat( " ", @class, " " ), concat( " ", "large-9", " " ))]</t>
  </si>
  <si>
    <t>Field</t>
  </si>
  <si>
    <t>Tag</t>
  </si>
  <si>
    <t>Address</t>
  </si>
  <si>
    <t>Contact info</t>
  </si>
  <si>
    <t>https://www.bionow.co.uk/membership/bionow-members</t>
  </si>
  <si>
    <t>//*[contains(concat( " ", @class, " " ), concat( " ", "media-heading", " " ))]</t>
  </si>
  <si>
    <t>//*[contains(concat( " ", @class, " " ), concat( " ", "mb-0", " " )) and (((count(preceding-sibling::*) + 1) = 2) and parent::*)]</t>
  </si>
  <si>
    <t>//*[contains(concat( " ", @class, " " ), concat( " ", "mb-0", " " )) and (((count(preceding-sibling::*) + 1) = 4) and parent::*)]</t>
  </si>
  <si>
    <t>//*[contains(concat( " ", @class, " " ), concat( " ", "mb-0", " " )) and (((count(preceding-sibling::*) + 1) = 6) and parent::*)]</t>
  </si>
  <si>
    <t>//*[contains(concat( " ", @class, " " ), concat( " ", "mb-0", " " )) and (((count(preceding-sibling::*) + 1) = 8) and parent::*)]</t>
  </si>
  <si>
    <t>https://members.biopartner.co.uk/search?sort=alpha&amp;notes=&amp;fulltext=&amp;index=&amp;country=&amp;group_id=&amp;custom=&amp;id=&amp;free_slot_id=&amp;page=1</t>
  </si>
  <si>
    <t>https://members.biopartner.co.uk/search?notes=&amp;fulltext=&amp;index=&amp;sort=alpha&amp;country=&amp;group_id=&amp;custom=&amp;id=&amp;free_slot_id=&amp;page=2</t>
  </si>
  <si>
    <t>https://members.biopartner.co.uk/search?notes=&amp;fulltext=&amp;index=&amp;sort=alpha&amp;country=&amp;group_id=&amp;custom=&amp;id=&amp;free_slot_id=&amp;page=3</t>
  </si>
  <si>
    <t>https://members.biopartner.co.uk/search?notes=&amp;fulltext=&amp;index=&amp;sort=alpha&amp;country=&amp;group_id=&amp;custom=&amp;id=&amp;free_slot_id=&amp;page=4</t>
  </si>
  <si>
    <t>https://members.biopartner.co.uk/search?notes=&amp;fulltext=&amp;index=&amp;sort=alpha&amp;country=&amp;group_id=&amp;custom=&amp;id=&amp;free_slot_id=&amp;page=5</t>
  </si>
  <si>
    <t>https://members.biopartner.co.uk/search?notes=&amp;fulltext=&amp;index=&amp;sort=alpha&amp;country=&amp;group_id=&amp;custom=&amp;id=&amp;free_slot_id=&amp;page=6</t>
  </si>
  <si>
    <t>https://members.biopartner.co.uk/search?notes=&amp;fulltext=&amp;index=&amp;sort=alpha&amp;country=&amp;group_id=&amp;custom=&amp;id=&amp;free_slot_id=&amp;page=7</t>
  </si>
  <si>
    <t>//h3</t>
  </si>
  <si>
    <t>//*[contains(concat( " ", @class, " " ), concat( " ", "profiletext", " " ))]</t>
  </si>
  <si>
    <t>//*[contains(concat( " ", @class, " " ), concat( " ", "profile-org-website", " " ))]</t>
  </si>
  <si>
    <t>//*+[contains(concat( " ", @class, " " ), concat( " ", "profile-org-website", " " ))]//*[contains(concat( " ", @class, " " ), concat( " ", "profile-answer", " " ))]</t>
  </si>
  <si>
    <t>//*[contains(concat( " ", @class, " " ), concat( " ", "metatext", " " ))]</t>
  </si>
  <si>
    <t>Summary1</t>
  </si>
  <si>
    <t>Summary2</t>
  </si>
  <si>
    <t>Summary3</t>
  </si>
  <si>
    <t>Summary4</t>
  </si>
  <si>
    <t>Summary5</t>
  </si>
  <si>
    <t>Summary6</t>
  </si>
  <si>
    <t>Summary7</t>
  </si>
  <si>
    <t>To delete</t>
  </si>
  <si>
    <t>Twitter</t>
  </si>
  <si>
    <t>@LSXLeaders</t>
  </si>
  <si>
    <t>name</t>
  </si>
  <si>
    <t>location</t>
  </si>
  <si>
    <t>contact_person</t>
  </si>
  <si>
    <t>phone</t>
  </si>
  <si>
    <t>founded</t>
  </si>
  <si>
    <t>summary</t>
  </si>
  <si>
    <t>email</t>
  </si>
  <si>
    <t>website</t>
  </si>
  <si>
    <t>sector</t>
  </si>
  <si>
    <t>specialisation</t>
  </si>
  <si>
    <t>3D Tech Omega Zeta</t>
  </si>
  <si>
    <t>C/ Valencia nº1, Complejo Roma 2000, Planta -1, Módulo 208015 Barcelona BarcelonaEspanya</t>
  </si>
  <si>
    <t>Contacte Corporatiu - 3D Tech Omega Zeta, Contacte Corporatiu</t>
  </si>
  <si>
    <t>'</t>
  </si>
  <si>
    <t>3D Tech Omega Zeta specializes in developing and producing 3D digital interactive and edutainment solutions for healthcare and medical professionals, scientific teams, professors, students, pharmaceutical industry and universities. The company is focused to enhance comprehension and knowledge retention in life sciences and healthcare fields with the digital technologies and data analytics.</t>
  </si>
  <si>
    <t>info@3dtoz.com</t>
  </si>
  <si>
    <t>http://www.3dtechomegazeta.com</t>
  </si>
  <si>
    <t>Digital Health</t>
  </si>
  <si>
    <t>Online Health Communities</t>
  </si>
  <si>
    <t>3D-Shaper Medical</t>
  </si>
  <si>
    <t>Carrer de París, 17908036 Barcelona BarcelonaEspanya</t>
  </si>
  <si>
    <t>3D-Shaper Medical is a medical imaging software development company. Our mission is to provide the medical community with advanced imaging software solutions for musculoskeletal diseases. 3D-Shaper Medical is a spin-off company of Galgo Medical. Most of our team is based in Barcelona, Spain. Our flagship product is 3D-Shaper®: a medical imaging software that provides an advanced 3D analysis of the cortical and trabecular bone from 2D DXA scans using the 3D-DXA technology.</t>
  </si>
  <si>
    <t>https://www.3d-shaper.com/en/index.html</t>
  </si>
  <si>
    <t>Medical Big Data &amp; analytics</t>
  </si>
  <si>
    <t>3dthinks</t>
  </si>
  <si>
    <t>Carrer de la Blanqueria 1308003 Barcelona BarcelonaEspanya</t>
  </si>
  <si>
    <t>Startup that helps people with disabilites to be more independent, through affordable innovations,Software &amp; 3D printing</t>
  </si>
  <si>
    <t>https://3dthinks.com/</t>
  </si>
  <si>
    <t>3DVisiomedicavirtual</t>
  </si>
  <si>
    <t>Apartat de Correus, 1008171 Sant Cugat del Vallès BarcelonaEspanya</t>
  </si>
  <si>
    <t>Santiago Pellicer Pérez, Assessor</t>
  </si>
  <si>
    <t>'+34 934 525 411</t>
  </si>
  <si>
    <t>3DVisiomedicavirtual is a company with more than 10 years of experience in the digital content market. Our goal is to bring to the market our Anatomy Portal software, which is based on ICT and allows you to view it online via the Internet.</t>
  </si>
  <si>
    <t>info@visionmedicavirtual.com</t>
  </si>
  <si>
    <t>http://www.visionmedicavirtual.com</t>
  </si>
  <si>
    <t>E-Medical Record / E-health Record</t>
  </si>
  <si>
    <t>8Wires</t>
  </si>
  <si>
    <t>Carrer Pau Claris, 100, 608009 Barcelona BarcelonaEspanya</t>
  </si>
  <si>
    <t>Anxo Armada Fernández, CEO &amp; Founder</t>
  </si>
  <si>
    <t>'+34 630 83 19 59</t>
  </si>
  <si>
    <t>8Wires is specialized in data analysis with big data tools, machine learning / IA and visualization. They have designed a mobile application with guidelines to reduce risk factors before and after a medical operation</t>
  </si>
  <si>
    <t>8wires@8wires.io</t>
  </si>
  <si>
    <t>http://8wires.io</t>
  </si>
  <si>
    <t>Abeona Health</t>
  </si>
  <si>
    <t>Carrer Sant Elies, 29, B, 7-108006 Barcelona BarcelonaEspanya</t>
  </si>
  <si>
    <t>Ricky Pérez Wienese, Founder</t>
  </si>
  <si>
    <t>'+34 935 311 290</t>
  </si>
  <si>
    <t>Abeona is a mobile application that allows 
control the symptoms of the cancer patient 
through an intelligent system of reporting and alerts. The medical professional can send self-help guidelines through the application. This allows reducing the number of calls and visits, and the patient feels more accompanied.</t>
  </si>
  <si>
    <t>abeona@abeonahealth.com</t>
  </si>
  <si>
    <t>http://www.abeonahealth.com/</t>
  </si>
  <si>
    <t>Abzu</t>
  </si>
  <si>
    <t>Carrer d'Àlaba 10008018 Barcelona BarcelonaEspanya</t>
  </si>
  <si>
    <t>Elizabeth Gil Roldan, Comunicació Corporativa</t>
  </si>
  <si>
    <t>Founded in January 2018, Abzu is a deep tech startup with offices in Copenhagen, Barcelona and Basel. Abzu’s artificial intelligence, the QLattice, accelerates analysis and insights through transparent and explainable models and inspires data scientists to be more scientific. The aim of the company is to accelerate drug discovery through better drug design and data-informed lead optimization. Researchers use Abzu to understand disease mechanisms and find biomarkers.</t>
  </si>
  <si>
    <t>info@abzu.ai</t>
  </si>
  <si>
    <t>https://www.abzu.ai/</t>
  </si>
  <si>
    <t>Predictive Analytics</t>
  </si>
  <si>
    <t>AcceXible</t>
  </si>
  <si>
    <t>Plaça Pau Vila, 1, Barcelona Tech City08003 Barcelona BarcelonaEspanya</t>
  </si>
  <si>
    <t>AcceXible is a startup developing a speech analysis platform based on AI models to early detect diseases as dementia, parkinson and coronary disease, among others.</t>
  </si>
  <si>
    <t>https://accexible.com/</t>
  </si>
  <si>
    <t>Remote Monitoring</t>
  </si>
  <si>
    <t>AdaptiveCity</t>
  </si>
  <si>
    <t>Carrer del Solsonés, 2. Business Park Mas Blau08820 PRAT DE LLOBREGAT, EL BarcelonaEspanya</t>
  </si>
  <si>
    <t>Andrea Massara, Co-Founder</t>
  </si>
  <si>
    <t>'+34 935 481 300</t>
  </si>
  <si>
    <t>Adaptivecity is Barcelona-based startup designing and developing clear and fluid cross-channel experiences for smart citizens. The company has launched Familyar, an app to prevent loneliness and social isolation of older adults by deeply involving families and health services into the caregiving process. Familyar uses technology to foster and scale social innovation moving from an individual model of care to a network model of care. Familyar helps families, Town Councils, healthcare and social services to keep older adults in their community longer decreasing demand on the system.</t>
  </si>
  <si>
    <t>andrea@adaptivecity.com</t>
  </si>
  <si>
    <t>http://www.adaptivecity.com/</t>
  </si>
  <si>
    <t>Mobile Fitness / Health Apps</t>
  </si>
  <si>
    <t>Adiccare</t>
  </si>
  <si>
    <t>Via Laietana, 3908003 Barcelona BarcelonaEspanya</t>
  </si>
  <si>
    <t>ADICCARE is the first technological platform for monitoring people with drug addiction aiming to reduce the risk of relapse.ADICCARE platform includes management software for rehab centres and therapists as well as an APP for patients.It enables rehab centres to monitor the progress of their former patients and to improve their outcomes. Similarly, ADCCARE is a tool that reminds patients that they are under therapy motivating them to be sober.</t>
  </si>
  <si>
    <t>http://www.adiccare.com/</t>
  </si>
  <si>
    <t>Aether Tech</t>
  </si>
  <si>
    <t>Passeig de Sant Gervasi 308022 BarcelonaEspanya</t>
  </si>
  <si>
    <t>Daniel Oliva, CEO &amp; Co-founder</t>
  </si>
  <si>
    <t>EMILY is an eHealth start-up for treating and monitoring respiratory patients</t>
  </si>
  <si>
    <t>hello@aethertech.com</t>
  </si>
  <si>
    <t>Aimentia Healthtech</t>
  </si>
  <si>
    <t>Caballero, 7608029 Barcelona BarcelonaEspanya</t>
  </si>
  <si>
    <t>Edgar Jorba, CEO</t>
  </si>
  <si>
    <t>Standardization of clinical psychology through Artificial Intelligence (AI). Aimentia collects the user experience to provide a constant flow of data improving the capacity and efficiency of therapy providing diagnostic suggestions, metrics, data-based solutions and objectiveness</t>
  </si>
  <si>
    <t>info@aimentia.com</t>
  </si>
  <si>
    <t>https://www.aimentia.com/</t>
  </si>
  <si>
    <t>AIS Channel</t>
  </si>
  <si>
    <t>Villarroel, 17008036 Barcelona BarcelonaEspanya</t>
  </si>
  <si>
    <t>'(+34) 932 271 788</t>
  </si>
  <si>
    <t>Spin-off of Institut d'Investigacions Biomèdiques August Pi i Sunyer (IDIBAPS). AIS was created to share the latest changes in surgical techniques with working professionals in the scientific community, as well as to train tomorrow’s professionals.</t>
  </si>
  <si>
    <t>https://aischannel.com/</t>
  </si>
  <si>
    <t>Telehealth</t>
  </si>
  <si>
    <t>Allergeneat</t>
  </si>
  <si>
    <t>Carrer Creixell, 8208720 Vilafranca del Penedes BarcelonaEspanya</t>
  </si>
  <si>
    <t>Quin Sanchez Orduña (INACTIU), CEO &amp; Founder</t>
  </si>
  <si>
    <t>Allergeneat is a mobile app that solves the problem of people with food allergies or food intolerances.</t>
  </si>
  <si>
    <t>info@allergeneat.com</t>
  </si>
  <si>
    <t>http://www.allergeneat.com</t>
  </si>
  <si>
    <t>Allinone Healthpro</t>
  </si>
  <si>
    <t>Av. Diagonal 403, 3º4º08008 Barcelona BarcelonaEspanya</t>
  </si>
  <si>
    <t>Tania Caballé, Socio Directora</t>
  </si>
  <si>
    <t>AIO HealthPro develops software solutions to help doctors manage, market and grow their practice. First and only Omnichannel platform All in One Doctors that provides commercial and marketing teams of pharmaceutical laboratories with an effective tool to strengthen their relationship with doctors, in a respectful and safe environment.</t>
  </si>
  <si>
    <t>info@aiohealthpro.com</t>
  </si>
  <si>
    <t>http://www.allinonedoctors.com/</t>
  </si>
  <si>
    <t>Other</t>
  </si>
  <si>
    <t>Alma Medical Imaging</t>
  </si>
  <si>
    <t>Carrer Vilana 4B, 4a planta, 1a porta08022 Barcelona BarcelonaEspanya</t>
  </si>
  <si>
    <t>Javier Herrero, President</t>
  </si>
  <si>
    <t>'+34 932 380 592</t>
  </si>
  <si>
    <t>Alma Medical Imaging develops digital solutions for the healthcare ecosystem based on digital medical imaging.</t>
  </si>
  <si>
    <t>info@alma-medical.com</t>
  </si>
  <si>
    <t>http://www.alma-medical.com/</t>
  </si>
  <si>
    <t>Alteraid</t>
  </si>
  <si>
    <t>Carrer Esteve Terradas, Edifici RDIT PMT08860 CASTELLDEFELS BarcelonaEspanya</t>
  </si>
  <si>
    <t>Jesus Alcober, Co-Founder</t>
  </si>
  <si>
    <t>Alteraid offers solutions to enhance people's quality of life, such as T'Activa (https://casala.casa/), which lessens older people's feelings of isolation.</t>
  </si>
  <si>
    <t>info@alteraid.com</t>
  </si>
  <si>
    <t>http://www.alteraid.com/</t>
  </si>
  <si>
    <t>Amalfi Analytics</t>
  </si>
  <si>
    <t>Carrer de la Llacuna 162, planta 308018 Barcelona BarcelonaEspanya</t>
  </si>
  <si>
    <t>Ricard Gavaldà, CEO &amp; Founder</t>
  </si>
  <si>
    <t>'+34 607 444 844</t>
  </si>
  <si>
    <t>Amalfi Analytics provides analytic tools for planners and managers in healthcare to understand their true problems, and help them put resources where they are needed most. The company's platform includes modules for chronic disease management, emergency service predictive management, absenteeism prediction, and territorial plannings. It originated as a spin-off of Universitat Politècnica de Catalunya (UPC).</t>
  </si>
  <si>
    <t>info@amalfianalytics.com</t>
  </si>
  <si>
    <t>https://www.amalfianalytics.com</t>
  </si>
  <si>
    <t>Amelia Virtual Care</t>
  </si>
  <si>
    <t>Carrer Cartagena 187, entl 908013 Barcelona BarcelonaEspanya</t>
  </si>
  <si>
    <t>Xavier Palomer Ripoll, Co-founder &amp; Chairman</t>
  </si>
  <si>
    <t>'+34 936 764 077</t>
  </si>
  <si>
    <t>XRHealth</t>
  </si>
  <si>
    <t>xavier@psious.com</t>
  </si>
  <si>
    <t>https://ameliavirtualcare.com/</t>
  </si>
  <si>
    <t>Atomian</t>
  </si>
  <si>
    <t>Avinguda de les Corts Catalanes, 9-1108173 Sant Cugat del Vallès BarcelonaEspanya</t>
  </si>
  <si>
    <t>Miquel Montero, CEO &amp; Founder</t>
  </si>
  <si>
    <t>'+34 935 040 991</t>
  </si>
  <si>
    <t>Atomian is a technology company that develops and sells disruptive software products based on cognitive computing (Artificial Intelligence). Atomian’s aim is to provide all organisations with a digital brain, a cognitive database that allows company data to be used through natural language, learns and automates business processes.</t>
  </si>
  <si>
    <t>info@atomian.com</t>
  </si>
  <si>
    <t>http://www.atomian.com/</t>
  </si>
  <si>
    <t>Aureel</t>
  </si>
  <si>
    <t>Carrer Esteve Terradas, 1. Edifici RDIT ESA08860 Castelldefels BarcelonaEspanya</t>
  </si>
  <si>
    <t>Daniel Montañés, CEO</t>
  </si>
  <si>
    <t>'+34 686 39 47 44</t>
  </si>
  <si>
    <t>Aureel is a sports electronics company which is working on the development of products focused on training in competition, which are specific to running and swimming. The company's first product, especially designed for runners.</t>
  </si>
  <si>
    <t>info@aureel.com</t>
  </si>
  <si>
    <t>http://aureel.com/</t>
  </si>
  <si>
    <t>Health &amp; Wellness (IoT)</t>
  </si>
  <si>
    <t>AYO by Novalogy</t>
  </si>
  <si>
    <t>Carrer de Sant Antoni Maria Claret 16708025 Barcelona BarcelonaEspanya</t>
  </si>
  <si>
    <t>Novalogy's mission is helping millions upgrade their health in order to lead happier and more active lives. The company's first product is AYO - an advanced wearable technology that regulates the circadian rhythm</t>
  </si>
  <si>
    <t>http://goayo.com</t>
  </si>
  <si>
    <t>BetaScreen</t>
  </si>
  <si>
    <t>Spin-off of BarcelonaBeta Brain Research Center (BBRC) and Fundació Pasqual Maragall per a la recerca sobre l’Alzheimer (FPM). BetaScreen is a technology company based on the exploitation of machine learning algorithms that predict the abnormality of Alzheimer's biomarkers from brain MRIs.</t>
  </si>
  <si>
    <t>Bettair</t>
  </si>
  <si>
    <t>Bettair is a Platform as a Service (PaaS) that permits, for the first time, to really map air pollution in cities on a previously unimaginable scale based on a large deployment of outstandingly accurate gas sensors by using an advanced post-processing algorithm.</t>
  </si>
  <si>
    <t>https://bettaircities.com/es/home-page-es/</t>
  </si>
  <si>
    <t>Better Care</t>
  </si>
  <si>
    <t>Carrer del Xaloc 608203 Sabadell BarcelonaEspanya</t>
  </si>
  <si>
    <t>'+34 937 424 017</t>
  </si>
  <si>
    <t>Better Care is a software platform which captures biomedical signals from a wide range of medical devices (monitors, invasive ventilators, noninvasive ventilators, etc.) including medical knowledge implemented by configurable alarms based on complex algorithms which improve patient safety. Better Care is a spin-off of Parc Taulí Hospital Universitari (CSPT).</t>
  </si>
  <si>
    <t>info@bettercare.es</t>
  </si>
  <si>
    <t>http://bettercare.es/</t>
  </si>
  <si>
    <t>Bioaccez Controls</t>
  </si>
  <si>
    <t>Carrer Arnald de Corcó, 4308560 Manlleu BarcelonaEspanya</t>
  </si>
  <si>
    <t>Ramon Parladé, Director</t>
  </si>
  <si>
    <t>'+34 938 515 493</t>
  </si>
  <si>
    <t>Bioaccez is a technology company that provides solutions in the areas of access control, identification and location of people and objects, combining RFID, biometrics and video solutions. The company works in the sectors of tunnel construction, industry and healthcare.</t>
  </si>
  <si>
    <t>info@bioaccez.com</t>
  </si>
  <si>
    <t>http://www.bioaccez.com</t>
  </si>
  <si>
    <t>Bitac</t>
  </si>
  <si>
    <t>Sant Antoni Maria Claret, 16708025 Barcelona BarcelonaEspanya</t>
  </si>
  <si>
    <t>Mireia Rodríguez Naqué, CoFounder &amp; Business Development Manager</t>
  </si>
  <si>
    <t>'+34 93 518 13 51</t>
  </si>
  <si>
    <t>BiTAC is a platform of services that combines a team of specialists in clinical lab, clinical documentalists, IT managers, Chemists and a terminological data base and a group of tools for its exploitation. BiTAC’s main objective is to provide the adoption of standards in the laboratory data, a strictly necessary requirement to guarantee the semantic interoperability in the EHR (Electronic Health Record) projects.</t>
  </si>
  <si>
    <t>bitac@bitac.com</t>
  </si>
  <si>
    <t>http://bitac.com</t>
  </si>
  <si>
    <t>Blistersuit</t>
  </si>
  <si>
    <t>Carrer Doctor Antoni Pujadas, 1208830 Sant Boi de Llobregat BarcelonaEspanya</t>
  </si>
  <si>
    <t>Inma Clérigues, Responsable comunicació</t>
  </si>
  <si>
    <t>Blistersuite SPD software allows pharmacies to manage compliance aid production seamlessly. The company also produces MAR charts and patient information charts, providing a visual solution for accurate medication management.</t>
  </si>
  <si>
    <t>com.bs@blistersuite.com</t>
  </si>
  <si>
    <t>http://www.blistersuite.es/</t>
  </si>
  <si>
    <t>Bonoom</t>
  </si>
  <si>
    <t>Carrer Cardener, 8, Baixos 108024 Barcelona BarcelonaEspanya</t>
  </si>
  <si>
    <t>Victor Vicens, Co-Founder &amp; CEO</t>
  </si>
  <si>
    <t>'+34 931 890 042</t>
  </si>
  <si>
    <t>Bonoom Healthcare is a cloud-based digital platform which delivers innovative tools for health professionals to help them manage their daily activity.</t>
  </si>
  <si>
    <t>info@bonoom.com</t>
  </si>
  <si>
    <t>https://professionals.bonoom.com/</t>
  </si>
  <si>
    <t>Patient Engagement</t>
  </si>
  <si>
    <t>Brain Health Solutions</t>
  </si>
  <si>
    <t>Camí de Can Ruti, s/n08916 Badalona BarcelonaEspanya</t>
  </si>
  <si>
    <t>David Hurtado Aldeguer, Responsable Marketing Estratégico y Ventas E-Health</t>
  </si>
  <si>
    <t>'+34 934 977 700</t>
  </si>
  <si>
    <t>Brain Health Solutions focuses on marketing the latest treatments on cognitive remote rehabilitation through NeuroPersonalTrainer®, the Guttmann platform for patients in the areas of adults with acquired brain injury, disorders in pediatric age, dementia, mental health, and intellectual disability. Spin-off of Institut Guttmann. Hospital de Neurorrehabilitació.</t>
  </si>
  <si>
    <t>contacto@gnpt.es</t>
  </si>
  <si>
    <t>http://www.gnpt.es</t>
  </si>
  <si>
    <t>Braingaze</t>
  </si>
  <si>
    <t>Torre TCM 2 | Av. Ernest Lluch, 3208302 Mataró BarcelonaEspanya</t>
  </si>
  <si>
    <t>Laszlo H. Bax, Co-Founder and CEO</t>
  </si>
  <si>
    <t>'+34 931 696 572</t>
  </si>
  <si>
    <t>Braingaze develops next-generation Mind Tracking Solutions that predict and identify personal behavior for clinical and commercial applications. The method of Braingaze is based on the discovery of the predictive power of small eye movements as a marker for cognitive visual processing. Tme company is a spin-off of Universitat de Barcelona (UB) and Institució Catalana de Recerca i Estudis Avançats (ICREA).</t>
  </si>
  <si>
    <t>info@braingaze.com</t>
  </si>
  <si>
    <t>http://www.braingaze.com/</t>
  </si>
  <si>
    <t>Broomx</t>
  </si>
  <si>
    <t>Carrer de Badajoz 8808005 Barcelona BarcelonaEspanya</t>
  </si>
  <si>
    <t>Ignasi Capellà, CMO &amp; Co-founder</t>
  </si>
  <si>
    <t>'+34 658078815</t>
  </si>
  <si>
    <t>Immersive technology company, offering solutions to create immersive and interactive experiences in physical spaces for a wide variety of users. Our products and services, combining hardware, software, and content platform makes Broomx the right partner for organizations in markets such as healthcare, senior care, corporate well-being and others.</t>
  </si>
  <si>
    <t>ignasi@broomx.com</t>
  </si>
  <si>
    <t>https://broomx.com/</t>
  </si>
  <si>
    <t>Butler Scientifics</t>
  </si>
  <si>
    <t>Carrer Tir, 5-7,15a planta, 1a porta08035 Barcelona BarcelonaEspanya</t>
  </si>
  <si>
    <t>Ray G. Butler, CEO</t>
  </si>
  <si>
    <t>Butler Scientifics develops technologies that are aimed at making the scientific and clinical research processes easier, faster and much more effective. The company develops autoDiscovery, an intelligent automated exploratory data analysis software that unveils complex relationships hidden in the data files of scientific experiments and clinical studies.</t>
  </si>
  <si>
    <t>info@butlerscientifics.com</t>
  </si>
  <si>
    <t>http://www.butlerscientifics.com</t>
  </si>
  <si>
    <t>Cannabity Healthcare</t>
  </si>
  <si>
    <t>plaça josep maria cuevas calvería, 3, 22@08005 Barcelona BarcelonaEspanya</t>
  </si>
  <si>
    <t>we are a team of health, research, communication and marketing professionals who believe in the potential of hemp and CBD as treatments and aids for multiple diseases.</t>
  </si>
  <si>
    <t>https://cannabity.com/</t>
  </si>
  <si>
    <t>CardioSOS</t>
  </si>
  <si>
    <t>Avinguda Europa, Local 808700 IGUALADA BarcelonaEspanya</t>
  </si>
  <si>
    <t>Jordi Ventura, Managing Director</t>
  </si>
  <si>
    <t>'+34 938 055 022</t>
  </si>
  <si>
    <t>Cardiosos Global Protection SL is a company born with the aim to provide protection of health in any sector. The company's first objective is to save a victim who has suffered cardiac arrest by early resuscitation with the use of the defibrillator.</t>
  </si>
  <si>
    <t>jordi.ventura@cardiosos.com</t>
  </si>
  <si>
    <t>http://www.cardiosos.com</t>
  </si>
  <si>
    <t>Cardiumm</t>
  </si>
  <si>
    <t>Romans, 108025 Barcelona BarcelonaEspanya</t>
  </si>
  <si>
    <t>https://www.cardiumm.com/</t>
  </si>
  <si>
    <t>Care Respite</t>
  </si>
  <si>
    <t>Carrer Moscou, 2008005 Barcelona BarcelonaEspanya</t>
  </si>
  <si>
    <t>Martha Mackay Jarque, Co-Founder and CEO</t>
  </si>
  <si>
    <t>'+34 932 210 213</t>
  </si>
  <si>
    <t>CARE RESPITE is an intelligent monitoring device that helps caring patients and dependent people, at home (e-health) and in institutions. It is based in patented computer vision and artificial intelligence technology that can register and interpret preprogramed risk events that may occur to the dependent person even in the dark. The device will send alerts to caregivers whenever a situation occurs previously identified as risky by the caregiver. Spin-off of Universitat Autònoma de Barcelona (UAB) and Universitat de Barcelona (UB)</t>
  </si>
  <si>
    <t>gemmaserrahima@gmail.com</t>
  </si>
  <si>
    <t>http://www.care-respite.com/</t>
  </si>
  <si>
    <t>CDClinic</t>
  </si>
  <si>
    <t>Avinguda de Cerdanyola 7508173 Sant Cugat del Vallès BarcelonaEspanya</t>
  </si>
  <si>
    <t>CDClinic is a software and clinical application in the cloud that allows you to manage your medical practice.</t>
  </si>
  <si>
    <t>https://www.cdclinic.es/</t>
  </si>
  <si>
    <t>Change Dyslexia</t>
  </si>
  <si>
    <t>Carrer Doctor Trueta, 183, 3-508005 Barcelona BarcelonaEspanya</t>
  </si>
  <si>
    <t>Luz Rello, Founder</t>
  </si>
  <si>
    <t>Change Dyslexia empowers individuals with dyslexia and institutions with research based applications.</t>
  </si>
  <si>
    <t>info@changedyslexia.org</t>
  </si>
  <si>
    <t>changedyslexia.org</t>
  </si>
  <si>
    <t>CITA.iO</t>
  </si>
  <si>
    <t>Passeig de Sant Gervasi, 4608022 Barcelona BarcelonaEspanya</t>
  </si>
  <si>
    <t>Contacte Corporatiu - CITA.iO, Contacte Corporatiu</t>
  </si>
  <si>
    <t>CITA.iO is a technological platform which allows the management of online consultations and non-face-to-face therapies. The company allows to fully manage online consultation and conduct non-contact therapies through a confidential and secure video conferencing service.</t>
  </si>
  <si>
    <t>info@cita.io</t>
  </si>
  <si>
    <t>https://cita.io/</t>
  </si>
  <si>
    <t>Click Doctors</t>
  </si>
  <si>
    <t>Passeig de Gràcia, 11, Principal08008 Barcelona BarcelonaEspanya</t>
  </si>
  <si>
    <t>Begoña Barturen, CEO &amp; Founder</t>
  </si>
  <si>
    <t>'+34 900 802 289</t>
  </si>
  <si>
    <t>Click Doctors is a company that has designed an app freemium which integrates monitoring, medical video conference, personalized pharmaceutical care and onsite assistance through the mobile, which is especially interesting for people who live far from a hospital or in rural areas.</t>
  </si>
  <si>
    <t>info@clickdoctors.es</t>
  </si>
  <si>
    <t>http://clickdoctors.es/</t>
  </si>
  <si>
    <t>Clinic Point</t>
  </si>
  <si>
    <t>Carrer Josep Tarradellas 123, 3-B08018 Barcelona BarcelonaEspanya</t>
  </si>
  <si>
    <t>Marc Montserrat, Co-Founder and CEO</t>
  </si>
  <si>
    <t>'+34 931 770 077</t>
  </si>
  <si>
    <t>ClinicPoint Healthcare provides online health services in Spain. The company provides online retail services for medicines in the Spanish market. The company offers medical services, such as surgeries and treatments in the field of ophthalmology, cosmetic surgery, assisted reproduction, general surgery, obesity, orthopedic surgery, odontolgy, and diagnostic imaging services and controls.</t>
  </si>
  <si>
    <t>soporte@clinicpoint.com</t>
  </si>
  <si>
    <t>http://www.clinicpoint.com/</t>
  </si>
  <si>
    <t>Health Services Search</t>
  </si>
  <si>
    <t>ColorSensing</t>
  </si>
  <si>
    <t>Carrer Martí i Franquès 1, P208028 Barcelona BarcelonaEspanya</t>
  </si>
  <si>
    <t>Maria Eugenia Martín Hidalgo, CEO &amp; Co-Founder</t>
  </si>
  <si>
    <t>ColorSensing develops color-correction-based applications, from digital image color normalization, to color-change-based tests digitization. We are a spin-off of Universitat de Barcelona (UB).</t>
  </si>
  <si>
    <t>memartin@color-sensing.com</t>
  </si>
  <si>
    <t>http://www.color-sensing.com</t>
  </si>
  <si>
    <t>ColorsTheApp</t>
  </si>
  <si>
    <t>Espanya</t>
  </si>
  <si>
    <t>Silvia Lladós López, CEO</t>
  </si>
  <si>
    <t>ColorsTheApp, la app que reduce tu estrés. Detectamos tu estado emocional y te ayudamos a reducir tu estrés diario mientras duermes.</t>
  </si>
  <si>
    <t>colorstheapp@gmail.com</t>
  </si>
  <si>
    <t>https://www.colorstheapp.info/</t>
  </si>
  <si>
    <t>ConnecThink</t>
  </si>
  <si>
    <t>Tel.lers 5 Escala B08221 Terrassa BarcelonaEspanya</t>
  </si>
  <si>
    <t>Xavier Blanch Trilla, CCO</t>
  </si>
  <si>
    <t>We identify and develop customised artificial intelligence solutions for your company or organisation. We apply AI and Machine Learning in different sectors in order to obtain better results for your business.</t>
  </si>
  <si>
    <t>xavier.blanch@connecthink.eu</t>
  </si>
  <si>
    <t>http://www.connecthink.pro</t>
  </si>
  <si>
    <t>Crisalix</t>
  </si>
  <si>
    <t>Carrer Trafalgar, 608010 Barcelona BarcelonaEspanya</t>
  </si>
  <si>
    <t>Alejandro Felip Gimenez, Country Manager for Spain</t>
  </si>
  <si>
    <t>Crisalix is a company focused on web-based 3D simulation for plastic surgery and aesthetic procedures. In Spain,the company operates as a development and support center of Crisalix SA.</t>
  </si>
  <si>
    <t>info@crisalix.com</t>
  </si>
  <si>
    <t>https://www.crisalix.com</t>
  </si>
  <si>
    <t>Cube Technology Innovation</t>
  </si>
  <si>
    <t>Avda. Ernest LLuch, 32 Tecnocampus TCM208302 Mataró BarcelonaEspanya</t>
  </si>
  <si>
    <t>Joan Gil, CEO</t>
  </si>
  <si>
    <t>App used to check and select the most suitable foods for you.</t>
  </si>
  <si>
    <t>angeles@thecubeweb.com</t>
  </si>
  <si>
    <t>http://myhealthwatcher.es/</t>
  </si>
  <si>
    <t>Cuideo</t>
  </si>
  <si>
    <t>Conchita supervia, 6Barcelona BarcelonaEspanya</t>
  </si>
  <si>
    <t>Adrià Buzón, CEO</t>
  </si>
  <si>
    <t>'+34 935 520 021</t>
  </si>
  <si>
    <t>Cuideo is an online platform that allows families to hire and manage care for the elderly at home. The company helps older people to perform daily tasks, improving their quality of life with affection, empathy, patience, passion, and professionalism, as well as allowing them to live longer in their homes.</t>
  </si>
  <si>
    <t>support@cuideo.com</t>
  </si>
  <si>
    <t>https://cuideo.com/</t>
  </si>
  <si>
    <t>Cuore Care</t>
  </si>
  <si>
    <t>Carrer d'Alfons XII08008 Barcelona BarcelonaEspanya</t>
  </si>
  <si>
    <t>Juanma Gea, Doctor of pediatrics</t>
  </si>
  <si>
    <t>'+34 657 972 742</t>
  </si>
  <si>
    <t>CuoreCare is the online platform that reinvents the care of older adults and children at home, allowing them to develop, learn and enjoy day by day with a caregiver.</t>
  </si>
  <si>
    <t>info@cuorecare.es</t>
  </si>
  <si>
    <t>http://www.cuorecare.es</t>
  </si>
  <si>
    <t>Dana (A thousand colibris)</t>
  </si>
  <si>
    <t>Carrer de Pujades 11208005 Barcelona BarcelonaEspanya</t>
  </si>
  <si>
    <t>Dana is a 24/7 digital guidance app for women to improve their mental, physical and social
health through expert-backed information, connectivity with mothers and motherhood
professionals. Our solution will tackle prevention, assistance, monitoring and treatment of
motherhood disorders.</t>
  </si>
  <si>
    <t>https://www.athousandcolibris.com/</t>
  </si>
  <si>
    <t>Dicus</t>
  </si>
  <si>
    <t>c/Rosselló 273,08008 Barcelona BarcelonaEspanya</t>
  </si>
  <si>
    <t>Lorena Jané Buxó, CEO and Founder</t>
  </si>
  <si>
    <t>'+34 650 23 87 03</t>
  </si>
  <si>
    <t>DICUS develops a communication tool exclusive for physicians that allows a fast, direct and secure communication.</t>
  </si>
  <si>
    <t>dicus.startup@gmail.com</t>
  </si>
  <si>
    <t>http://www.dicus.es/</t>
  </si>
  <si>
    <t>Doctor Networks</t>
  </si>
  <si>
    <t>Diet Creator</t>
  </si>
  <si>
    <t>Carrer Cartellá, 1008031 Barcelona BarcelonaEspanya</t>
  </si>
  <si>
    <t>Joaquin Torres, CEO</t>
  </si>
  <si>
    <t>Diet Creator is a nutrition program that makes the work of nutrition professionals (nutritionists, doctors and personal trainers) easier by connecting them to their clients/patients through applications and wearables. The company's online software allows nutritionists and patients the creation of personalized diets, instantaneous nutritional calculation, patient management, evolution charts and charts, anthropometric measures, body composition with bioimpedance scales, health questionnaires, sports follow-up, caloric activity expenditure calculation and supplementation module.</t>
  </si>
  <si>
    <t>support@diet-creator.com</t>
  </si>
  <si>
    <t>https://www.diet-creator.com/es</t>
  </si>
  <si>
    <t>Digimevo</t>
  </si>
  <si>
    <t>Travessera de les Corts 26208014 Barcelona BarcelonaEspanya</t>
  </si>
  <si>
    <t>Xavier Lleixa, CMO &amp; Co-Founder</t>
  </si>
  <si>
    <t>'+93 220 62 48</t>
  </si>
  <si>
    <t>DigimEvo is a start-up company that seeks to evolve the way the medical sector communicates. The online platform aims to improve the patient experience in the waiting room while educating with proven content.</t>
  </si>
  <si>
    <t>xavier.lleixa@digimevo.com</t>
  </si>
  <si>
    <t>https://www.digimevo.com/</t>
  </si>
  <si>
    <t>Doctivi</t>
  </si>
  <si>
    <t>Carrer Anselm Clavé, 6, Baixos08912 Badalona BarcelonaEspanya</t>
  </si>
  <si>
    <t>Jaume Valls, Co-Founder</t>
  </si>
  <si>
    <t>'+34 658887124</t>
  </si>
  <si>
    <t>Doctivi offers a telemedicine system that allows booking online appointments and remote communication between the doctor and patient.</t>
  </si>
  <si>
    <t>jaume.valls@doctivi.com</t>
  </si>
  <si>
    <t>https://www.doctivi.com</t>
  </si>
  <si>
    <t>Doctomatic</t>
  </si>
  <si>
    <t>Carmen Rios Benton, Co-founder &amp; COO</t>
  </si>
  <si>
    <t>'+34 93 271 23 52</t>
  </si>
  <si>
    <t>Current standard of care of remote patient monitoring solutions require painful integrations with medical devices that make the service tough to handle and inoperable at some points.
Doctomatic offers a device &amp; condition agnostic AI-powered SaaS platform.
By just downloading an app, patients can scan the results from any domestic medical device and automatically provide the data to their doctors.
It's a simple to use technology which accelerates access to critical health information guaranteeing optimisation &amp; cost efficacy of patient treatment.</t>
  </si>
  <si>
    <t>info@doctomatic.com</t>
  </si>
  <si>
    <t>https://doctomatic.com/</t>
  </si>
  <si>
    <t>Doctoralia</t>
  </si>
  <si>
    <t>Carrer Josep Pla, 2, B208019 Barcelona BarcelonaEspanya</t>
  </si>
  <si>
    <t>'+34 931 770 078</t>
  </si>
  <si>
    <t>DocPlanner</t>
  </si>
  <si>
    <t>http://www.doctoralia.es</t>
  </si>
  <si>
    <t>Doctuo</t>
  </si>
  <si>
    <t>Carrer de Còrsega, 30108008 Barcelona BarcelonaEspanya</t>
  </si>
  <si>
    <t>Alex Perez Lillo, Co-fundador &amp; Lead Developer</t>
  </si>
  <si>
    <t>'+34 911 798 452</t>
  </si>
  <si>
    <t>Doctuo is an online medical platform that connects doctors, patients and medical insurers. The company provides a meeting place for both people seeking health-related information or health care services, and those who can offer what they are looking for a community of medical professionals and patients where both groups find the solution to their needs.</t>
  </si>
  <si>
    <t>atencioncliente@inade.org</t>
  </si>
  <si>
    <t>http://www.doctuo.es/</t>
  </si>
  <si>
    <t>Doctux Mhealth Services</t>
  </si>
  <si>
    <t>Carrer Panamà 3808190 Sant Cugat del Vallés BarcelonaEspanya</t>
  </si>
  <si>
    <t>Joan Martí Ramis, Founder and CEO</t>
  </si>
  <si>
    <t>'+34 616 421 829</t>
  </si>
  <si>
    <t>Doctux is an online service created to facilitate the communication between doctor and patient by providing an instant message system with which physician and patient can hold a conversation.</t>
  </si>
  <si>
    <t>info@doctux.com</t>
  </si>
  <si>
    <t>http://www.doctux.com/</t>
  </si>
  <si>
    <t>DOMMA</t>
  </si>
  <si>
    <t>Plaça de Pau Vila 108039 Barcelona BarcelonaEspanya</t>
  </si>
  <si>
    <t>Maria Arqué, Ginecóloga Integrativa</t>
  </si>
  <si>
    <t>'+34 613 152 397</t>
  </si>
  <si>
    <t>DOMMA was born with the purpose of positivizing female maturity and breaking down the taboo of menopause, a natural stage that ALL of us will go through: mothers, daughters, grandmothers, sisters. We accompany women by facilitating their path to maturity, offering a holistic plan to master the symptoms of menopause.</t>
  </si>
  <si>
    <t>hola@wearedomma.com</t>
  </si>
  <si>
    <t>https://wearedomma.com/</t>
  </si>
  <si>
    <t>Doole Health</t>
  </si>
  <si>
    <t>Carretera de Canyet s/n - Hospital Germans Trias i Pujol08916 Badalona BarcelonaEspanya</t>
  </si>
  <si>
    <t>José María Rodríguez, Global Business Development Director en Doole Health</t>
  </si>
  <si>
    <t>'+34626669105</t>
  </si>
  <si>
    <t>Doole is a Telehealth platform for medical virtual visits, monitoring and patient empowerment that strengthens the link between patients and health professionals</t>
  </si>
  <si>
    <t>jmruiz@doolehealth.com</t>
  </si>
  <si>
    <t>https://www.doolehealth.com/</t>
  </si>
  <si>
    <t>Dosis Health</t>
  </si>
  <si>
    <t>ENTENÇA, 20208029 Barcelona BarcelonaEspanya</t>
  </si>
  <si>
    <t>Enrique Falcon, CEO</t>
  </si>
  <si>
    <t>At Dosis we aim to improve doctor-patient interaction by enabling seamless health information exchange and data activation that allows people to be in control of their health and helps doctors to have a the full picture and insights of their patients.</t>
  </si>
  <si>
    <t>https://dosisapp.com/</t>
  </si>
  <si>
    <t>Dribia Data Research</t>
  </si>
  <si>
    <t>Carrer roc boronat, 117 edifici MediaTIC segona planta08018 Barcelona BarcelonaEspanya</t>
  </si>
  <si>
    <t>Pol Colomer, Co-Founder &amp; Data Scientist</t>
  </si>
  <si>
    <t>Dribia Data Research S.L ., aims to apply the scientific method to solve business problems. They measure and model data to better understand a business and work side by side with their clients through their systematic methodology.</t>
  </si>
  <si>
    <t>info@dribia.com</t>
  </si>
  <si>
    <t>http://www.dribia.com</t>
  </si>
  <si>
    <t>Durcal</t>
  </si>
  <si>
    <t>Ronda de la Universitat 31, 4º 1º08007 Barcelona BarcelonaEspanya</t>
  </si>
  <si>
    <t>In Durcal we want to bring technology to everyone in a simple and intuitive way so that everyone can receive affection wherever they are and whatever age they are.</t>
  </si>
  <si>
    <t>https://durcal.com/es/</t>
  </si>
  <si>
    <t>Dycare (Dynamic Care Solutions)</t>
  </si>
  <si>
    <t>Carrer Mare De Deu Del Port, 37108038 Barcelona BarcelonaEspanya</t>
  </si>
  <si>
    <t>Silvia Raga, Co-founder and CEO</t>
  </si>
  <si>
    <t>DyCare is a biotech company that specializes in development of innovative solutions for the control and clinical assessment of diseases. The company focuses on developing devices that integrate wearable sensors technology to be used in medical and rehabilitation field.</t>
  </si>
  <si>
    <t>info@dycare.com</t>
  </si>
  <si>
    <t>https://www.dycare.com/es/</t>
  </si>
  <si>
    <t>eCareYou Innovation</t>
  </si>
  <si>
    <t>Crta. Sant Cugat, 63 A 2º Floor, Office 208191 Rubí BarcelonaEspanya</t>
  </si>
  <si>
    <t>Dolors López, Marketing &amp; Communication</t>
  </si>
  <si>
    <t>eCareYou Innovation is a company dedicated to the development of projects and products related to self-care of health and welfare to be distributed through third parties worldwide. The company's products include Enna pelvic ball, E-nn fever, E-nn cups, etc.</t>
  </si>
  <si>
    <t>informacion@ecareyou.com</t>
  </si>
  <si>
    <t>http://www.ecareyou.es/</t>
  </si>
  <si>
    <t>Edryx Healthcare</t>
  </si>
  <si>
    <t>Edryx Healthcare develops solutions to increase healthcare efficiency and security, as well as to improve the quality perceived by patients and their families through:
- Innovation &amp; technology applied to healthcare
- Humanization projects</t>
  </si>
  <si>
    <t>https://edryx.net/</t>
  </si>
  <si>
    <t>eHealthAI</t>
  </si>
  <si>
    <t>Avinguda Catalunya, 4943300 Mont-roig del Camp TarragonaEspanya</t>
  </si>
  <si>
    <t>eHealthAI is developing digital healthcare solutions with artificial intelligence – machine learning to assist doctors and empower patients to diagnose and manage your health issues.</t>
  </si>
  <si>
    <t>http://ehealthai.eu/</t>
  </si>
  <si>
    <t>Artificial Intelligence (AI)</t>
  </si>
  <si>
    <t>El Coco</t>
  </si>
  <si>
    <t>Riera de sant miquel, 308006 Barcelona BarcelonaEspanya</t>
  </si>
  <si>
    <t>Contacte Corporatiu - El Coco, Contacte Corporatiu</t>
  </si>
  <si>
    <t>El CoCo is an app that helps to know the real nutritional value of food.</t>
  </si>
  <si>
    <t>comunidad@elcoco.es</t>
  </si>
  <si>
    <t>https://elcoco.es/</t>
  </si>
  <si>
    <t>Emjoy</t>
  </si>
  <si>
    <t>Avenida Diagonal 45908036 Barcelona BarcelonaEspanya</t>
  </si>
  <si>
    <t>Emjoy is the intimate wellbeing audio guide already changing the lives of 150,000 women!
We encourage you to incorporate intimate wellness into your self-care routine, through our collections of guided practices, theory sessions, and sensual short stories.</t>
  </si>
  <si>
    <t>https://www.letsemjoy.com/</t>
  </si>
  <si>
    <t>Emocional</t>
  </si>
  <si>
    <t>08005 Barcelona BarcelonaEspanya</t>
  </si>
  <si>
    <t>AI based SaaS solution for real-time video-conference emotional well-being analysis of hybrid and remote teams.
Our objective is to create a emotionally sustainable future and to generate a positive social impact in society through the creation of disruptive technologies and services capable of detecting and improving the emotional state of people in work environments, maximizing their capabilities, increasing their satisfaction and improving their personal and professional growth.</t>
  </si>
  <si>
    <t>https://emocional.co/</t>
  </si>
  <si>
    <t>Ephion Health</t>
  </si>
  <si>
    <t>Carrer de Bilbao 72, Edifici A08005 Barcelona BarcelonaEspanya</t>
  </si>
  <si>
    <t>Quique Llaudet Carles, CEO</t>
  </si>
  <si>
    <t>'+34 634270335</t>
  </si>
  <si>
    <t>Ephion Health is a software company that leverages the current advances in AI to create a new way to measure the health of patients and make tele-medicine a reality.
Spin-off of Hospital de Sant Joan de Déu (HSJD), Mobile World Capital Barcelona and Eurecat.</t>
  </si>
  <si>
    <t>quique@ephion.health</t>
  </si>
  <si>
    <t>https://www.ephion.health/</t>
  </si>
  <si>
    <t>EstimTrack</t>
  </si>
  <si>
    <t>Carrer Navarro i Reverter, 1508017 Barcelona BarcelonaEspanya</t>
  </si>
  <si>
    <t>Elisenda Bou Balust, Co-Founder &amp; Advisor</t>
  </si>
  <si>
    <t>Estimtrack is an ecosystem of applications to optimize surgical programming and the flow of patients in hospitals. The company provides an intelligent set of tools to schedule, track and orchestrate all involved personnel in surgical procedures and operating rooms based on ML, which improves the efficiency of operating room tracks in healthcare organizations by 31%. Spin-off of Institut d'Investigacions Biomèdiques August Pi i Sunyer (IDIBAPS).</t>
  </si>
  <si>
    <t>contact@estimtrack.com</t>
  </si>
  <si>
    <t>http://www.estimtrack.com</t>
  </si>
  <si>
    <t>EVERAI Medical Technologies</t>
  </si>
  <si>
    <t>Carrer de Baldiri Reixac 408028 Barcelona BarcelonaEspanya</t>
  </si>
  <si>
    <t>The company EVERAI Medical Technologies focuses its activity on the development of software that allows sharing data of patients who are in an emergency situation and who are being transferred to the hospital by ambulance.</t>
  </si>
  <si>
    <t>https://www.pcb.ub.edu/empresa/everai-medical-technologies/</t>
  </si>
  <si>
    <t>Evolutive Medica</t>
  </si>
  <si>
    <t>casteras 3408028 Barcelona BarcelonaEspanya</t>
  </si>
  <si>
    <t>Javier Alorda Fernández Aramburu, CEO</t>
  </si>
  <si>
    <t>AI and microwaves to detect early-stage tumors and to treat them in a minimally invasive way.</t>
  </si>
  <si>
    <t>info@evolutivemedica.com</t>
  </si>
  <si>
    <t>https://www.evolutivemedica.com/</t>
  </si>
  <si>
    <t>Farmaconfianza</t>
  </si>
  <si>
    <t>Carrer Sant Antoni Abat, 4408001 Barcelona BarcelonaEspanya</t>
  </si>
  <si>
    <t>Alfons Fuertes Ollé, Co-Founder and Business Development Manager</t>
  </si>
  <si>
    <t>'+34934 422 139</t>
  </si>
  <si>
    <t>Farmaconfianza is an online pharmacy store located in Barcelona. The pharmacy offers online retail of drugs, cosmetic products, and natural nutritional accessories.</t>
  </si>
  <si>
    <t>info@farmaconfianza.com</t>
  </si>
  <si>
    <t>https://www.farmaconfianza.com/</t>
  </si>
  <si>
    <t>Fisiovirtual</t>
  </si>
  <si>
    <t>Rb Brasil 10-1208028 Barcelona BarcelonaEspanya</t>
  </si>
  <si>
    <t>Online Physiotherapy Service. Your personalised exercise programme. Recover sooner and better.</t>
  </si>
  <si>
    <t>https://www.fisiovirtual.com/</t>
  </si>
  <si>
    <t>FrontWave Imaging</t>
  </si>
  <si>
    <t>Rambla de Mar08039 Barcelona BarcelonaEspanya</t>
  </si>
  <si>
    <t>Company to develop software that allows high-resolution mammography with ultrasound and therefore painless. FrontWave Imaging is a spin-off of Imperial College London,
101 Ventures and Barcelona Supercomputing Center - Centro Nacional de Supercomputación (BSC-CNS)</t>
  </si>
  <si>
    <t>https://www.frontwave.io/</t>
  </si>
  <si>
    <t>Galgo Medical</t>
  </si>
  <si>
    <t>Comte d'Urgell, 204-20808036 Barcelona BarcelonaEspanya</t>
  </si>
  <si>
    <t>Antoni Riu, Director General</t>
  </si>
  <si>
    <t>Galgo Medical is a spin-off of Universitat Pompeu Fabra (UPF) and Hospital Clínic de Barcelona. It is a medical imaging software development company. The company is focused in four medical disciplines: electrophysiology, osteoporosis, intra-cranial aneurysms and epilepsy.</t>
  </si>
  <si>
    <t>info@galgomedical.com</t>
  </si>
  <si>
    <t>http://www.galgomedical.com/</t>
  </si>
  <si>
    <t>Gisek Diagnostic Thermography</t>
  </si>
  <si>
    <t>Passeig Marina Julia, 4308310 Argentona BarcelonaEspanya</t>
  </si>
  <si>
    <t>Jordi Guitart, Founder</t>
  </si>
  <si>
    <t>Gisek is a sprayable polymeric formulation that incorporates temperature sensitive materials for direct contact thermography, for simple and easy self-screening procedure of breast abnormalities, augmented by an artificial intelligence mobile app.</t>
  </si>
  <si>
    <t>jguitart@gisekdt.com</t>
  </si>
  <si>
    <t>https://www.gisekdt.com/</t>
  </si>
  <si>
    <t>Population Health Management</t>
  </si>
  <si>
    <t>Glifing</t>
  </si>
  <si>
    <t>Carrer Estalvi,308960 Sant Just Desvern BarcelonaEspanya</t>
  </si>
  <si>
    <t>Ares Mata, Communications Manager</t>
  </si>
  <si>
    <t>'+34931 646 711</t>
  </si>
  <si>
    <t>Glifing has designed a method that adapts to the needs of each child and trains reading through a computer game. The company is aimed at children with learning difficulties and dyslexia.</t>
  </si>
  <si>
    <t>glifing@glifing.com</t>
  </si>
  <si>
    <t>http://www.glifing.com/</t>
  </si>
  <si>
    <t>Gloria Digital</t>
  </si>
  <si>
    <t>Torre Marenostrum. Plaça del Gas 108003 Barcelona BarcelonaEspanya</t>
  </si>
  <si>
    <t>'+34936064094</t>
  </si>
  <si>
    <t>Data-Driven platform focused on enhancing the way life science companies consume and share their data.</t>
  </si>
  <si>
    <t>https://www.gloria.digital/landing</t>
  </si>
  <si>
    <t>Goo Medical</t>
  </si>
  <si>
    <t>Avinguda del Portal de l'Àngel, 3608002 Barcelona BarcelonaEspanya</t>
  </si>
  <si>
    <t>Eric Garcia Ordoñez, CEO</t>
  </si>
  <si>
    <t>'+34 931 060 219</t>
  </si>
  <si>
    <t>Goo Medical works in the subject of mobile applications for the medical industry: mHealth. Goo Medical offers a safe service respecting all legal aspects regarding computer security and data protection in the health field. The company's services include applications development, security and data protection and internet of things (IoT).</t>
  </si>
  <si>
    <t>info@goomedical.es</t>
  </si>
  <si>
    <t>http://goomedical.es/</t>
  </si>
  <si>
    <t>GooApps</t>
  </si>
  <si>
    <t>Avinguda del Portal de l'Àngel 3608002 Barcelona BarcelonaEspanya</t>
  </si>
  <si>
    <t>Eric Garcia, CEO/CTO</t>
  </si>
  <si>
    <t>GooApps® is a custom software development company that offers B2B solutions that deal with all areas of mobile technology, from apps to the Internet of Things (IoT). The company has developed another firm called GooMedical® which provides mobile applications for the medical industry: mHealth.</t>
  </si>
  <si>
    <t>info@gooapps.net</t>
  </si>
  <si>
    <t>https://gooapps.es/</t>
  </si>
  <si>
    <t>Gym For Less</t>
  </si>
  <si>
    <t>Plaça Doctor Ignasi Barraquer, 5, 1-108029 Barcelona BarcelonaEspanya</t>
  </si>
  <si>
    <t>Oriol Vinzia, CEO</t>
  </si>
  <si>
    <t>GymForLess develops and operates an online platform that helps its users find gyms and fitness centers in their surroundings. The company proposes access in more than 900 gyms paying a single membership fee.</t>
  </si>
  <si>
    <t>contacto@gymforless.com</t>
  </si>
  <si>
    <t>https://www.gymforless.com</t>
  </si>
  <si>
    <t>Health Circuit</t>
  </si>
  <si>
    <t>Isaac Cano, CEO &amp; Founder</t>
  </si>
  <si>
    <t>Health-Circuit is an integrated care management
system based on collaborative work with digital support.</t>
  </si>
  <si>
    <t>https://www.healthcircuit.es/</t>
  </si>
  <si>
    <t>Healthapp</t>
  </si>
  <si>
    <t>Carrer Almería, 40E08226 Terrassa BarcelonaEspanya</t>
  </si>
  <si>
    <t>Jordi Cusidó, CEO and Co-Founder</t>
  </si>
  <si>
    <t>'+34 937 830 821</t>
  </si>
  <si>
    <t>HealthApp is a company that focuses on the development of mobile applications for the health sector, with special emphasis on improving communication between patients and therapists in long-term and chronic diseases. The company supports patients in the monitoring and enforcement of the therapy and the therapist-patient relationship to be able to solve particular problems associated with chronic and/or long-term illness therapies. HealthApp provides real-time data and analysis to adjust treatment, actions, and decisions. Healthapp is a spin-off company of Centre Internacional de Mètodes Numèrics en Enginyeria (CIMNE).</t>
  </si>
  <si>
    <t>info@bcnhealthapp.com</t>
  </si>
  <si>
    <t>https://bcnhealthapp.com/</t>
  </si>
  <si>
    <t>Healthcor</t>
  </si>
  <si>
    <t>Carrer Mallorca, 29708037 Barcelona BarcelonaEspanya</t>
  </si>
  <si>
    <t>Iñaki Marina, Director Médico Y Especialista En Medicina Interna</t>
  </si>
  <si>
    <t>imarina@healthcor.cat</t>
  </si>
  <si>
    <t>http://healthcor.cat/es/</t>
  </si>
  <si>
    <t>HealthQuay</t>
  </si>
  <si>
    <t>Doctor Esteve, 1408242 Manresa BarcelonaEspanya</t>
  </si>
  <si>
    <t>Marc Rafat (INACTIU), CEO &amp; Co-Founder</t>
  </si>
  <si>
    <t>HealthQuay connects patients to the best treatment option available worldwide, making cancer care a global quest not limited to any geographical area.</t>
  </si>
  <si>
    <t>mrafat@healthquay.com</t>
  </si>
  <si>
    <t>https://www.healthquay.com/</t>
  </si>
  <si>
    <t>Hesoft Group</t>
  </si>
  <si>
    <t>Partida de Bova, 1525196 Lleida LleidaEspanya</t>
  </si>
  <si>
    <t>Josep Cuadrado, IT Manager</t>
  </si>
  <si>
    <t>'+34 626 269 613</t>
  </si>
  <si>
    <t>Hesoft Group specializes in providing comprehensive solutions in specific health specialties, hypertension, smoking, diabetes, alcoholism, pregnancy monitoring company, etc. The company offers comprehensive IT consulting services, software maintenance and support in monitoring and diagnosis of patients through SMS. The company provides medical monitoring and treatment of patients while also potentiate the patient's relationship with the doctor, thus eliminating the distances of saving patients time and money and eliminate the queues at the health centers. Hesoft Group was born as a spin-off of Universitat de Lleida (UdL).</t>
  </si>
  <si>
    <t>info@hesoftgroup.com</t>
  </si>
  <si>
    <t>http://www.hesoftgroup.eu/</t>
  </si>
  <si>
    <t>HHP Spain</t>
  </si>
  <si>
    <t>Fogars de Tordera, 24-2608916 Badalona BarcelonaEspanya</t>
  </si>
  <si>
    <t>Joan Marquès Busquets, Founder &amp; CEO</t>
  </si>
  <si>
    <t>Home Health Products (HHP)</t>
  </si>
  <si>
    <t>https://www.hhp.es</t>
  </si>
  <si>
    <t>Higiatech</t>
  </si>
  <si>
    <t>Av. de Francesc Macià, 60, planta 8 despatx 308208 Sabadell BarcelonaEspanya</t>
  </si>
  <si>
    <t>'+34 938 547 097</t>
  </si>
  <si>
    <t>HIGIATECH is a technological company that provides a cloud platform for the management of urgent medical homecare.</t>
  </si>
  <si>
    <t>https://www.higiatech.com/</t>
  </si>
  <si>
    <t>HumanITcare</t>
  </si>
  <si>
    <t>Carrer de Sant Antoni Maria Claret 167, Recinto modernista de Sant Pau-Barcelona Health hub08025 Barcelona BarcelonaEspanya</t>
  </si>
  <si>
    <t>Nuria Pastor, CEO &amp; Co-Founder</t>
  </si>
  <si>
    <t>'+34 613004525</t>
  </si>
  <si>
    <t>HumanITcare's mission is to radically improve people's access to healthcare. We are achieve this by collecting all possible medical evidence from patients remotely to reach where the hospital cannot, thus offering a more predictive and preventive health through the data collected. With our platform we also want to improve the organization of resources in the hospital environment by implementing new monitoring processes, reducing time and costs of unnecessary visits and optimizing the management of potential patient complications.
More than 20 hospitals, clinics and home care servicies trust in our servicies.</t>
  </si>
  <si>
    <t>info@humanitcare.com</t>
  </si>
  <si>
    <t>http://humanitcare.com</t>
  </si>
  <si>
    <t>Humantiks</t>
  </si>
  <si>
    <t>Carrer ali-bei, 8008013 Barcelona BarcelonaEspanya</t>
  </si>
  <si>
    <t>Frank del Aguila Espejo, CoFounder and COO</t>
  </si>
  <si>
    <t>'+34 609 72 74 38</t>
  </si>
  <si>
    <t>We are a team of multidisciplinary professionals made up of psychologists, sociologists, doctors and technologists specialised in the development of video games to educate in values, facilitate the transfer of knowledge and promote emotional well-being.</t>
  </si>
  <si>
    <t>info@humantiks.com</t>
  </si>
  <si>
    <t>http://humantiks.com</t>
  </si>
  <si>
    <t>Hygeia Technologies</t>
  </si>
  <si>
    <t>Carrer Argentina, 45-4708402 Granollers BarcelonaEspanya</t>
  </si>
  <si>
    <t>Agustín Arasanz Duque, CEO</t>
  </si>
  <si>
    <t>Company focused on developing technologies to prevention and diagnostic eyes diseases. The first project is called SUPERVISION, which is an App that helps prevent visual diseases in children.</t>
  </si>
  <si>
    <t>https://www.eyesapp.eu/</t>
  </si>
  <si>
    <t>IMA Contigo</t>
  </si>
  <si>
    <t>Llacuna,16208018 Barcelona BarcelonaEspanya</t>
  </si>
  <si>
    <t>Roger Guasch, CEO</t>
  </si>
  <si>
    <t>Intelligent assistant for pill taking. Our service Intelligent Medication Assistant (IMA) prevents mistakes and oversights by dispensing the right pills and capsules at the right time. In addition, it notifies any possible incidence with the medication to a caregiver in real time, wherever it is, thanks to its mobile application. Save time preparing medication and avoid unnecessary travel with the IMA service. IMA is now available as a convenient subscription for less than 1 euro a day</t>
  </si>
  <si>
    <t>rogerguasch@berdac.com</t>
  </si>
  <si>
    <t>https://www.imacontigo.com</t>
  </si>
  <si>
    <t>iMedicPlus</t>
  </si>
  <si>
    <t>Carrer de la Llotja, s/n08500 VIC BarcelonaEspanya</t>
  </si>
  <si>
    <t>Isaac Perez Baucells, CEO</t>
  </si>
  <si>
    <t>iMedic Global SL is the provider of iMedicPlus, the software platform that allows healthcare professionals to communicate online with patients, sharing the clinic history, documents and manage medical consultation from anywhere. The platform is especially designed for professionals with their own medical consultation and medical centers seeking to benefit from the new technologies to improve the efficiency of patient inquiry and offer additional services to communicate with patients.</t>
  </si>
  <si>
    <t>info@imedicplus.com</t>
  </si>
  <si>
    <t>http://www.imedicplus.com/</t>
  </si>
  <si>
    <t>Improfit AI</t>
  </si>
  <si>
    <t>Avinguda de Josep Tarradellas 2008029 Barcelona BarcelonaEspanya</t>
  </si>
  <si>
    <t>A B2B2C platform that evaluates and quantifies physical exercises with a musculoskeletal (MSK) approach using computer vision and artificial intelligence in real-time; in order to improve people's lives through training and rehabilitation. In addition, the platform includes AR (augmented reality) objects to gamify exercises.</t>
  </si>
  <si>
    <t>https://www.improfit.ai/</t>
  </si>
  <si>
    <t>Infomed Servicios Informaticos</t>
  </si>
  <si>
    <t>Carrer Aribau, 197-199, 2a planta, dreta08021 Barcelona BarcelonaEspanya</t>
  </si>
  <si>
    <t>Santiago Sola Brutau, General Manager</t>
  </si>
  <si>
    <t>'+34 934 144 340</t>
  </si>
  <si>
    <t>Infomed Software is specialized in software development for the management and use of information technology in healthcare environment. The company develops software for dental and medical sector. The products include Gesden, Gesimag, Ortomed and Novaclinic.</t>
  </si>
  <si>
    <t>infomed@infomed.es</t>
  </si>
  <si>
    <t>http://www.grupoinfomed.es</t>
  </si>
  <si>
    <t>Innovem</t>
  </si>
  <si>
    <t>Av. Ernest Lluch 32, Tecnocampus TCM208302 Mataró BarcelonaEspanya</t>
  </si>
  <si>
    <t>Ramon Serra, CEO</t>
  </si>
  <si>
    <t>'+ 34 937 021 979</t>
  </si>
  <si>
    <t>Innovació, Electrònica i Mobilitat (Innovem) is specialized in the area of ​​electronics and control systems. The main objective of the company is to respond to the needs of automation and control of small and medium enterprises, through the design of customized software and electronic equipment. The main activity is the research and development of technology solutions in mechatronics and bioengineering. In the bioengineering, the company focuses on developing and selling biomechanical technology, specifically for analysis of the musculoskeletal system.</t>
  </si>
  <si>
    <t>info@innovem.cat</t>
  </si>
  <si>
    <t>http://innovem.cat/</t>
  </si>
  <si>
    <t>IOMED MEDICAL SOLUTIONS</t>
  </si>
  <si>
    <t>Javier de Oca, Co-Founder &amp; Business Developer</t>
  </si>
  <si>
    <t>'+34 650333641</t>
  </si>
  <si>
    <t>IOMED is a software development and Artificial Intelligence company whose mission is to support and help hospitals and research centres to optimise the use of clinical data in order to improve patient treatment and have a positive impact on the health of society.</t>
  </si>
  <si>
    <t>info@iomed.es</t>
  </si>
  <si>
    <t>http://iomed.es/</t>
  </si>
  <si>
    <t>iSalud</t>
  </si>
  <si>
    <t>Carrer Milanesat, 2508017 Barcelona BarcelonaEspanya</t>
  </si>
  <si>
    <t>Albert Castells, Founder &amp; Co-CEO</t>
  </si>
  <si>
    <t>'+34902888045</t>
  </si>
  <si>
    <t>CNP Partners</t>
  </si>
  <si>
    <t>https://www.isalud.com/</t>
  </si>
  <si>
    <t>Payments &amp; Insurance</t>
  </si>
  <si>
    <t>Join Talk</t>
  </si>
  <si>
    <t>Eva Marías, CEO &amp; Co-founder</t>
  </si>
  <si>
    <t>The main purpose of Join Talk is for the seriously ill or those who care for them to have a communication channel so that they can face the situation they are going through more accompanied and can feel better emotionally.</t>
  </si>
  <si>
    <t>hola@join-talk.com</t>
  </si>
  <si>
    <t>https://join-talk.com/</t>
  </si>
  <si>
    <t>Jub Solutions</t>
  </si>
  <si>
    <t>Carrer Sant Jaume, 16, 4-608401 Granollers BarcelonaEspanya</t>
  </si>
  <si>
    <t>Jorge Urtiaga, General Manager</t>
  </si>
  <si>
    <t>'+34 931 786 705</t>
  </si>
  <si>
    <t>JUB Solutions is an international company, with global presence dedicated to the development and manufacture of innovative products and solutions, technological and software, in the health field and especially for blood banks. With safety and patient care as the main objective, the company use technology to respond to the needs of health professionals.</t>
  </si>
  <si>
    <t>info@jubsolutions.es</t>
  </si>
  <si>
    <t>http://www.jubsolutions.es/</t>
  </si>
  <si>
    <t>Kamleon</t>
  </si>
  <si>
    <t>Avinguda Països Catalans, 1843007 Tarragona TarragonaEspanya</t>
  </si>
  <si>
    <t>Jordi Ferré Albiol, CEO &amp; Founder</t>
  </si>
  <si>
    <t>Kamleon is a science-based early-stage company developing user-centered technologies that aims to empower healthier and happier lives by democratizing the monitoring of well being. Kamleon is a spin-off of Universitat Rovira i Virgili (URV).</t>
  </si>
  <si>
    <t>info@kamleon.com</t>
  </si>
  <si>
    <t>http://www.kamleon.com/</t>
  </si>
  <si>
    <t>Kiara</t>
  </si>
  <si>
    <t>Avinguda d'Eduard Maristany 708019 BarcelonaEspanya</t>
  </si>
  <si>
    <t>Kiara is the first online female health academy. We provide education on menstrual, hormonal and sexual health for women to understand their bodies and improve their wellbeing. 
Through our innovative educational platform we provide courses created by our team of 16 top healthcare professionals on topics such as:
menstrual cycle, hormonal balance, menstrual cramps, PCOS, fertility, pregnancy, hormonal acné, sexuality. 
In addition, through out Menstrual Store we provide curated physical products for a healthy and sustainable menstrual cycle.
As a reference in the Spanish female health space, we are changing the traditional healthcare model and provide guidance that changes lives.</t>
  </si>
  <si>
    <t>https://kiarawomen.com/</t>
  </si>
  <si>
    <t>Koa Health</t>
  </si>
  <si>
    <t>Plaça d'Ernest Lluch i Martin, 508019 Barcelona BarcelonaEspanya</t>
  </si>
  <si>
    <t>Oliver Harrison, CEO</t>
  </si>
  <si>
    <t>Koa Health (HQ)</t>
  </si>
  <si>
    <t>info@koahealth.com</t>
  </si>
  <si>
    <t>https://koahealth.com/</t>
  </si>
  <si>
    <t>KOMOMBO</t>
  </si>
  <si>
    <t>Passeig de Gràcia 17, 4th Floor08007 Barcelona BarcelonaEspanya</t>
  </si>
  <si>
    <t>KOMOMBO is the Decision Support collaborative platform for pathologists that ensures a faster and better diagnostic allowing professionals to focus on things where human expertise is vital
This platform has been developed by Enzyme Factory, a division within Enzyme Advising Group (www.enzyme.biz)</t>
  </si>
  <si>
    <t>https://komombo.ai/</t>
  </si>
  <si>
    <t>LactApp</t>
  </si>
  <si>
    <t>Carrer Almogavers, 408018 Barcelona BarcelonaEspanya</t>
  </si>
  <si>
    <t>Enric Pallares Roura, CEO</t>
  </si>
  <si>
    <t>LactApp is a Barcelona based StartUp that provides Artificial Intelligence in novel use cases: Breastfeeding and Maternity. LactApp Women’s Health builds its innovative solution on the firm belief that while breastfeeding can be hard, women should get all the available information, professional care, and supporting network.</t>
  </si>
  <si>
    <t>info@lactapp.es</t>
  </si>
  <si>
    <t>http://www.lactapp.es/</t>
  </si>
  <si>
    <t>Liberia Community</t>
  </si>
  <si>
    <t>Carretera de Santpedor 708242 Manresa BarcelonaEspanya</t>
  </si>
  <si>
    <t>Carme Encina, Comunicació Corporativa</t>
  </si>
  <si>
    <t>From Liberia Community SL, we develop unique, inclusive solutions with social impact that respond to the reality of those who cannot speak, increasing their communication capabilities and improving the experience with interactive technology in different areas and environments such as the ICU in intubated or tracheostomized people.</t>
  </si>
  <si>
    <t>info@liberiacommunity.net</t>
  </si>
  <si>
    <t>https://liberiacommunity.net/</t>
  </si>
  <si>
    <t>LifeVit</t>
  </si>
  <si>
    <t>Carrer de Catalunya, 2408130 Santa Perpètua de Mogoda BarcelonaEspanya</t>
  </si>
  <si>
    <t>Àngel Riudalbàs, Director General</t>
  </si>
  <si>
    <t>'+34 93 560 67 05</t>
  </si>
  <si>
    <t>LifeVit focused on wearables, developed and using market resources from the pre-existent brand DAGA, belonging to the B&amp;B group of companies. The company offers a complete line of digital monitors for the control of vital signs connected by bluetooth to a unique and integrated App that facilitates its management.</t>
  </si>
  <si>
    <t>info@lifevit.es</t>
  </si>
  <si>
    <t>http://www.lifevit.es/</t>
  </si>
  <si>
    <t>Linkcare Health Services</t>
  </si>
  <si>
    <t>Roger de Llúria, 5008009 Barcelona BarcelonaEspanya</t>
  </si>
  <si>
    <t>José Manuel Sánchez, COO</t>
  </si>
  <si>
    <t>'+34 933 968 822</t>
  </si>
  <si>
    <t>Guangzhou Global Star Investment</t>
  </si>
  <si>
    <t>info@linkcare.es</t>
  </si>
  <si>
    <t>http://www.linkcare.es</t>
  </si>
  <si>
    <t>LogMeal</t>
  </si>
  <si>
    <t>Plaça de Pompeu Fabra 108700 Igualada BarcelonaEspanya</t>
  </si>
  <si>
    <t>Eric Verdaguer Jimeno, Co-Founder &amp; CEO</t>
  </si>
  <si>
    <t>'+34619633927</t>
  </si>
  <si>
    <t>Analyse in real time your meals just by taking a picture of it. The most advanced Deep Learning &amp; CV &amp; AI algorithms, our API recognizes every food item on a plate or tray, providing food type, food groups, dishes, ingredients or recipes and nutritional information (32 micro &amp; macro nutrients) &amp; food quantity for food tracking, monitoring &amp; diary generation
The API solution for your business.Revice all detailed information objectively, standardised, auto-calculated in real time. Exhaustive food intake monitoring of your customers, athletes or patients. +1300 dishes, biggest food image datasets.</t>
  </si>
  <si>
    <t>contact@logmeal.es</t>
  </si>
  <si>
    <t>https://www.logmeal.es</t>
  </si>
  <si>
    <t>Luci Health Solutions</t>
  </si>
  <si>
    <t>avinguda guiera, 1208290 Cerdanyola del vallès BarcelonaEspanya</t>
  </si>
  <si>
    <t>Luci is a software platform that collects, saves and processes useful information for the detection and monitoring of cognitive decline.</t>
  </si>
  <si>
    <t>https://lucihs.com/</t>
  </si>
  <si>
    <t>Mangrana Ventures</t>
  </si>
  <si>
    <t>Carrer Roselló, 149-15308036 Barcelona BarcelonaEspanya</t>
  </si>
  <si>
    <t>Laura Sampietro-Colom, Founder</t>
  </si>
  <si>
    <t>Mangrana Ventures wants to universally and easily offer access to basic health, medical advice and education for all citizens, regardless of their socioeconomic status, language, or geographic location. The objectives of its triage tool are to help patients in the first stage, but also to the health system and the industry (both public and private) in their need to optimize processes to improve their sustainability.</t>
  </si>
  <si>
    <t>info@mangranaventures.com</t>
  </si>
  <si>
    <t>http://mangranaventures.com</t>
  </si>
  <si>
    <t>MarvutCare</t>
  </si>
  <si>
    <t>Carrer de Llull 32108019 Barcelona BarcelonaEspanya</t>
  </si>
  <si>
    <t>Marvut</t>
  </si>
  <si>
    <t>https://marvutcare.com/</t>
  </si>
  <si>
    <t>MatchTrial</t>
  </si>
  <si>
    <t>Barcelona Tech City, Plaça de Pau Vila, 1, Bloc A, Planta 3, Puerta 3A108003 Barcelona BarcelonaEspanya</t>
  </si>
  <si>
    <t>David Campos Callao, CEO</t>
  </si>
  <si>
    <t>MatchTrial is a cancer clinical trial finder in the first free mobile app for cancer patients with access to all active cancer trials in Spain. Using technology, we make over 800 cancer clinical trials available to patients quickly and easily.</t>
  </si>
  <si>
    <t>info@matchtrial.health</t>
  </si>
  <si>
    <t>https://matchtrial.health/</t>
  </si>
  <si>
    <t>Medbrain</t>
  </si>
  <si>
    <t>Avinguda Sant Pol 817248 S'Agaró GironaEspanya</t>
  </si>
  <si>
    <t>MedBrain is a diagnostic support system for healthcare professionals working in resource-scarce settings.</t>
  </si>
  <si>
    <t>https://medbrain.io/</t>
  </si>
  <si>
    <t>Medify Barcelona</t>
  </si>
  <si>
    <t>Carrer Bruc 149 (Depot Lab)08037 Barcelona BarcelonaEspanya</t>
  </si>
  <si>
    <t>Eva Surquin, Implementation Specialist</t>
  </si>
  <si>
    <t>Medify</t>
  </si>
  <si>
    <t>eva.surquin@medify.com</t>
  </si>
  <si>
    <t>https://www.medify.eu/en</t>
  </si>
  <si>
    <t>MEDIKINES</t>
  </si>
  <si>
    <t>Carrer d'Aribau 17008036 Barcelona BarcelonaEspanya</t>
  </si>
  <si>
    <t>'+34 930291409</t>
  </si>
  <si>
    <t>Medikines is a medical service management software, it is very economical and solves the root of the problem caused by the day-to-day management of teams. It is very useful for heads of department, assistants and secretaries.</t>
  </si>
  <si>
    <t>http://www.medikines.com</t>
  </si>
  <si>
    <t>Mediktor</t>
  </si>
  <si>
    <t>Carrer de Sant Joan de la Salle, 4208022 Barcelona BarcelonaEspanya</t>
  </si>
  <si>
    <t>Josep Carbó de Cala, Global Business Development</t>
  </si>
  <si>
    <t>'+34 932 111 666</t>
  </si>
  <si>
    <t>Mediktor is a company that has designed an app which evaluate the patients symptoms and get a pre-diagnosis with a list of recommended specialists. The company's aim is to develop digital &amp; mobile health solutions based in artificial intelligence and machine learning techniques.</t>
  </si>
  <si>
    <t>info@mediktor.com</t>
  </si>
  <si>
    <t>http://www.mediktor.com</t>
  </si>
  <si>
    <t>Mediquo</t>
  </si>
  <si>
    <t>Carrer de Pau Claris 19, 1-10837 Barcelona BarcelonaEspanya</t>
  </si>
  <si>
    <t>Guillem Serra, CEO</t>
  </si>
  <si>
    <t>'+34  619287814</t>
  </si>
  <si>
    <t>mediQuo is a telemedicine company that offers both telemedicine services and also a telehealth platform. The unique value proposition of mediQuo is its focus on instant messaging as a main channel of communication and mobile first. We offer our services and solutions both to corporations (health insurance companies, hospitals, and public sector) and end consumer (patients and individual doctors).</t>
  </si>
  <si>
    <t>guillem.serra@mediquo.com</t>
  </si>
  <si>
    <t>https://www.mediquo.com/</t>
  </si>
  <si>
    <t>Meditic Health</t>
  </si>
  <si>
    <t>Carrer salut, 15308202 Sabadell BarcelonaEspanya</t>
  </si>
  <si>
    <t>Oriol Bejar, Project Manager</t>
  </si>
  <si>
    <t>Meditichealth is a platform that allows doctors and patients to be contacted easily and without intermediaries. The company offers personal management of the medical history and take it wherever the user goes, real time consultations with doctors through chat or video call and it also has the ability to attach complementary tests.</t>
  </si>
  <si>
    <t>info@meditic.es</t>
  </si>
  <si>
    <t>http://www.meditic.es</t>
  </si>
  <si>
    <t>Medlia Health</t>
  </si>
  <si>
    <t>Avinguda Carrilet, 3, Planta 508902 Hospitalet de Llobregat BarcelonaEspanya</t>
  </si>
  <si>
    <t>Patrick Freemand, CEO</t>
  </si>
  <si>
    <t>'+34 936 550 177</t>
  </si>
  <si>
    <t>Medlia Health digitalises care management and improves efficiencies via its 360° cloud-software solution. By providing medical clinics with modern management software, but also integrating that software with telemedicine, Medlia improves patient engagement and chronic care management.
Moreover, Medlia is focused in gathering all the medical information is set up by using the cloud-care solution and the app for patients, and creating "patient pathways" to improve treatments and medical solutions.</t>
  </si>
  <si>
    <t>info@medliahealth.com</t>
  </si>
  <si>
    <t>http://www.medliahealth.com</t>
  </si>
  <si>
    <t>Medsbit</t>
  </si>
  <si>
    <t>08208  BarcelonaEspanya</t>
  </si>
  <si>
    <t>Medsbit App has been designed with the mission of making life easier for those who take medication. It is a fact that 50% of the Spanish population does not follow their medical treatments correctly due to errors or oversights in taking their medication. As the founder of Medsbit, I feel committed to resolving this issue, which is why we have simplified medication management, no matter how complex the treatment may be.</t>
  </si>
  <si>
    <t>https://www.medsbit.com/</t>
  </si>
  <si>
    <t>Medtep</t>
  </si>
  <si>
    <t>Andres Lozano Jiménez (INACTIU), Business Development Manager</t>
  </si>
  <si>
    <t>Medtep Inc.</t>
  </si>
  <si>
    <t>https://www.medtep.com</t>
  </si>
  <si>
    <t>MedVisit</t>
  </si>
  <si>
    <t>Passeig Til·lers, 308034 Barcelona BarcelonaEspanya</t>
  </si>
  <si>
    <t>Andrés León, CEO</t>
  </si>
  <si>
    <t>'+34 680 149 706</t>
  </si>
  <si>
    <t>MedVisit brings medical care to patients, anytime, anywhere. Through mobile service, they provide people with 24/7 access to quality, personal healthcare in the comfort of their own home or hotel.</t>
  </si>
  <si>
    <t>md@medvisit.org</t>
  </si>
  <si>
    <t>http://medvisit.io</t>
  </si>
  <si>
    <t>Medxat</t>
  </si>
  <si>
    <t>Sant Elies 29-3508006 Barcelona BarcelonaEspanya</t>
  </si>
  <si>
    <t>Martí Altimira Mira, Business Developer</t>
  </si>
  <si>
    <t>'+34 93 129 75 70</t>
  </si>
  <si>
    <t>Private communication platform for coordinating medical teams</t>
  </si>
  <si>
    <t>http://www.medxat.com/</t>
  </si>
  <si>
    <t>Meeting Doctors (HQ, Barcelona)</t>
  </si>
  <si>
    <t>MILANESAT, 2508017 Barcelona BarcelonaEspanya</t>
  </si>
  <si>
    <t>Guillem Serra, Founder</t>
  </si>
  <si>
    <t>Meeting Doctors company that provides a digital medicine solution. Meeting Doctors offer a B2B professional medical chat service through a mobile application. On the other side of the application, consultations are answered 24 hours a day, 365 days a year by doctors and health allied professionals from prestigious clinics, who provide instant answers any time, from anywhere.</t>
  </si>
  <si>
    <t>guillem.serra@meetingdoctors.com</t>
  </si>
  <si>
    <t>http://www.meetingdoctors.com/</t>
  </si>
  <si>
    <t>Mefood Omics</t>
  </si>
  <si>
    <t>Passeig de Gràcia 7508008 Barcelona BarcelonaEspanya</t>
  </si>
  <si>
    <t>At Mefood Omics we’re committed on bringing together artificial intelligence, big data analysis, omics science and nutrition to deepen our understanding of human health and general wellbeing.</t>
  </si>
  <si>
    <t>https://www.mefood.io/</t>
  </si>
  <si>
    <t>Mental ID</t>
  </si>
  <si>
    <t>Passeig de Gràcia 61, 3-108007 Barcelona BarcelonaEspanya</t>
  </si>
  <si>
    <t>Growing an AI dedicated to better understand &amp; run prevention in the field of Mental Health and Psychosomatic diseases
We have designed a platform meant to alleviate the workload and improve the daily operational efficiency of all professionals dealing with mental health &amp; psychosomatic induced conditions.
Currently in new software and Artificial Intelligence development phase, which will be accessible via a SaaS / Software as a Service model.</t>
  </si>
  <si>
    <t>https://www.mental-id.com/</t>
  </si>
  <si>
    <t>Mental XR</t>
  </si>
  <si>
    <t>Plaça de Pau Vila 308039 Barcelona BarcelonaEspanya</t>
  </si>
  <si>
    <t>'+34 699 44 29 83</t>
  </si>
  <si>
    <t>We create real life solutions for professionals, patients, and families to address and mitigate some of the most important neurocognitive disorders: TEAF, THDA, BD, Autism</t>
  </si>
  <si>
    <t>https://mentalxr.com/</t>
  </si>
  <si>
    <t>Methinks</t>
  </si>
  <si>
    <t>Plaça de Pau Vila08039 Barcelona BarcelonaEspanya</t>
  </si>
  <si>
    <t>Cristian Martí, Founder</t>
  </si>
  <si>
    <t>Methinks's AI software is capable of assisting in stroke diagnosis and providing decision support for life-saving treatment using non-contrast CT, with the potential to optimize stroke triage and reduce time to treatment. Methinks vision is to provide universal and timely medical assistance to enable life-saving treatments worldwide.</t>
  </si>
  <si>
    <t>info@methinks.es</t>
  </si>
  <si>
    <t>http://methinks.es/</t>
  </si>
  <si>
    <t>Meyo tech</t>
  </si>
  <si>
    <t>Calabria 149, Ent 1º308015 Barcelona BarcelonaEspanya</t>
  </si>
  <si>
    <t>Contacte Corporatiu - Meyo tech, Contacte Corporatiu</t>
  </si>
  <si>
    <t>Imagine a tool that allows you to work on your self-esteem, improve anxiety, your longevity, improve your physical and mental health, through playful activities</t>
  </si>
  <si>
    <t>info@meyotech.com</t>
  </si>
  <si>
    <t>https://meyo.io/</t>
  </si>
  <si>
    <t>Mi otra farmacia</t>
  </si>
  <si>
    <t>Carrer Parcerisa, 4808014 Barcelona BarcelonaEspanya</t>
  </si>
  <si>
    <t>Antonio Ferrer Ezquerra, Socio &amp; Fundador</t>
  </si>
  <si>
    <t>'+34902 090 752</t>
  </si>
  <si>
    <t>Mi otra farmacia is an online pharmacy offering pharmacy and parapharmacy products.</t>
  </si>
  <si>
    <t>clientes@miotrafarmacia.com</t>
  </si>
  <si>
    <t>http://www.miotrafarmacia.com/</t>
  </si>
  <si>
    <t>MiMedicus</t>
  </si>
  <si>
    <t>Padilla 327-329 Ent 6808025 Barcelona BarcelonaEspanya</t>
  </si>
  <si>
    <t>Daniel Muigg, Co-founder</t>
  </si>
  <si>
    <t>App with an extensive network of health professionals who make home visits</t>
  </si>
  <si>
    <t>info@mimedicus.com</t>
  </si>
  <si>
    <t>https://www.mimedicus.com/</t>
  </si>
  <si>
    <t>Mind and Identity</t>
  </si>
  <si>
    <t>Barcelona BarcelonaEspanya</t>
  </si>
  <si>
    <t>Montse Sánchez Povedano, CEO</t>
  </si>
  <si>
    <t>SWYM is a digital assessment platform that allows you to identify the attitudes, worldview, and value system that a person has that, thanks to RV, can be immersed. Spin-off of Universitat de Barcelona.</t>
  </si>
  <si>
    <t>https://eyme-vr.com/</t>
  </si>
  <si>
    <t>mjn·neuro</t>
  </si>
  <si>
    <t>Avinguda Joan Carles I 184, bajos derecha17300 Blanes GironaEspanya</t>
  </si>
  <si>
    <t>David Blánquez, Soci fundador</t>
  </si>
  <si>
    <t>'+34 972 96 61 75</t>
  </si>
  <si>
    <t>MJN Neuroserveis is a company dedicated to the design, manufacture and commercialization of medical devices with the aim of improving the quality of life of people.</t>
  </si>
  <si>
    <t>david@mjn.cat</t>
  </si>
  <si>
    <t>http://mjn.cat/</t>
  </si>
  <si>
    <t>Moonai</t>
  </si>
  <si>
    <t>Carrer de Julià Portet 308002 BarcelonaEspanya</t>
  </si>
  <si>
    <t>Laura-June Clarke, Co-founder and Head of Business and A&amp;R</t>
  </si>
  <si>
    <t>Moonai is a mobile app that offers science-based and customized sounds, resources, and pain tracking insights to help relieve period-related pain.</t>
  </si>
  <si>
    <t>hellomoonai@gmail.com</t>
  </si>
  <si>
    <t>https://www.moonai.es/</t>
  </si>
  <si>
    <t>My medic eye</t>
  </si>
  <si>
    <t>Avinguda de Sarrià 14608017 Barcelona BarcelonaEspanya</t>
  </si>
  <si>
    <t>https://www.mymediceye.com/es/</t>
  </si>
  <si>
    <t>Electronics</t>
  </si>
  <si>
    <t>Natural Machines</t>
  </si>
  <si>
    <t>Carrer Lepant 19008013 Barcelona BarcelonaEspanya</t>
  </si>
  <si>
    <t>Lynette Kucsma, Co-Founder &amp; CMO</t>
  </si>
  <si>
    <t>3D printing solutions for products you eat or put on your skin. Food. Pharma. Personal Care.</t>
  </si>
  <si>
    <t>http://www.naturalmachines.com</t>
  </si>
  <si>
    <t>Nen</t>
  </si>
  <si>
    <t>Carrer Brollador 2508197 Sant Cugat del Vallès BarcelonaEspanya</t>
  </si>
  <si>
    <t>Francesca Domenech Wuttke, CEO &amp; founder</t>
  </si>
  <si>
    <t>•	We have founded nen to help kids with cancer their families and HCPs with pain management. nen offers a novel mission-driven approach to address pain management through play leveraging gamification approaches and CBT to modulate pain and improve their overall wellbeing.</t>
  </si>
  <si>
    <t>francesca@nen.health</t>
  </si>
  <si>
    <t>http://www.nen.health/</t>
  </si>
  <si>
    <t>Neurekalab</t>
  </si>
  <si>
    <t>Valles 10608401 Granollers BarcelonaEspanya</t>
  </si>
  <si>
    <t>Sergi Grau, Co-founder</t>
  </si>
  <si>
    <t>NeurekaLAB is a social enterprise, established as a spin-off of the University of Barcelona and the University of Vic-Universitat Central de Catalunya. It was born with the commitment to investigate the learning process as well as the associated difficulties in order to anticipate the needs of children of school age.</t>
  </si>
  <si>
    <t>sergi@neurekalab.com</t>
  </si>
  <si>
    <t>https://www.neurekalab.com/</t>
  </si>
  <si>
    <t>Nixi for Children</t>
  </si>
  <si>
    <t>Carrer de Balmes 132, 3rd floor08008 Barcelona BarcelonaEspanya</t>
  </si>
  <si>
    <t>Tomàs Lóbez, CEO</t>
  </si>
  <si>
    <t>Nixi for Children is a company that develops virtual reality training to help pediatric patients better understand the process they will go through in the hospital and thus avoid perioperative anxiety.</t>
  </si>
  <si>
    <t>hello@nixiforchildren.com</t>
  </si>
  <si>
    <t>https://nixiforchildren.com/es/</t>
  </si>
  <si>
    <t>Nora Health</t>
  </si>
  <si>
    <t>Nora was born as a clinical research project aimed at the active participation of the patient in the control of their disease, thanks to technologies at the service of health, with the aim of guaranteeing the success of interventions beyond the acute phase. Initially as a tool to monitor medication intake and today as a comprehensive management and monitoring platform. Nora Health is a spin-off of Vall d'Hebron Institut de Recerca (VHIR).</t>
  </si>
  <si>
    <t>https://www.nora.bio/</t>
  </si>
  <si>
    <t>Novafarma</t>
  </si>
  <si>
    <t>Gran Via de les Corts Catalanes 69008010 Barcelona BarcelonaEspanya</t>
  </si>
  <si>
    <t>Ana Aliaga, CEO and Founder</t>
  </si>
  <si>
    <t>'+34 634936782</t>
  </si>
  <si>
    <t>Novafarma works to prevent drug-related problems through clinical telepharmacy and artificial intelligence services.
Novofarma brings Clinical Pharmacy closer to patients, caregivers, professionals and health institutions; through digital channels.
We pursue pharmacotherapeutic success, clinical safety and well-being of patients; taking care of its integral therapeutic cycle.
Our purpose is to improve the quality of life related to the health of patients through our proven methodologies, and through our digital services.</t>
  </si>
  <si>
    <t>info@novafarma.es</t>
  </si>
  <si>
    <t>https://novafarma.es/</t>
  </si>
  <si>
    <t>NuboCare</t>
  </si>
  <si>
    <t>Carrer València, 333, 2-208009 Barcelona BarcelonaEspanya</t>
  </si>
  <si>
    <t>Jordi Esquirol, CEO</t>
  </si>
  <si>
    <t>NuboCare is a virtual consultation platform with experienced professionals in the physiotherapy sector. Customer relationship via ICT from anywhere in the world.</t>
  </si>
  <si>
    <t>nubocare@gmail.com</t>
  </si>
  <si>
    <t>http://www.nubocare.eu/</t>
  </si>
  <si>
    <t>Nuna</t>
  </si>
  <si>
    <t>Carrer D’Osona 7 Atico 208023 Barcelona BarcelonaEspanya</t>
  </si>
  <si>
    <t>Nuna is a SaaS-enabled marketplace for mental health experts. It helps people destigmatizing mental support by making it more accessible and involving it as a part of ones lifestyle.</t>
  </si>
  <si>
    <t>http://www.holanuna.com/en</t>
  </si>
  <si>
    <t>NX-Swim</t>
  </si>
  <si>
    <t>08028 Barcelona BarcelonaEspanya</t>
  </si>
  <si>
    <t>Kay Eckelt, Founder &amp; CEO</t>
  </si>
  <si>
    <t>'+34622844976</t>
  </si>
  <si>
    <t>NX≈SWIM is a swim technology company based Barcelona. The company aims to provide customers the most advanced swim technology for improving their performance and make training more interesting and challenging.</t>
  </si>
  <si>
    <t>email@nx-swim.com</t>
  </si>
  <si>
    <t>http://www.nx-swim.com</t>
  </si>
  <si>
    <t>Oliva Therapy</t>
  </si>
  <si>
    <t>Via Laietana 3308003 Barcelona BarcelonaEspanya</t>
  </si>
  <si>
    <t>Javier Suarez, CEO &amp; Co-founder</t>
  </si>
  <si>
    <t>Oliva is meaningful online therapy for busy people. 
We make mental healthcare a natural part of modern daily life by removing the fear and uncertainty from the clinical, complex process of seeking care.</t>
  </si>
  <si>
    <t>hello@oliva.health</t>
  </si>
  <si>
    <t>https://www.oliva.health/</t>
  </si>
  <si>
    <t>Omadre Vida</t>
  </si>
  <si>
    <t>Dhruv Goel, Managing Director</t>
  </si>
  <si>
    <t>OMadre is a healthcare end-to-end solution for neonatal units in hospitals. By performing a barcode cross-validation, OMadre ensures each baby is fed with unexpired milk from his own mother.</t>
  </si>
  <si>
    <t>http://omadre.com</t>
  </si>
  <si>
    <t>Onalabs Healthcare</t>
  </si>
  <si>
    <t>Avinguda de Can Domènech (Campus UAB)08193 Bellaterra BarcelonaEspanya</t>
  </si>
  <si>
    <t>Jordi Garriga Perramon (INACTIU), CEO</t>
  </si>
  <si>
    <t>'+34696039768</t>
  </si>
  <si>
    <t>Onalabs Healthcare designs non-invasive products based on wearable formats that will empower the patients and their families to measure relevant biomarkers anytime and anywhere, allowing them to detect and monitor early stages of possible clinical deterioration.</t>
  </si>
  <si>
    <t>onalabs@onalabs.com</t>
  </si>
  <si>
    <t>https://www.onalabs.com/</t>
  </si>
  <si>
    <t>Online Medicus</t>
  </si>
  <si>
    <t>Passeig Valldoreix, 10708173 Sant Cugat del Vallés BarcelonaEspanya</t>
  </si>
  <si>
    <t>Eugenia Fernandez-Goula, Manager</t>
  </si>
  <si>
    <t>'+34 935 893 113</t>
  </si>
  <si>
    <t>Online Medicus is a company specialized in brokering and promoting access to online pediatric services. The pediatric consultations are attended by professionals through video call, online chat, telephone or email .</t>
  </si>
  <si>
    <t>info@tupediatraonline.com</t>
  </si>
  <si>
    <t>http://www.tupediatraonline.com/</t>
  </si>
  <si>
    <t>Open Health</t>
  </si>
  <si>
    <t>Open Health articulates technology solutions with a strong open source component software products, after having conducted a testing and adaptation to the needs of health care. Achieving lower costs of unnecessary licensing to achieve levels incorporate qualified service at a competitive price.</t>
  </si>
  <si>
    <t>http://openhealth.tech/</t>
  </si>
  <si>
    <t>Optretina</t>
  </si>
  <si>
    <t>Carrer Las Palmas, 1108195 Sant Cugat del Vallès BarcelonaEspanya</t>
  </si>
  <si>
    <t>Didac Royo Fibla, CTO</t>
  </si>
  <si>
    <t>Network of opticians optometrists and ophthalmologists for the prevention of blindness. The network was created for early detection of major diseases causing blindness, through a quick, accessible and affordable test for the entire population.AI-based software that enables the early detection of retina diseases.</t>
  </si>
  <si>
    <t>didac@optretina.com</t>
  </si>
  <si>
    <t>http://www.optretina.com/</t>
  </si>
  <si>
    <t>Oxeen</t>
  </si>
  <si>
    <t>Carrer de Vic 1608006 Barcelona BarcelonaEspanya</t>
  </si>
  <si>
    <t>We are a startup based in Barcelona focused on the monitorization of vital constants.
OXEEN is the solution that monitors bed patients, optimizing hospital workflows, and enhancing quality service.</t>
  </si>
  <si>
    <t>https://oxeencompany.com/</t>
  </si>
  <si>
    <t>Pebble Analytics</t>
  </si>
  <si>
    <t>Pebble is a citizen science-based startup that predicts social risks and their impact.</t>
  </si>
  <si>
    <t>https://pebbleanalytics.com/</t>
  </si>
  <si>
    <t>PhysicalTech</t>
  </si>
  <si>
    <t>Carrer Guillem Tell, 4008006 Barcelona BarcelonaEspanya</t>
  </si>
  <si>
    <t>Sergio Escalera Guerrero, Co-Founder</t>
  </si>
  <si>
    <t>Physicaltech specializes in the analysis of posture and movement. The company have designed the system posture ADiBAS clinical diagnosis, which allows automatically analyze 3D posture. The technology platform uses depth maps obtained from Kinect ™ camera. The data provided by the software determine the distances and angles according to user requirements. PhysicalTech is a spin-off of Universitat de Barcelona (UB).</t>
  </si>
  <si>
    <t>info@physicaltech.com</t>
  </si>
  <si>
    <t>http://www.physicaltech.com</t>
  </si>
  <si>
    <t>Plug&amp;Health</t>
  </si>
  <si>
    <t>Carrer de Llull 5108005 Barcelona BarcelonaEspanya</t>
  </si>
  <si>
    <t>Dinbeat</t>
  </si>
  <si>
    <t>http://plugandhealth.com/</t>
  </si>
  <si>
    <t>Potmath</t>
  </si>
  <si>
    <t>Viveret, 12608221 Terrassa BarcelonaEspanya</t>
  </si>
  <si>
    <t>Contacte Corporatiu - Potmath, Contacte Corporatiu</t>
  </si>
  <si>
    <t>Nuestro objetivo es ayudar a niños con problemas de aprendizaje como son la velocidad lectora, la lateralidad cruzada, la dislexia, la discalculia, el déficit de atención (TDA), el déficit de atención con hiperactividad (TDHA), funciones ejecutivas de atención, la memoria etc..., mediante aplicaciones tecnológicas.</t>
  </si>
  <si>
    <t>potmath@outlook.es</t>
  </si>
  <si>
    <t>https://www.potmath.com/</t>
  </si>
  <si>
    <t>Predictheon Medical</t>
  </si>
  <si>
    <t>Pedro Gambús, Co-founder and CEO</t>
  </si>
  <si>
    <t>'+34687075332</t>
  </si>
  <si>
    <t>Predictheon, a spin-off of Hospital Clinic de Barcelona, develops mathematical models to predict clinically relevant outcomes of patients based on the intensive analysis of large quantities of high-resolution clinical data. Their software packs incorporating the predictive models will be integrated into third-party monitoring and control systems to help clinicians optimize the decision-making process ahead of time, anticipating the occurrence of unwanted adverse events to increase patient safety.</t>
  </si>
  <si>
    <t>info@predictheon.com</t>
  </si>
  <si>
    <t>https://www.predictheon.com/</t>
  </si>
  <si>
    <t>PromoFarma</t>
  </si>
  <si>
    <t>Avinguda diagonal, 53408006 Barcelona BarcelonaEspanya</t>
  </si>
  <si>
    <t>David Masó, Co-Founder</t>
  </si>
  <si>
    <t>'+34902 930 918</t>
  </si>
  <si>
    <t>Zur Rose Group</t>
  </si>
  <si>
    <t>clientes@promofarma.com</t>
  </si>
  <si>
    <t>http://www.promofarma.com</t>
  </si>
  <si>
    <t>Psonrie</t>
  </si>
  <si>
    <t>Avinguda Ernest Lluch, 3208302 Mataró BarcelonaEspanya</t>
  </si>
  <si>
    <t>Jordi Boix Baró, CEO</t>
  </si>
  <si>
    <t>Psonríe is an online psychological guidance service company that offers psychological services, completely anonymous, specialized in day-to-day problems. The company allows people to contact a professional psychologist at any time, from anywhere.</t>
  </si>
  <si>
    <t>jboix@psonrie.com</t>
  </si>
  <si>
    <t>https://www.psonrie.com</t>
  </si>
  <si>
    <t>Psycoco</t>
  </si>
  <si>
    <t>Carrer Enric Granados , 7908330 Premià de Mar BarcelonaEspanya</t>
  </si>
  <si>
    <t>Albert Jovaní Guiral, CEO &amp; Co-Founder</t>
  </si>
  <si>
    <t>Psycoco is a mobile application that helps patients connect with professional psychologists.</t>
  </si>
  <si>
    <t>albertjovani@hotmail.com</t>
  </si>
  <si>
    <t>https://psycocoapp.com</t>
  </si>
  <si>
    <t>Qida</t>
  </si>
  <si>
    <t>C/ Doctor Puig 33, 1r-2a08202 Sabadell BarcelonaEspanya</t>
  </si>
  <si>
    <t>Anna Montanes, Chief Product Officer &amp; Co-Founder</t>
  </si>
  <si>
    <t>'+34 93 012 95 13</t>
  </si>
  <si>
    <t>Qida is a home care company that offers specialized caregiver services for dependent people.</t>
  </si>
  <si>
    <t>hola@qida.es</t>
  </si>
  <si>
    <t>https://qida.es/</t>
  </si>
  <si>
    <t>Quality Pharma Medtech</t>
  </si>
  <si>
    <t>Baldiri Reixac (Parc Científic), 4 - 808028 Barcelona BarcelonaEspanya</t>
  </si>
  <si>
    <t>Josep Lluís Falcó Brenes, Interim Manager</t>
  </si>
  <si>
    <t>Quality Pharma Medtech is a company based on a clinical decision support system to help older patients and their doctors optimise prescriptions and to avoid potential complications caused by drug treatments.</t>
  </si>
  <si>
    <t>jlfalco@genesis-biomed.com</t>
  </si>
  <si>
    <t>http://www.qualitypharma.eu/es/inicio/</t>
  </si>
  <si>
    <t>Reality Telling</t>
  </si>
  <si>
    <t>Carrer de la Ribera 1408003 Barcelona BarcelonaEspanya</t>
  </si>
  <si>
    <t>Mariella Pisciotta, Fundraising</t>
  </si>
  <si>
    <t>Providing 360º/VR content to hospitalized patients to improve their emotional and physical health</t>
  </si>
  <si>
    <t>info@realitytelling.com</t>
  </si>
  <si>
    <t>https://realitytelling.com/</t>
  </si>
  <si>
    <t>RetinaReadRisk</t>
  </si>
  <si>
    <t>Carrer de Baldiri Reixac 808028 Barcelona BarcelonaEspanya</t>
  </si>
  <si>
    <t>Josep Lluís Falcó Brenes, Interim CEO</t>
  </si>
  <si>
    <t>The spin-off RetinaReadRisk has been created for marketing software and a mobile system based on artificial intelligence to detect diabetic retinopathy in the early stages</t>
  </si>
  <si>
    <t>josep.lluis.falco@genesis-biomed.com</t>
  </si>
  <si>
    <t>Roche Diabetes Care Health &amp; Digital Solutions</t>
  </si>
  <si>
    <t>Avinguda de la Generalitat, 171-17308174 Sant Cugat del Vallés BarcelonaEspanya</t>
  </si>
  <si>
    <t>Josep Maria Pascual, Head of Site &amp; Commercial Operations</t>
  </si>
  <si>
    <t>'+34 900 210 341</t>
  </si>
  <si>
    <t>Roche (HQ, Basel, Suïssa)</t>
  </si>
  <si>
    <t>josep-maria.pascual@roche.com</t>
  </si>
  <si>
    <t>https://www.roche.fr/fr/contact.html</t>
  </si>
  <si>
    <t>SalusCoop</t>
  </si>
  <si>
    <t>Ronda de la Universitat 3308007 BarcelonaEspanya</t>
  </si>
  <si>
    <t>Salus.coop aims to legitimize citizens'​ rights to control their own health records while facilitating data sharing to accelerate research innovation in healthcare.</t>
  </si>
  <si>
    <t>https://www.saluscoop.org/</t>
  </si>
  <si>
    <t>Sana Digital Clinic</t>
  </si>
  <si>
    <t>Girona 183 P.3 Pta.108037 Barcelona BarcelonaEspanya</t>
  </si>
  <si>
    <t>Sana is a mobile application that democratizes medicine and making it accessible to all. They connect health professionals with Spanish-speaking patients through video.</t>
  </si>
  <si>
    <t>https://sanatechnology.com/</t>
  </si>
  <si>
    <t>SCollect</t>
  </si>
  <si>
    <t>Via Augusta, nº 42 1º 3ª08006 Barcelona BarcelonaEspanya</t>
  </si>
  <si>
    <t>Javi Martín, CTO</t>
  </si>
  <si>
    <t>'+34 93 681 39 04</t>
  </si>
  <si>
    <t>SCollect is an agile tool for the collection and management of data in clinical trials and observational studies.</t>
  </si>
  <si>
    <t>info@scollect.me</t>
  </si>
  <si>
    <t>http://www.scollect.me</t>
  </si>
  <si>
    <t>SEKG</t>
  </si>
  <si>
    <t>Carrer Sant Joan de la Salle, 4208022 Barcelona BarcelonaEspanya</t>
  </si>
  <si>
    <t>Aleix Canals, Co-Founder</t>
  </si>
  <si>
    <t>'+34 600 150 107</t>
  </si>
  <si>
    <t>Sekg is a start-up company that has created their own product Neuroboard, it is a biofeedback multidevice and multiplatform system that captures and analyzes the information received from biofeedback devices and wearable technologies to identify people's emotional responses.  Using Neuroboard, they offer a consultancy service called EmotionalRT to help companies understand how their customers perceive their contents and products to design better products that their customers really need.</t>
  </si>
  <si>
    <t>info@sekg.net</t>
  </si>
  <si>
    <t>http://www.sekg.net/</t>
  </si>
  <si>
    <t>SeniorDomo</t>
  </si>
  <si>
    <t>Maresme, 24808020 Barcelona BarcelonaEspanya</t>
  </si>
  <si>
    <t>Contacte Corporatiu - SeniorDomo, Contacte Corporatiu</t>
  </si>
  <si>
    <t>Service for the assistance and monitoring of the dependent population.</t>
  </si>
  <si>
    <t>hola@seniordomo.es</t>
  </si>
  <si>
    <t>http://www.seniordomo.es</t>
  </si>
  <si>
    <t>Sensing &amp; Control</t>
  </si>
  <si>
    <t>Aragó 208-210, 5è-1a08011 Barcelona BarcelonaEspanya</t>
  </si>
  <si>
    <t>'+34 931 763 520</t>
  </si>
  <si>
    <t>S&amp;C develops solutions that integrate equipment, applications and consultancy in the disruptive world of the Internet of Things.</t>
  </si>
  <si>
    <t>http://www.sensingcontrol.com</t>
  </si>
  <si>
    <t>Sentir</t>
  </si>
  <si>
    <t>Passatge Buenos Aires 517310 Lloret de Mar GironaEspanya</t>
  </si>
  <si>
    <t>Inés Barneo Caragol, CEO and Founder</t>
  </si>
  <si>
    <t>sentir.laberinto@gmail.com</t>
  </si>
  <si>
    <t>Sherplay</t>
  </si>
  <si>
    <t>Badajoz, 3208005 Barcelona BarcelonaEspanya</t>
  </si>
  <si>
    <t>Juan Manuel Rios Ruh, CEO</t>
  </si>
  <si>
    <t>Doctor Sherplay is a company that offers a cloud-based medical recording system. The company provides a mobile solution that leverages AI to allow healthcare providers to collect and organize medical data.</t>
  </si>
  <si>
    <t>info@sherplay.com</t>
  </si>
  <si>
    <t>https://sherplay.com/</t>
  </si>
  <si>
    <t>Singularity Biomed</t>
  </si>
  <si>
    <t>Avinguda de la Via Augusta 15-2508174 Sant Cugat del Vallès BarcelonaEspanya</t>
  </si>
  <si>
    <t>Manuel Marín, Co-founder &amp;CEO</t>
  </si>
  <si>
    <t>Singularity Biomed is a MedTech startup in the field of rheumatology. We develop innovative solutions using deep technology to improve the quality of life of patients with rheumatic diseases. The company has developed ThermoHand, the first application that use mobile thermography and artificial intelligence to detect arthritis in the hands automatically, accurately, quickly and safely.</t>
  </si>
  <si>
    <t>info@singularity-biomed.com</t>
  </si>
  <si>
    <t>http://www.singularity-biomed.com</t>
  </si>
  <si>
    <t>Skilled Skin</t>
  </si>
  <si>
    <t>Veneçuela, 76 P208019 Barcelona BarcelonaEspanya</t>
  </si>
  <si>
    <t>Contacte Corporatiu - Skilled Skin, Contacte Corporatiu</t>
  </si>
  <si>
    <t>High Performing Digital Dermatology. Capturing medical images by mobile devices is a widespread practice to support clinical diagnostics, there is a huge opportunity to use these digital images to bring more value to patients and health professionals</t>
  </si>
  <si>
    <t>info@clinicgram.com</t>
  </si>
  <si>
    <t>https://www.clinicgram.com/</t>
  </si>
  <si>
    <t>Healthcare Mobile Communication</t>
  </si>
  <si>
    <t>SkinTemp</t>
  </si>
  <si>
    <t>Avinguda Valles, 3008192 Sant Quirze del Vallès BarcelonaEspanya</t>
  </si>
  <si>
    <t>Ignacio Faura Aranda, Founder&amp;CFO / I+D Manager</t>
  </si>
  <si>
    <t>'+34 659 70 68 53</t>
  </si>
  <si>
    <t>SkinTemp is a thermometer that adheres to the skin with an adhesive and that, through a Smartphone equipped with NFC, allows to know and monitor body temperature.</t>
  </si>
  <si>
    <t>info@skintemp.com</t>
  </si>
  <si>
    <t>http://skintemp.com/</t>
  </si>
  <si>
    <t>Smart MedTech Platform (SMTP)</t>
  </si>
  <si>
    <t>Passeig de la Bonanova 1008022 Barcelona BarcelonaEspanya</t>
  </si>
  <si>
    <t>Josep Rodiera, CEO</t>
  </si>
  <si>
    <t>SMTP is an AI-based platform that digitizes and improves the perioperative process. SMTP tools predict and manage potential surgical complications, and personalize the whole process to each patient’s needs leading to a better and safer recovery while saving healthcare costs</t>
  </si>
  <si>
    <t>info@smtp.health</t>
  </si>
  <si>
    <t>https://smtp.health/</t>
  </si>
  <si>
    <t>SmartSalus</t>
  </si>
  <si>
    <t>Avinguda de Vallcarca, 15108023 Barcelona BarcelonaEspanya</t>
  </si>
  <si>
    <t>Sonia Montesinos Poza, CEO &amp; Co-founder</t>
  </si>
  <si>
    <t>'+34900 90 70 59</t>
  </si>
  <si>
    <t>SmartSalus is an independent web that arises to make private medicine accessible for those who need it and at the time they need it, without waiting lists and without fixed monthly payments.</t>
  </si>
  <si>
    <t>info@smartsalus.com</t>
  </si>
  <si>
    <t>http://www.smartsalus.com/</t>
  </si>
  <si>
    <t>Social Diabetes</t>
  </si>
  <si>
    <t>Avinguda Diagonal, 5608019 Barcelona BarcelonaEspanya</t>
  </si>
  <si>
    <t>Víctor Bautista Bermúdez, CTO - Product Development Manager</t>
  </si>
  <si>
    <t>SocialDiabetes is a unified diabetes management platform for type 1 &amp; type 2 diabetes. The company's cloud-based solution provides smartphone-based self care to people with diabetes and remote monitoring for health professionals, enabling personalized population health engagement at scale.</t>
  </si>
  <si>
    <t>admin@socialdiabetes.com</t>
  </si>
  <si>
    <t>http://www.socialdiabetes.com</t>
  </si>
  <si>
    <t>Suanity</t>
  </si>
  <si>
    <t>Carrer Balmes, 39708007 Barcelona BarcelonaEspanya</t>
  </si>
  <si>
    <t>Anna Monells Reixach, Gerent</t>
  </si>
  <si>
    <t>'+34 932 546 903</t>
  </si>
  <si>
    <t>Various services to respond to the needs of the person cared for and their family environment in times of hospitalisation at home, palliative care, support for oncological illnesses and care for people with advanced chronic illnesses.</t>
  </si>
  <si>
    <t>suanity@suanity.com</t>
  </si>
  <si>
    <t>http://www.suanity.com/</t>
  </si>
  <si>
    <t>Sycai Medical</t>
  </si>
  <si>
    <t>Carrer de Roc Boronat 118, MediaTIC08018 BarcelonaEspanya</t>
  </si>
  <si>
    <t>Sara Toledano, CEO &amp; Co-founder</t>
  </si>
  <si>
    <t>Sycai Technologies is a technological start-up, which develops AI-based algorithms, which helps medical professionals in the diagnosis of abdominal injuries and in the prediction of their evolution to increase early-stage cancer detection and improve the quality of life of patients with chronic diseases.</t>
  </si>
  <si>
    <t>info@sycaitechnologies.com</t>
  </si>
  <si>
    <t>https://es.sycaimedical.com/</t>
  </si>
  <si>
    <t>Sylvius</t>
  </si>
  <si>
    <t>Carrer del Doctor Aiguader 8808003 Barcelona BarcelonaEspanya</t>
  </si>
  <si>
    <t>https://www.sylvius.imim.cat/</t>
  </si>
  <si>
    <t>Tech4Health Systems</t>
  </si>
  <si>
    <t>Carrer Sicilia 101. 1º,4º.08013 Barcelona BarcelonaEspanya</t>
  </si>
  <si>
    <t>Alfonso Blanco Guillermo, CEO</t>
  </si>
  <si>
    <t>'+34 618 740 433</t>
  </si>
  <si>
    <t>Tech4Health systems provides information services related to four areas of knowledge: artificial intelligence, imaging diagnosis, secure communications and optimized resources management.</t>
  </si>
  <si>
    <t>alfonso.blanco@tech4healthsys.com</t>
  </si>
  <si>
    <t>http://t4hsys.com/</t>
  </si>
  <si>
    <t>Teladoc Health (Barcelona)</t>
  </si>
  <si>
    <t>Via Augusta 25208017 Barcelona BarcelonaEspanya</t>
  </si>
  <si>
    <t>Carlos Nueno, President</t>
  </si>
  <si>
    <t>Teladoc (HQ, EUA)</t>
  </si>
  <si>
    <t>pr@teladochealth.com</t>
  </si>
  <si>
    <t>Telemedicine Clinic</t>
  </si>
  <si>
    <t>Carrer Marina, 16-18, 21a planta, Torre Mapfre08005 Barcelona BarcelonaEspanya</t>
  </si>
  <si>
    <t>Alexander Böhmcker, CEO</t>
  </si>
  <si>
    <t>'+34 935 500 750</t>
  </si>
  <si>
    <t>Unilabs Group</t>
  </si>
  <si>
    <t>info@telemedicineclinic.com</t>
  </si>
  <si>
    <t>http://www.telemedicineclinic.com</t>
  </si>
  <si>
    <t>Tensormedical</t>
  </si>
  <si>
    <t>Girona GironaEspanya</t>
  </si>
  <si>
    <t>Spin-off of Universitat de Girona (UdG) and Vall d'Hebron Institut de Recerca (VHIR). At tensormedical, we work to help clinical experts to improve care for patients suffering Multiple Sclerosis. We develop unique and automated machine intelligence tools that reduce the error associated with visual reading of magnetic resonance images of patients</t>
  </si>
  <si>
    <t>http://www.tensormedical.ai/</t>
  </si>
  <si>
    <t>Terapme</t>
  </si>
  <si>
    <t>Avinguda Diagonal 21108018 Barcelona BarcelonaEspanya</t>
  </si>
  <si>
    <t>We believe that what you read and watch matters to your mental health and great content is valuable. We’re building a future where well being experts can flourish by being paid directly by readers.</t>
  </si>
  <si>
    <t>https://www.terap.me/</t>
  </si>
  <si>
    <t>Top Doctors (HQ, Barcelona)</t>
  </si>
  <si>
    <t>Carrer Anton Fortuny, 1408950 Esplugues de Llobregat BarcelonaEspanya</t>
  </si>
  <si>
    <t>Alberto E Porciani, CEO and Founder</t>
  </si>
  <si>
    <t>'+34 935 351 260</t>
  </si>
  <si>
    <t>Top Doctors</t>
  </si>
  <si>
    <t>info@topdoctors.es</t>
  </si>
  <si>
    <t>http://www.topdoctors.es/</t>
  </si>
  <si>
    <t>Touchland</t>
  </si>
  <si>
    <t>Can Barneda, 808291 Ripollet BarcelonaEspanya</t>
  </si>
  <si>
    <t>Andrea Lisbona Vives, CEO &amp; Founder</t>
  </si>
  <si>
    <t>'+34 93 561 69 03</t>
  </si>
  <si>
    <t>Touchland has created an innovative hand sanitizer by combining design, technology and quality.</t>
  </si>
  <si>
    <t>info@touchland.com</t>
  </si>
  <si>
    <t>http://www.touchland.com/</t>
  </si>
  <si>
    <t>Trackyourmed</t>
  </si>
  <si>
    <t>Suissa, 9-1108023 Barcelona BarcelonaEspanya</t>
  </si>
  <si>
    <t>Oriol Bestard Matamoros, CEO &amp; Founder</t>
  </si>
  <si>
    <t>An innovative digital technology providing a new patient/doctor interface to enhance prescribed medication compliance</t>
  </si>
  <si>
    <t>corporate@trackyourmed.com</t>
  </si>
  <si>
    <t>http://www.trackyourmed.com/</t>
  </si>
  <si>
    <t>Treat</t>
  </si>
  <si>
    <t>Pau Claris 108, 4-208009 Barcelona BarcelonaEspanya</t>
  </si>
  <si>
    <t>Treat is a Health Community segmented by topics and diseases where users can interact in real time with each other or with experts, as well as receiving information about their topics and interests.</t>
  </si>
  <si>
    <t>https://www.treathealthcare.com.au/treat-app</t>
  </si>
  <si>
    <t>Trialing</t>
  </si>
  <si>
    <t>Carrer de la Diputació 4808015 Barcelona BarcelonaEspanya</t>
  </si>
  <si>
    <t>Trialing helps physicians to easily find the most suitable clinical trial for their patients and to establish direct contact with the principal investigator. No delays, no red tape. Trialing enhances physicians’ performance and makes patient/trial matching more efficient, to the benefit of patients.</t>
  </si>
  <si>
    <t>https://www.trialing.org/</t>
  </si>
  <si>
    <t>TripMedic</t>
  </si>
  <si>
    <t>VIlafranca, 708024 Barcelona BarcelonaEspanya</t>
  </si>
  <si>
    <t>Filippo Meloni, CEO</t>
  </si>
  <si>
    <t>TripMedic is a multilingual medical service providing in-language assistance for the millions Expats, travellers, and immigrants who need it around the world each year.</t>
  </si>
  <si>
    <t>info@tripmedic.com</t>
  </si>
  <si>
    <t>https://tripmedic.com/</t>
  </si>
  <si>
    <t>UhDa Health (Universal Health Digital Access)</t>
  </si>
  <si>
    <t>Carrer de Luis Antúnez 608006 Barcelona BarcelonaEspanya</t>
  </si>
  <si>
    <t>Spin-off company of Universal Doctor. We work with you to co-create evidence-based digital platforms tailored specifically for your unique needs and context. We customize, implement and advise on scientifically proven digital health solutions and how to best deploy them.</t>
  </si>
  <si>
    <t>https://www.uhda.health/</t>
  </si>
  <si>
    <t>Universal Doctor</t>
  </si>
  <si>
    <t>Carrer Lluis Antúnez, 6 (Kubik)08006 Barcelona BarcelonaEspanya</t>
  </si>
  <si>
    <t>Jordi Serrano Pons, Founder &amp; CEO</t>
  </si>
  <si>
    <t>'+34 68 6 6 07  819</t>
  </si>
  <si>
    <t>UniversalDoctor Project facilitates multilingual communication between health professionals and patients who do not share a common language. 
UniversalDoctor Speaker is flagship application built for hospitals, health care professionals and patients to overcome language barriers when delivering or receiving treatment and care. UniversalDoctor Speaker offers thousands of medical questions and answers with audios by native speakers in over 15 languages.</t>
  </si>
  <si>
    <t>info@universaldoctor.com</t>
  </si>
  <si>
    <t>http://www.universaldoctor.com/</t>
  </si>
  <si>
    <t>Up2Smart</t>
  </si>
  <si>
    <t>Avinguda dels Països Catalans, 1843007 Tarragona TarragonaEspanya</t>
  </si>
  <si>
    <t>Pau Puig, CEO</t>
  </si>
  <si>
    <t>UP2Smart focuses on the area of computer vision, which integrates the use of hardware devices as cameras along with image processing algorithms, but also develops other machine learning and big data aplications. The company aims to automate security and inspection solutions, allowing various systems to analyze and understand their environment wich can be aplied to many idustrial, busines or healthcare environments.</t>
  </si>
  <si>
    <t>uptwosmart@gmail.com</t>
  </si>
  <si>
    <t>https://www.up2smart.com/</t>
  </si>
  <si>
    <t>VDMHEALTH</t>
  </si>
  <si>
    <t>Caravel·la la Niña, 22-2408017 Barcelona BarcelonaEspanya</t>
  </si>
  <si>
    <t>Contacte Corporatiu - Virtual Doctor And Medicines, Contacte Corporatiu</t>
  </si>
  <si>
    <t>'+34 93 205 6178</t>
  </si>
  <si>
    <t>Virtual Doctor and Medicines, S.L offer the generation tools, to save time in the best decision-making in pharmacological treatments. The company's intelligence is served directly in the clinical station, with an integration with an existing information system or through the specific subscription of consultation applications for all devices for whom primary attendance, emergencies, hospitalization, specialties.</t>
  </si>
  <si>
    <t>info@vrdocmed.com</t>
  </si>
  <si>
    <t>http://www.vrdocmed.com</t>
  </si>
  <si>
    <t>https://www.bioregio-stern.de/en/database</t>
  </si>
  <si>
    <t>//*[contains(concat( " ", @class, " " ), concat( " ", "local", " " ))]</t>
  </si>
  <si>
    <t>https://www.eu-startups.com/directory/page/1/?dosrch=1&amp;q&amp;wpbdp_view=search&amp;listingfields%5B1%5D&amp;listingfields%5B2%5D=-1&amp;listingfields%5B7%5D=digital%20health&amp;listingfields%5B6%5D&amp;listingfields%5B4%5D=-1&amp;wpbdp_sort=-field-4</t>
  </si>
  <si>
    <t>//*[contains(concat( " ", @class, " " ), concat( " ", "listing-title", " " ))]</t>
  </si>
  <si>
    <t>https://www.eu-startups.com/directory/page/2/?dosrch=1&amp;q&amp;wpbdp_view=search&amp;listingfields%5B1%5D&amp;listingfields%5B2%5D=-1&amp;listingfields%5B7%5D=digital%20health&amp;listingfields%5B6%5D&amp;listingfields%5B4%5D=-1&amp;wpbdp_sort=-field-4</t>
  </si>
  <si>
    <t>https://www.eu-startups.com/directory/page/3/?dosrch=1&amp;q&amp;wpbdp_view=search&amp;listingfields%5B1%5D&amp;listingfields%5B2%5D=-1&amp;listingfields%5B7%5D=digital%20health&amp;listingfields%5B6%5D&amp;listingfields%5B4%5D=-1&amp;wpbdp_sort=-field-4</t>
  </si>
  <si>
    <t>https://www.eu-startups.com/directory/page/4/?dosrch=1&amp;q&amp;wpbdp_view=search&amp;listingfields%5B1%5D&amp;listingfields%5B2%5D=-1&amp;listingfields%5B7%5D=digital%20health&amp;listingfields%5B6%5D&amp;listingfields%5B4%5D=-1&amp;wpbdp_sort=-field-4</t>
  </si>
  <si>
    <t>https://www.eu-startups.com/directory/page/5/?dosrch=1&amp;q&amp;wpbdp_view=search&amp;listingfields%5B1%5D&amp;listingfields%5B2%5D=-1&amp;listingfields%5B7%5D=digital%20health&amp;listingfields%5B6%5D&amp;listingfields%5B4%5D=-1&amp;wpbdp_sort=-field-4</t>
  </si>
  <si>
    <t>https://www.eu-startups.com/directory/page/6/?dosrch=1&amp;q&amp;wpbdp_view=search&amp;listingfields%5B1%5D&amp;listingfields%5B2%5D=-1&amp;listingfields%5B7%5D=digital%20health&amp;listingfields%5B6%5D&amp;listingfields%5B4%5D=-1&amp;wpbdp_sort=-field-4</t>
  </si>
  <si>
    <t>https://www.eu-startups.com/directory/page/7/?dosrch=1&amp;q&amp;wpbdp_view=search&amp;listingfields%5B1%5D&amp;listingfields%5B2%5D=-1&amp;listingfields%5B7%5D=digital%20health&amp;listingfields%5B6%5D&amp;listingfields%5B4%5D=-1&amp;wpbdp_sort=-field-4</t>
  </si>
  <si>
    <t>https://www.eu-startups.com/directory/page/8/?dosrch=1&amp;q&amp;wpbdp_view=search&amp;listingfields%5B1%5D&amp;listingfields%5B2%5D=-1&amp;listingfields%5B7%5D=digital%20health&amp;listingfields%5B6%5D&amp;listingfields%5B4%5D=-1&amp;wpbdp_sort=-field-4</t>
  </si>
  <si>
    <t>https://www.eu-startups.com/directory/page/9/?dosrch=1&amp;q&amp;wpbdp_view=search&amp;listingfields%5B1%5D&amp;listingfields%5B2%5D=-1&amp;listingfields%5B7%5D=digital%20health&amp;listingfields%5B6%5D&amp;listingfields%5B4%5D=-1&amp;wpbdp_sort=-field-4</t>
  </si>
  <si>
    <t>https://www.eu-startups.com/directory/page/10/?dosrch=1&amp;q&amp;wpbdp_view=search&amp;listingfields%5B1%5D&amp;listingfields%5B2%5D=-1&amp;listingfields%5B7%5D=digital%20health&amp;listingfields%5B6%5D&amp;listingfields%5B4%5D=-1&amp;wpbdp_sort=-field-4</t>
  </si>
  <si>
    <t>https://www.eu-startups.com/directory/page/11/?dosrch=1&amp;q&amp;wpbdp_view=search&amp;listingfields%5B1%5D&amp;listingfields%5B2%5D=-1&amp;listingfields%5B7%5D=digital%20health&amp;listingfields%5B6%5D&amp;listingfields%5B4%5D=-1&amp;wpbdp_sort=-field-4</t>
  </si>
  <si>
    <t>https://www.eu-startups.com/directory/page/12/?dosrch=1&amp;q&amp;wpbdp_view=search&amp;listingfields%5B1%5D&amp;listingfields%5B2%5D=-1&amp;listingfields%5B7%5D=digital%20health&amp;listingfields%5B6%5D&amp;listingfields%5B4%5D=-1&amp;wpbdp_sort=-field-4</t>
  </si>
  <si>
    <t>https://www.eu-startups.com/directory/page/13/?dosrch=1&amp;q&amp;wpbdp_view=search&amp;listingfields%5B1%5D&amp;listingfields%5B2%5D=-1&amp;listingfields%5B7%5D=digital%20health&amp;listingfields%5B6%5D&amp;listingfields%5B4%5D=-1&amp;wpbdp_sort=-field-4</t>
  </si>
  <si>
    <t>https://www.eu-startups.com/directory/page/14/?dosrch=1&amp;q&amp;wpbdp_view=search&amp;listingfields%5B1%5D&amp;listingfields%5B2%5D=-1&amp;listingfields%5B7%5D=digital%20health&amp;listingfields%5B6%5D&amp;listingfields%5B4%5D=-1&amp;wpbdp_sort=-field-4</t>
  </si>
  <si>
    <t>https://www.eu-startups.com/directory/page/15/?dosrch=1&amp;q&amp;wpbdp_view=search&amp;listingfields%5B1%5D&amp;listingfields%5B2%5D=-1&amp;listingfields%5B7%5D=digital%20health&amp;listingfields%5B6%5D&amp;listingfields%5B4%5D=-1&amp;wpbdp_sort=-field-4</t>
  </si>
  <si>
    <t>https://www.eu-startups.com/directory/page/16/?dosrch=1&amp;q&amp;wpbdp_view=search&amp;listingfields%5B1%5D&amp;listingfields%5B2%5D=-1&amp;listingfields%5B7%5D=digital%20health&amp;listingfields%5B6%5D&amp;listingfields%5B4%5D=-1&amp;wpbdp_sort=-field-4</t>
  </si>
  <si>
    <t>https://www.eu-startups.com/directory/page/17/?dosrch=1&amp;q&amp;wpbdp_view=search&amp;listingfields%5B1%5D&amp;listingfields%5B2%5D=-1&amp;listingfields%5B7%5D=digital%20health&amp;listingfields%5B6%5D&amp;listingfields%5B4%5D=-1&amp;wpbdp_sort=-field-4</t>
  </si>
  <si>
    <t>https://www.eu-startups.com/directory/page/18/?dosrch=1&amp;q&amp;wpbdp_view=search&amp;listingfields%5B1%5D&amp;listingfields%5B2%5D=-1&amp;listingfields%5B7%5D=digital%20health&amp;listingfields%5B6%5D&amp;listingfields%5B4%5D=-1&amp;wpbdp_sort=-field-4</t>
  </si>
  <si>
    <t>https://www.eu-startups.com/directory/page/19/?dosrch=1&amp;q&amp;wpbdp_view=search&amp;listingfields%5B1%5D&amp;listingfields%5B2%5D=-1&amp;listingfields%5B7%5D=digital%20health&amp;listingfields%5B6%5D&amp;listingfields%5B4%5D=-1&amp;wpbdp_sort=-field-4</t>
  </si>
  <si>
    <t>https://www.eu-startups.com/directory/page/20/?dosrch=1&amp;q&amp;wpbdp_view=search&amp;listingfields%5B1%5D&amp;listingfields%5B2%5D=-1&amp;listingfields%5B7%5D=digital%20health&amp;listingfields%5B6%5D&amp;listingfields%5B4%5D=-1&amp;wpbdp_sort=-field-4</t>
  </si>
  <si>
    <t>https://www.eu-startups.com/directory/page/21/?dosrch=1&amp;q&amp;wpbdp_view=search&amp;listingfields%5B1%5D&amp;listingfields%5B2%5D=-1&amp;listingfields%5B7%5D=digital%20health&amp;listingfields%5B6%5D&amp;listingfields%5B4%5D=-1&amp;wpbdp_sort=-field-4</t>
  </si>
  <si>
    <t>https://www.eu-startups.com/directory/page/22/?dosrch=1&amp;q&amp;wpbdp_view=search&amp;listingfields%5B1%5D&amp;listingfields%5B2%5D=-1&amp;listingfields%5B7%5D=digital%20health&amp;listingfields%5B6%5D&amp;listingfields%5B4%5D=-1&amp;wpbdp_sort=-field-4</t>
  </si>
  <si>
    <t>https://www.eu-startups.com/directory/page/23/?dosrch=1&amp;q&amp;wpbdp_view=search&amp;listingfields%5B1%5D&amp;listingfields%5B2%5D=-1&amp;listingfields%5B7%5D=digital%20health&amp;listingfields%5B6%5D&amp;listingfields%5B4%5D=-1&amp;wpbdp_sort=-field-4</t>
  </si>
  <si>
    <t>https://www.eu-startups.com/directory/page/24/?dosrch=1&amp;q&amp;wpbdp_view=search&amp;listingfields%5B1%5D&amp;listingfields%5B2%5D=-1&amp;listingfields%5B7%5D=digital%20health&amp;listingfields%5B6%5D&amp;listingfields%5B4%5D=-1&amp;wpbdp_sort=-field-4</t>
  </si>
  <si>
    <t>https://www.eu-startups.com/directory/page/25/?dosrch=1&amp;q&amp;wpbdp_view=search&amp;listingfields%5B1%5D&amp;listingfields%5B2%5D=-1&amp;listingfields%5B7%5D=digital%20health&amp;listingfields%5B6%5D&amp;listingfields%5B4%5D=-1&amp;wpbdp_sort=-field-4</t>
  </si>
  <si>
    <t>https://www.eu-startups.com/directory/page/26/?dosrch=1&amp;q&amp;wpbdp_view=search&amp;listingfields%5B1%5D&amp;listingfields%5B2%5D=-1&amp;listingfields%5B7%5D=digital%20health&amp;listingfields%5B6%5D&amp;listingfields%5B4%5D=-1&amp;wpbdp_sort=-field-4</t>
  </si>
  <si>
    <t>https://www.eu-startups.com/directory/page/27/?dosrch=1&amp;q&amp;wpbdp_view=search&amp;listingfields%5B1%5D&amp;listingfields%5B2%5D=-1&amp;listingfields%5B7%5D=digital%20health&amp;listingfields%5B6%5D&amp;listingfields%5B4%5D=-1&amp;wpbdp_sort=-field-4</t>
  </si>
  <si>
    <t>https://www.eu-startups.com/directory/page/28/?dosrch=1&amp;q&amp;wpbdp_view=search&amp;listingfields%5B1%5D&amp;listingfields%5B2%5D=-1&amp;listingfields%5B7%5D=digital%20health&amp;listingfields%5B6%5D&amp;listingfields%5B4%5D=-1&amp;wpbdp_sort=-field-4</t>
  </si>
  <si>
    <t>https://www.eu-startups.com/directory/page/30/?dosrch=1&amp;q&amp;wpbdp_view=search&amp;listingfields%5B1%5D&amp;listingfields%5B2%5D=-1&amp;listingfields%5B7%5D=digital%20health&amp;listingfields%5B6%5D&amp;listingfields%5B4%5D=-1&amp;wpbdp_sort=-field-4</t>
  </si>
  <si>
    <t>https://www.eu-startups.com/directory/page/31/?dosrch=1&amp;q&amp;wpbdp_view=search&amp;listingfields%5B1%5D&amp;listingfields%5B2%5D=-1&amp;listingfields%5B7%5D=digital%20health&amp;listingfields%5B6%5D&amp;listingfields%5B4%5D=-1&amp;wpbdp_sort=-field-4</t>
  </si>
  <si>
    <t>https://www.eu-startups.com/directory/page/32/?dosrch=1&amp;q&amp;wpbdp_view=search&amp;listingfields%5B1%5D&amp;listingfields%5B2%5D=-1&amp;listingfields%5B7%5D=digital%20health&amp;listingfields%5B6%5D&amp;listingfields%5B4%5D=-1&amp;wpbdp_sort=-field-4</t>
  </si>
  <si>
    <t>https://www.eu-startups.com/directory/page/33/?dosrch=1&amp;q&amp;wpbdp_view=search&amp;listingfields%5B1%5D&amp;listingfields%5B2%5D=-1&amp;listingfields%5B7%5D=digital%20health&amp;listingfields%5B6%5D&amp;listingfields%5B4%5D=-1&amp;wpbdp_sort=-field-4</t>
  </si>
  <si>
    <t>https://www.eu-startups.com/directory/page/34/?dosrch=1&amp;q&amp;wpbdp_view=search&amp;listingfields%5B1%5D&amp;listingfields%5B2%5D=-1&amp;listingfields%5B7%5D=digital%20health&amp;listingfields%5B6%5D&amp;listingfields%5B4%5D=-1&amp;wpbdp_sort=-field-4</t>
  </si>
  <si>
    <t>https://www.eu-startups.com/directory/page/35/?dosrch=1&amp;q&amp;wpbdp_view=search&amp;listingfields%5B1%5D&amp;listingfields%5B2%5D=-1&amp;listingfields%5B7%5D=digital%20health&amp;listingfields%5B6%5D&amp;listingfields%5B4%5D=-1&amp;wpbdp_sort=-field-4</t>
  </si>
  <si>
    <t>https://www.eu-startups.com/directory/page/36/?dosrch=1&amp;q&amp;wpbdp_view=search&amp;listingfields%5B1%5D&amp;listingfields%5B2%5D=-1&amp;listingfields%5B7%5D=digital%20health&amp;listingfields%5B6%5D&amp;listingfields%5B4%5D=-1&amp;wpbdp_sort=-field-4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</si>
</sst>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
  </numFmts>
  <fonts count="12">
    <font>
      <sz val="10.0"/>
      <color rgb="FF000000"/>
      <name val="Arial"/>
      <scheme val="minor"/>
    </font>
    <font>
      <u/>
      <color rgb="FF0000FF"/>
    </font>
    <font>
      <color theme="1"/>
      <name val="Arial"/>
      <scheme val="minor"/>
    </font>
    <font>
      <color rgb="FF000000"/>
      <name val="Arial"/>
      <scheme val="minor"/>
    </font>
    <font>
      <color rgb="FFFFFFFF"/>
      <name val="Arial"/>
      <scheme val="minor"/>
    </font>
    <font>
      <u/>
      <color rgb="FF0000FF"/>
    </font>
    <font>
      <sz val="9.0"/>
      <color rgb="FF000000"/>
      <name val="&quot;Google Sans Mono&quot;"/>
    </font>
    <font>
      <u/>
      <color rgb="FF0000FF"/>
    </font>
    <font>
      <b/>
      <color rgb="FFFFFFFF"/>
      <name val="Arial"/>
      <scheme val="minor"/>
    </font>
    <font>
      <u/>
      <color rgb="FF0000FF"/>
    </font>
    <font>
      <u/>
      <sz val="9.0"/>
      <color rgb="FF000000"/>
      <name val="&quot;Google Sans Mono&quot;"/>
    </font>
    <font>
      <u/>
      <color rgb="FF000000"/>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2" fontId="2" numFmtId="0" xfId="0" applyFont="1"/>
    <xf borderId="0" fillId="0" fontId="2" numFmtId="0" xfId="0" applyFont="1"/>
    <xf borderId="0" fillId="0" fontId="5" numFmtId="0" xfId="0" applyFont="1"/>
    <xf borderId="0" fillId="3" fontId="6" numFmtId="0" xfId="0" applyFill="1" applyFont="1"/>
    <xf borderId="0" fillId="0" fontId="7" numFmtId="0" xfId="0" applyAlignment="1" applyFont="1">
      <alignment readingOrder="0"/>
    </xf>
    <xf borderId="0" fillId="2" fontId="8" numFmtId="0" xfId="0" applyFont="1"/>
    <xf borderId="0" fillId="0" fontId="9" numFmtId="0" xfId="0" applyAlignment="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2" fontId="4" numFmtId="0" xfId="0" applyFont="1"/>
    <xf borderId="0" fillId="3" fontId="4" numFmtId="0" xfId="0" applyFont="1"/>
    <xf borderId="0" fillId="3" fontId="4" numFmtId="0" xfId="0" applyAlignment="1" applyFont="1">
      <alignment readingOrder="0"/>
    </xf>
    <xf borderId="0" fillId="3" fontId="6" numFmtId="0" xfId="0" applyAlignment="1" applyFont="1">
      <alignment readingOrder="0"/>
    </xf>
    <xf borderId="0" fillId="3" fontId="10" numFmtId="0" xfId="0" applyAlignment="1" applyFont="1">
      <alignment readingOrder="0"/>
    </xf>
    <xf borderId="0" fillId="0" fontId="2" numFmtId="164" xfId="0" applyAlignment="1" applyFont="1" applyNumberFormat="1">
      <alignment readingOrder="0"/>
    </xf>
    <xf quotePrefix="1" borderId="0" fillId="0" fontId="2" numFmtId="0" xfId="0" applyAlignment="1" applyFont="1">
      <alignment readingOrder="0"/>
    </xf>
    <xf borderId="0" fillId="0" fontId="2" numFmtId="164" xfId="0" applyFont="1" applyNumberFormat="1"/>
    <xf borderId="0" fillId="2" fontId="8" numFmtId="0" xfId="0" applyAlignment="1" applyFont="1">
      <alignment readingOrder="0"/>
    </xf>
    <xf borderId="0" fillId="3"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db.com" TargetMode="External"/><Relationship Id="rId22" Type="http://schemas.openxmlformats.org/officeDocument/2006/relationships/hyperlink" Target="http://www.dsm.com" TargetMode="External"/><Relationship Id="rId21" Type="http://schemas.openxmlformats.org/officeDocument/2006/relationships/hyperlink" Target="http://www.dreso.com" TargetMode="External"/><Relationship Id="rId24" Type="http://schemas.openxmlformats.org/officeDocument/2006/relationships/hyperlink" Target="http://www.elschner-consulting.de" TargetMode="External"/><Relationship Id="rId23" Type="http://schemas.openxmlformats.org/officeDocument/2006/relationships/hyperlink" Target="https://www.elevabiologics.com" TargetMode="External"/><Relationship Id="rId1" Type="http://schemas.openxmlformats.org/officeDocument/2006/relationships/hyperlink" Target="https://www.biovalley.de/mitglieder/liste-der-mitglieder" TargetMode="External"/><Relationship Id="rId2" Type="http://schemas.openxmlformats.org/officeDocument/2006/relationships/hyperlink" Target="http://www.aopharma.de" TargetMode="External"/><Relationship Id="rId3" Type="http://schemas.openxmlformats.org/officeDocument/2006/relationships/hyperlink" Target="https://informatik.uni-freiburg.de" TargetMode="External"/><Relationship Id="rId4" Type="http://schemas.openxmlformats.org/officeDocument/2006/relationships/hyperlink" Target="http://www.arcondis.com" TargetMode="External"/><Relationship Id="rId9" Type="http://schemas.openxmlformats.org/officeDocument/2006/relationships/hyperlink" Target="http://www.biocopy.de" TargetMode="External"/><Relationship Id="rId26" Type="http://schemas.openxmlformats.org/officeDocument/2006/relationships/hyperlink" Target="http://www.genovac.com" TargetMode="External"/><Relationship Id="rId25" Type="http://schemas.openxmlformats.org/officeDocument/2006/relationships/hyperlink" Target="http://www.fwtm.de" TargetMode="External"/><Relationship Id="rId28" Type="http://schemas.openxmlformats.org/officeDocument/2006/relationships/hyperlink" Target="http://www.gxp-logistics.de" TargetMode="External"/><Relationship Id="rId27" Type="http://schemas.openxmlformats.org/officeDocument/2006/relationships/hyperlink" Target="http://www.goodbot.de" TargetMode="External"/><Relationship Id="rId5" Type="http://schemas.openxmlformats.org/officeDocument/2006/relationships/hyperlink" Target="http://www.atg-biosynthetics.com" TargetMode="External"/><Relationship Id="rId6" Type="http://schemas.openxmlformats.org/officeDocument/2006/relationships/hyperlink" Target="http://www.diarect.com" TargetMode="External"/><Relationship Id="rId29" Type="http://schemas.openxmlformats.org/officeDocument/2006/relationships/hyperlink" Target="http://www.hls-og.de" TargetMode="External"/><Relationship Id="rId7" Type="http://schemas.openxmlformats.org/officeDocument/2006/relationships/hyperlink" Target="http://www.bestminds.de" TargetMode="External"/><Relationship Id="rId8" Type="http://schemas.openxmlformats.org/officeDocument/2006/relationships/hyperlink" Target="http://www.biochema-gmbh.de" TargetMode="External"/><Relationship Id="rId31" Type="http://schemas.openxmlformats.org/officeDocument/2006/relationships/drawing" Target="../drawings/drawing1.xml"/><Relationship Id="rId30" Type="http://schemas.openxmlformats.org/officeDocument/2006/relationships/hyperlink" Target="http://www.hwi-group.de" TargetMode="External"/><Relationship Id="rId11" Type="http://schemas.openxmlformats.org/officeDocument/2006/relationships/hyperlink" Target="http://www.bioss.uni-freiburg.de" TargetMode="External"/><Relationship Id="rId10" Type="http://schemas.openxmlformats.org/officeDocument/2006/relationships/hyperlink" Target="http://www.biofluidix.com" TargetMode="External"/><Relationship Id="rId13" Type="http://schemas.openxmlformats.org/officeDocument/2006/relationships/hyperlink" Target="http://www.cellgenix.de" TargetMode="External"/><Relationship Id="rId12" Type="http://schemas.openxmlformats.org/officeDocument/2006/relationships/hyperlink" Target="http://www.capcobio.de" TargetMode="External"/><Relationship Id="rId15" Type="http://schemas.openxmlformats.org/officeDocument/2006/relationships/hyperlink" Target="http://www.chemcon.com" TargetMode="External"/><Relationship Id="rId14" Type="http://schemas.openxmlformats.org/officeDocument/2006/relationships/hyperlink" Target="http://www.criver.com" TargetMode="External"/><Relationship Id="rId17" Type="http://schemas.openxmlformats.org/officeDocument/2006/relationships/hyperlink" Target="http://www.crc.de" TargetMode="External"/><Relationship Id="rId16" Type="http://schemas.openxmlformats.org/officeDocument/2006/relationships/hyperlink" Target="http://www.chemgineering.com" TargetMode="External"/><Relationship Id="rId19" Type="http://schemas.openxmlformats.org/officeDocument/2006/relationships/hyperlink" Target="http://www.cytiva.com" TargetMode="External"/><Relationship Id="rId18" Type="http://schemas.openxmlformats.org/officeDocument/2006/relationships/hyperlink" Target="http://www.cw-notio.com"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clickdoctors.es/" TargetMode="External"/><Relationship Id="rId190" Type="http://schemas.openxmlformats.org/officeDocument/2006/relationships/hyperlink" Target="https://www.treathealthcare.com.au/treat-app" TargetMode="External"/><Relationship Id="rId42" Type="http://schemas.openxmlformats.org/officeDocument/2006/relationships/hyperlink" Target="http://www.color-sensing.com" TargetMode="External"/><Relationship Id="rId41" Type="http://schemas.openxmlformats.org/officeDocument/2006/relationships/hyperlink" Target="http://www.clinicpoint.com/" TargetMode="External"/><Relationship Id="rId44" Type="http://schemas.openxmlformats.org/officeDocument/2006/relationships/hyperlink" Target="http://www.connecthink.pro" TargetMode="External"/><Relationship Id="rId194" Type="http://schemas.openxmlformats.org/officeDocument/2006/relationships/hyperlink" Target="http://www.universaldoctor.com/" TargetMode="External"/><Relationship Id="rId43" Type="http://schemas.openxmlformats.org/officeDocument/2006/relationships/hyperlink" Target="https://www.colorstheapp.info/" TargetMode="External"/><Relationship Id="rId193" Type="http://schemas.openxmlformats.org/officeDocument/2006/relationships/hyperlink" Target="https://www.uhda.health/" TargetMode="External"/><Relationship Id="rId46" Type="http://schemas.openxmlformats.org/officeDocument/2006/relationships/hyperlink" Target="http://myhealthwatcher.es/" TargetMode="External"/><Relationship Id="rId192" Type="http://schemas.openxmlformats.org/officeDocument/2006/relationships/hyperlink" Target="https://tripmedic.com/" TargetMode="External"/><Relationship Id="rId45" Type="http://schemas.openxmlformats.org/officeDocument/2006/relationships/hyperlink" Target="https://www.crisalix.com" TargetMode="External"/><Relationship Id="rId191" Type="http://schemas.openxmlformats.org/officeDocument/2006/relationships/hyperlink" Target="https://www.trialing.org/" TargetMode="External"/><Relationship Id="rId48" Type="http://schemas.openxmlformats.org/officeDocument/2006/relationships/hyperlink" Target="http://www.cuorecare.es" TargetMode="External"/><Relationship Id="rId187" Type="http://schemas.openxmlformats.org/officeDocument/2006/relationships/hyperlink" Target="http://www.topdoctors.es/" TargetMode="External"/><Relationship Id="rId47" Type="http://schemas.openxmlformats.org/officeDocument/2006/relationships/hyperlink" Target="https://cuideo.com/" TargetMode="External"/><Relationship Id="rId186" Type="http://schemas.openxmlformats.org/officeDocument/2006/relationships/hyperlink" Target="https://www.terap.me/" TargetMode="External"/><Relationship Id="rId185" Type="http://schemas.openxmlformats.org/officeDocument/2006/relationships/hyperlink" Target="http://www.tensormedical.ai/" TargetMode="External"/><Relationship Id="rId49" Type="http://schemas.openxmlformats.org/officeDocument/2006/relationships/hyperlink" Target="https://www.athousandcolibris.com/" TargetMode="External"/><Relationship Id="rId184" Type="http://schemas.openxmlformats.org/officeDocument/2006/relationships/hyperlink" Target="http://www.telemedicineclinic.com" TargetMode="External"/><Relationship Id="rId189" Type="http://schemas.openxmlformats.org/officeDocument/2006/relationships/hyperlink" Target="http://www.trackyourmed.com/" TargetMode="External"/><Relationship Id="rId188" Type="http://schemas.openxmlformats.org/officeDocument/2006/relationships/hyperlink" Target="http://www.touchland.com/" TargetMode="External"/><Relationship Id="rId31" Type="http://schemas.openxmlformats.org/officeDocument/2006/relationships/hyperlink" Target="http://www.butlerscientifics.com" TargetMode="External"/><Relationship Id="rId30" Type="http://schemas.openxmlformats.org/officeDocument/2006/relationships/hyperlink" Target="https://broomx.com/" TargetMode="External"/><Relationship Id="rId33" Type="http://schemas.openxmlformats.org/officeDocument/2006/relationships/hyperlink" Target="http://www.cardiosos.com" TargetMode="External"/><Relationship Id="rId183" Type="http://schemas.openxmlformats.org/officeDocument/2006/relationships/hyperlink" Target="http://t4hsys.com/" TargetMode="External"/><Relationship Id="rId32" Type="http://schemas.openxmlformats.org/officeDocument/2006/relationships/hyperlink" Target="https://cannabity.com/" TargetMode="External"/><Relationship Id="rId182" Type="http://schemas.openxmlformats.org/officeDocument/2006/relationships/hyperlink" Target="https://www.sylvius.imim.cat/" TargetMode="External"/><Relationship Id="rId35" Type="http://schemas.openxmlformats.org/officeDocument/2006/relationships/hyperlink" Target="http://www.care-respite.com/" TargetMode="External"/><Relationship Id="rId181" Type="http://schemas.openxmlformats.org/officeDocument/2006/relationships/hyperlink" Target="https://es.sycaimedical.com/" TargetMode="External"/><Relationship Id="rId34" Type="http://schemas.openxmlformats.org/officeDocument/2006/relationships/hyperlink" Target="https://www.cardiumm.com/" TargetMode="External"/><Relationship Id="rId180" Type="http://schemas.openxmlformats.org/officeDocument/2006/relationships/hyperlink" Target="http://www.suanity.com/" TargetMode="External"/><Relationship Id="rId37" Type="http://schemas.openxmlformats.org/officeDocument/2006/relationships/hyperlink" Target="http://changedyslexia.org" TargetMode="External"/><Relationship Id="rId176" Type="http://schemas.openxmlformats.org/officeDocument/2006/relationships/hyperlink" Target="http://skintemp.com/" TargetMode="External"/><Relationship Id="rId36" Type="http://schemas.openxmlformats.org/officeDocument/2006/relationships/hyperlink" Target="https://www.cdclinic.es/" TargetMode="External"/><Relationship Id="rId175" Type="http://schemas.openxmlformats.org/officeDocument/2006/relationships/hyperlink" Target="https://www.clinicgram.com/" TargetMode="External"/><Relationship Id="rId39" Type="http://schemas.openxmlformats.org/officeDocument/2006/relationships/hyperlink" Target="https://cita.io/" TargetMode="External"/><Relationship Id="rId174" Type="http://schemas.openxmlformats.org/officeDocument/2006/relationships/hyperlink" Target="http://www.singularity-biomed.com" TargetMode="External"/><Relationship Id="rId38" Type="http://schemas.openxmlformats.org/officeDocument/2006/relationships/hyperlink" Target="http://cita.io" TargetMode="External"/><Relationship Id="rId173" Type="http://schemas.openxmlformats.org/officeDocument/2006/relationships/hyperlink" Target="https://sherplay.com/" TargetMode="External"/><Relationship Id="rId179" Type="http://schemas.openxmlformats.org/officeDocument/2006/relationships/hyperlink" Target="http://www.socialdiabetes.com" TargetMode="External"/><Relationship Id="rId178" Type="http://schemas.openxmlformats.org/officeDocument/2006/relationships/hyperlink" Target="http://www.smartsalus.com/" TargetMode="External"/><Relationship Id="rId177" Type="http://schemas.openxmlformats.org/officeDocument/2006/relationships/hyperlink" Target="https://smtp.health/" TargetMode="External"/><Relationship Id="rId20" Type="http://schemas.openxmlformats.org/officeDocument/2006/relationships/hyperlink" Target="http://aureel.com/" TargetMode="External"/><Relationship Id="rId22" Type="http://schemas.openxmlformats.org/officeDocument/2006/relationships/hyperlink" Target="https://bettaircities.com/es/home-page-es/" TargetMode="External"/><Relationship Id="rId21" Type="http://schemas.openxmlformats.org/officeDocument/2006/relationships/hyperlink" Target="http://goayo.com" TargetMode="External"/><Relationship Id="rId24" Type="http://schemas.openxmlformats.org/officeDocument/2006/relationships/hyperlink" Target="http://www.bioaccez.com" TargetMode="External"/><Relationship Id="rId23" Type="http://schemas.openxmlformats.org/officeDocument/2006/relationships/hyperlink" Target="http://bettercare.es/" TargetMode="External"/><Relationship Id="rId26" Type="http://schemas.openxmlformats.org/officeDocument/2006/relationships/hyperlink" Target="http://www.blistersuite.es/" TargetMode="External"/><Relationship Id="rId25" Type="http://schemas.openxmlformats.org/officeDocument/2006/relationships/hyperlink" Target="http://bitac.com" TargetMode="External"/><Relationship Id="rId28" Type="http://schemas.openxmlformats.org/officeDocument/2006/relationships/hyperlink" Target="http://www.gnpt.es" TargetMode="External"/><Relationship Id="rId27" Type="http://schemas.openxmlformats.org/officeDocument/2006/relationships/hyperlink" Target="https://professionals.bonoom.com/" TargetMode="External"/><Relationship Id="rId29" Type="http://schemas.openxmlformats.org/officeDocument/2006/relationships/hyperlink" Target="http://www.braingaze.com/" TargetMode="External"/><Relationship Id="rId11" Type="http://schemas.openxmlformats.org/officeDocument/2006/relationships/hyperlink" Target="https://www.aimentia.com/" TargetMode="External"/><Relationship Id="rId10" Type="http://schemas.openxmlformats.org/officeDocument/2006/relationships/hyperlink" Target="http://www.adiccare.com/" TargetMode="External"/><Relationship Id="rId13" Type="http://schemas.openxmlformats.org/officeDocument/2006/relationships/hyperlink" Target="http://www.allergeneat.com" TargetMode="External"/><Relationship Id="rId12" Type="http://schemas.openxmlformats.org/officeDocument/2006/relationships/hyperlink" Target="https://aischannel.com/" TargetMode="External"/><Relationship Id="rId15" Type="http://schemas.openxmlformats.org/officeDocument/2006/relationships/hyperlink" Target="http://www.alma-medical.com/" TargetMode="External"/><Relationship Id="rId14" Type="http://schemas.openxmlformats.org/officeDocument/2006/relationships/hyperlink" Target="http://www.allinonedoctors.com/" TargetMode="External"/><Relationship Id="rId197" Type="http://schemas.openxmlformats.org/officeDocument/2006/relationships/drawing" Target="../drawings/drawing10.xml"/><Relationship Id="rId17" Type="http://schemas.openxmlformats.org/officeDocument/2006/relationships/hyperlink" Target="https://www.amalfianalytics.com" TargetMode="External"/><Relationship Id="rId196" Type="http://schemas.openxmlformats.org/officeDocument/2006/relationships/hyperlink" Target="http://www.vrdocmed.com" TargetMode="External"/><Relationship Id="rId16" Type="http://schemas.openxmlformats.org/officeDocument/2006/relationships/hyperlink" Target="http://www.alteraid.com/" TargetMode="External"/><Relationship Id="rId195" Type="http://schemas.openxmlformats.org/officeDocument/2006/relationships/hyperlink" Target="https://www.up2smart.com/" TargetMode="External"/><Relationship Id="rId19" Type="http://schemas.openxmlformats.org/officeDocument/2006/relationships/hyperlink" Target="http://www.atomian.com/" TargetMode="External"/><Relationship Id="rId18" Type="http://schemas.openxmlformats.org/officeDocument/2006/relationships/hyperlink" Target="https://ameliavirtualcare.com/" TargetMode="External"/><Relationship Id="rId84" Type="http://schemas.openxmlformats.org/officeDocument/2006/relationships/hyperlink" Target="https://www.healthcircuit.es/" TargetMode="External"/><Relationship Id="rId83" Type="http://schemas.openxmlformats.org/officeDocument/2006/relationships/hyperlink" Target="https://www.gymforless.com" TargetMode="External"/><Relationship Id="rId86" Type="http://schemas.openxmlformats.org/officeDocument/2006/relationships/hyperlink" Target="http://healthcor.cat/es/" TargetMode="External"/><Relationship Id="rId85" Type="http://schemas.openxmlformats.org/officeDocument/2006/relationships/hyperlink" Target="https://bcnhealthapp.com/" TargetMode="External"/><Relationship Id="rId88" Type="http://schemas.openxmlformats.org/officeDocument/2006/relationships/hyperlink" Target="http://www.hesoftgroup.eu/" TargetMode="External"/><Relationship Id="rId150" Type="http://schemas.openxmlformats.org/officeDocument/2006/relationships/hyperlink" Target="https://www.onalabs.com/" TargetMode="External"/><Relationship Id="rId87" Type="http://schemas.openxmlformats.org/officeDocument/2006/relationships/hyperlink" Target="https://www.healthquay.com/" TargetMode="External"/><Relationship Id="rId89" Type="http://schemas.openxmlformats.org/officeDocument/2006/relationships/hyperlink" Target="https://www.hhp.es" TargetMode="External"/><Relationship Id="rId80" Type="http://schemas.openxmlformats.org/officeDocument/2006/relationships/hyperlink" Target="https://www.gloria.digital/landing" TargetMode="External"/><Relationship Id="rId82" Type="http://schemas.openxmlformats.org/officeDocument/2006/relationships/hyperlink" Target="https://gooapps.es/" TargetMode="External"/><Relationship Id="rId81" Type="http://schemas.openxmlformats.org/officeDocument/2006/relationships/hyperlink" Target="http://goomedical.es/" TargetMode="External"/><Relationship Id="rId1" Type="http://schemas.openxmlformats.org/officeDocument/2006/relationships/hyperlink" Target="http://www.3dtechomegazeta.com" TargetMode="External"/><Relationship Id="rId2" Type="http://schemas.openxmlformats.org/officeDocument/2006/relationships/hyperlink" Target="https://www.3d-shaper.com/en/index.html" TargetMode="External"/><Relationship Id="rId3" Type="http://schemas.openxmlformats.org/officeDocument/2006/relationships/hyperlink" Target="https://3dthinks.com/" TargetMode="External"/><Relationship Id="rId149" Type="http://schemas.openxmlformats.org/officeDocument/2006/relationships/hyperlink" Target="http://omadre.com" TargetMode="External"/><Relationship Id="rId4" Type="http://schemas.openxmlformats.org/officeDocument/2006/relationships/hyperlink" Target="http://www.visionmedicavirtual.com" TargetMode="External"/><Relationship Id="rId148" Type="http://schemas.openxmlformats.org/officeDocument/2006/relationships/hyperlink" Target="https://www.oliva.health/" TargetMode="External"/><Relationship Id="rId9" Type="http://schemas.openxmlformats.org/officeDocument/2006/relationships/hyperlink" Target="http://www.adaptivecity.com/" TargetMode="External"/><Relationship Id="rId143" Type="http://schemas.openxmlformats.org/officeDocument/2006/relationships/hyperlink" Target="https://www.nora.bio/" TargetMode="External"/><Relationship Id="rId142" Type="http://schemas.openxmlformats.org/officeDocument/2006/relationships/hyperlink" Target="https://nixiforchildren.com/es/" TargetMode="External"/><Relationship Id="rId141" Type="http://schemas.openxmlformats.org/officeDocument/2006/relationships/hyperlink" Target="https://www.neurekalab.com/" TargetMode="External"/><Relationship Id="rId140" Type="http://schemas.openxmlformats.org/officeDocument/2006/relationships/hyperlink" Target="http://www.nen.health/" TargetMode="External"/><Relationship Id="rId5" Type="http://schemas.openxmlformats.org/officeDocument/2006/relationships/hyperlink" Target="http://8wires.io" TargetMode="External"/><Relationship Id="rId147" Type="http://schemas.openxmlformats.org/officeDocument/2006/relationships/hyperlink" Target="http://www.nx-swim.com" TargetMode="External"/><Relationship Id="rId6" Type="http://schemas.openxmlformats.org/officeDocument/2006/relationships/hyperlink" Target="http://www.abeonahealth.com/" TargetMode="External"/><Relationship Id="rId146" Type="http://schemas.openxmlformats.org/officeDocument/2006/relationships/hyperlink" Target="http://www.holanuna.com/en" TargetMode="External"/><Relationship Id="rId7" Type="http://schemas.openxmlformats.org/officeDocument/2006/relationships/hyperlink" Target="https://www.abzu.ai/" TargetMode="External"/><Relationship Id="rId145" Type="http://schemas.openxmlformats.org/officeDocument/2006/relationships/hyperlink" Target="http://www.nubocare.eu/" TargetMode="External"/><Relationship Id="rId8" Type="http://schemas.openxmlformats.org/officeDocument/2006/relationships/hyperlink" Target="https://accexible.com/" TargetMode="External"/><Relationship Id="rId144" Type="http://schemas.openxmlformats.org/officeDocument/2006/relationships/hyperlink" Target="https://novafarma.es/" TargetMode="External"/><Relationship Id="rId73" Type="http://schemas.openxmlformats.org/officeDocument/2006/relationships/hyperlink" Target="https://www.evolutivemedica.com/" TargetMode="External"/><Relationship Id="rId72" Type="http://schemas.openxmlformats.org/officeDocument/2006/relationships/hyperlink" Target="https://www.pcb.ub.edu/empresa/everai-medical-technologies/" TargetMode="External"/><Relationship Id="rId75" Type="http://schemas.openxmlformats.org/officeDocument/2006/relationships/hyperlink" Target="https://www.fisiovirtual.com/" TargetMode="External"/><Relationship Id="rId74" Type="http://schemas.openxmlformats.org/officeDocument/2006/relationships/hyperlink" Target="https://www.farmaconfianza.com/" TargetMode="External"/><Relationship Id="rId77" Type="http://schemas.openxmlformats.org/officeDocument/2006/relationships/hyperlink" Target="http://www.galgomedical.com/" TargetMode="External"/><Relationship Id="rId76" Type="http://schemas.openxmlformats.org/officeDocument/2006/relationships/hyperlink" Target="https://www.frontwave.io/" TargetMode="External"/><Relationship Id="rId79" Type="http://schemas.openxmlformats.org/officeDocument/2006/relationships/hyperlink" Target="http://www.glifing.com/" TargetMode="External"/><Relationship Id="rId78" Type="http://schemas.openxmlformats.org/officeDocument/2006/relationships/hyperlink" Target="https://www.gisekdt.com/" TargetMode="External"/><Relationship Id="rId71" Type="http://schemas.openxmlformats.org/officeDocument/2006/relationships/hyperlink" Target="http://www.estimtrack.com" TargetMode="External"/><Relationship Id="rId70" Type="http://schemas.openxmlformats.org/officeDocument/2006/relationships/hyperlink" Target="https://www.ephion.health/" TargetMode="External"/><Relationship Id="rId139" Type="http://schemas.openxmlformats.org/officeDocument/2006/relationships/hyperlink" Target="http://www.naturalmachines.com" TargetMode="External"/><Relationship Id="rId138" Type="http://schemas.openxmlformats.org/officeDocument/2006/relationships/hyperlink" Target="https://www.mymediceye.com/es/" TargetMode="External"/><Relationship Id="rId137" Type="http://schemas.openxmlformats.org/officeDocument/2006/relationships/hyperlink" Target="https://www.moonai.es/" TargetMode="External"/><Relationship Id="rId132" Type="http://schemas.openxmlformats.org/officeDocument/2006/relationships/hyperlink" Target="https://meyo.io/" TargetMode="External"/><Relationship Id="rId131" Type="http://schemas.openxmlformats.org/officeDocument/2006/relationships/hyperlink" Target="http://methinks.es/" TargetMode="External"/><Relationship Id="rId130" Type="http://schemas.openxmlformats.org/officeDocument/2006/relationships/hyperlink" Target="https://mentalxr.com/" TargetMode="External"/><Relationship Id="rId136" Type="http://schemas.openxmlformats.org/officeDocument/2006/relationships/hyperlink" Target="http://mjn.cat/" TargetMode="External"/><Relationship Id="rId135" Type="http://schemas.openxmlformats.org/officeDocument/2006/relationships/hyperlink" Target="https://eyme-vr.com/" TargetMode="External"/><Relationship Id="rId134" Type="http://schemas.openxmlformats.org/officeDocument/2006/relationships/hyperlink" Target="https://www.mimedicus.com/" TargetMode="External"/><Relationship Id="rId133" Type="http://schemas.openxmlformats.org/officeDocument/2006/relationships/hyperlink" Target="http://www.miotrafarmacia.com/" TargetMode="External"/><Relationship Id="rId62" Type="http://schemas.openxmlformats.org/officeDocument/2006/relationships/hyperlink" Target="https://durcal.com/es/" TargetMode="External"/><Relationship Id="rId61" Type="http://schemas.openxmlformats.org/officeDocument/2006/relationships/hyperlink" Target="http://www.dribia.com" TargetMode="External"/><Relationship Id="rId64" Type="http://schemas.openxmlformats.org/officeDocument/2006/relationships/hyperlink" Target="http://www.ecareyou.es/" TargetMode="External"/><Relationship Id="rId63" Type="http://schemas.openxmlformats.org/officeDocument/2006/relationships/hyperlink" Target="https://www.dycare.com/es/" TargetMode="External"/><Relationship Id="rId66" Type="http://schemas.openxmlformats.org/officeDocument/2006/relationships/hyperlink" Target="http://ehealthai.eu/" TargetMode="External"/><Relationship Id="rId172" Type="http://schemas.openxmlformats.org/officeDocument/2006/relationships/hyperlink" Target="http://www.sensingcontrol.com" TargetMode="External"/><Relationship Id="rId65" Type="http://schemas.openxmlformats.org/officeDocument/2006/relationships/hyperlink" Target="https://edryx.net/" TargetMode="External"/><Relationship Id="rId171" Type="http://schemas.openxmlformats.org/officeDocument/2006/relationships/hyperlink" Target="http://www.seniordomo.es" TargetMode="External"/><Relationship Id="rId68" Type="http://schemas.openxmlformats.org/officeDocument/2006/relationships/hyperlink" Target="https://www.letsemjoy.com/" TargetMode="External"/><Relationship Id="rId170" Type="http://schemas.openxmlformats.org/officeDocument/2006/relationships/hyperlink" Target="http://www.sekg.net/" TargetMode="External"/><Relationship Id="rId67" Type="http://schemas.openxmlformats.org/officeDocument/2006/relationships/hyperlink" Target="https://elcoco.es/" TargetMode="External"/><Relationship Id="rId60" Type="http://schemas.openxmlformats.org/officeDocument/2006/relationships/hyperlink" Target="https://dosisapp.com/" TargetMode="External"/><Relationship Id="rId165" Type="http://schemas.openxmlformats.org/officeDocument/2006/relationships/hyperlink" Target="https://realitytelling.com/" TargetMode="External"/><Relationship Id="rId69" Type="http://schemas.openxmlformats.org/officeDocument/2006/relationships/hyperlink" Target="https://emocional.co/" TargetMode="External"/><Relationship Id="rId164" Type="http://schemas.openxmlformats.org/officeDocument/2006/relationships/hyperlink" Target="http://www.qualitypharma.eu/es/inicio/" TargetMode="External"/><Relationship Id="rId163" Type="http://schemas.openxmlformats.org/officeDocument/2006/relationships/hyperlink" Target="https://qida.es/" TargetMode="External"/><Relationship Id="rId162" Type="http://schemas.openxmlformats.org/officeDocument/2006/relationships/hyperlink" Target="https://psycocoapp.com" TargetMode="External"/><Relationship Id="rId169" Type="http://schemas.openxmlformats.org/officeDocument/2006/relationships/hyperlink" Target="http://www.scollect.me" TargetMode="External"/><Relationship Id="rId168" Type="http://schemas.openxmlformats.org/officeDocument/2006/relationships/hyperlink" Target="https://sanatechnology.com/" TargetMode="External"/><Relationship Id="rId167" Type="http://schemas.openxmlformats.org/officeDocument/2006/relationships/hyperlink" Target="https://www.saluscoop.org/" TargetMode="External"/><Relationship Id="rId166" Type="http://schemas.openxmlformats.org/officeDocument/2006/relationships/hyperlink" Target="https://www.roche.fr/fr/contact.html" TargetMode="External"/><Relationship Id="rId51" Type="http://schemas.openxmlformats.org/officeDocument/2006/relationships/hyperlink" Target="https://www.diet-creator.com/es" TargetMode="External"/><Relationship Id="rId50" Type="http://schemas.openxmlformats.org/officeDocument/2006/relationships/hyperlink" Target="http://www.dicus.es/" TargetMode="External"/><Relationship Id="rId53" Type="http://schemas.openxmlformats.org/officeDocument/2006/relationships/hyperlink" Target="https://www.doctivi.com" TargetMode="External"/><Relationship Id="rId52" Type="http://schemas.openxmlformats.org/officeDocument/2006/relationships/hyperlink" Target="https://www.digimevo.com/" TargetMode="External"/><Relationship Id="rId55" Type="http://schemas.openxmlformats.org/officeDocument/2006/relationships/hyperlink" Target="http://www.doctoralia.es" TargetMode="External"/><Relationship Id="rId161" Type="http://schemas.openxmlformats.org/officeDocument/2006/relationships/hyperlink" Target="https://www.psonrie.com" TargetMode="External"/><Relationship Id="rId54" Type="http://schemas.openxmlformats.org/officeDocument/2006/relationships/hyperlink" Target="https://doctomatic.com/" TargetMode="External"/><Relationship Id="rId160" Type="http://schemas.openxmlformats.org/officeDocument/2006/relationships/hyperlink" Target="http://www.promofarma.com" TargetMode="External"/><Relationship Id="rId57" Type="http://schemas.openxmlformats.org/officeDocument/2006/relationships/hyperlink" Target="http://www.doctux.com/" TargetMode="External"/><Relationship Id="rId56" Type="http://schemas.openxmlformats.org/officeDocument/2006/relationships/hyperlink" Target="http://www.doctuo.es/" TargetMode="External"/><Relationship Id="rId159" Type="http://schemas.openxmlformats.org/officeDocument/2006/relationships/hyperlink" Target="https://www.predictheon.com/" TargetMode="External"/><Relationship Id="rId59" Type="http://schemas.openxmlformats.org/officeDocument/2006/relationships/hyperlink" Target="https://www.doolehealth.com/" TargetMode="External"/><Relationship Id="rId154" Type="http://schemas.openxmlformats.org/officeDocument/2006/relationships/hyperlink" Target="https://oxeencompany.com/" TargetMode="External"/><Relationship Id="rId58" Type="http://schemas.openxmlformats.org/officeDocument/2006/relationships/hyperlink" Target="https://wearedomma.com/" TargetMode="External"/><Relationship Id="rId153" Type="http://schemas.openxmlformats.org/officeDocument/2006/relationships/hyperlink" Target="http://www.optretina.com/" TargetMode="External"/><Relationship Id="rId152" Type="http://schemas.openxmlformats.org/officeDocument/2006/relationships/hyperlink" Target="http://openhealth.tech/" TargetMode="External"/><Relationship Id="rId151" Type="http://schemas.openxmlformats.org/officeDocument/2006/relationships/hyperlink" Target="http://www.tupediatraonline.com/" TargetMode="External"/><Relationship Id="rId158" Type="http://schemas.openxmlformats.org/officeDocument/2006/relationships/hyperlink" Target="https://www.potmath.com/" TargetMode="External"/><Relationship Id="rId157" Type="http://schemas.openxmlformats.org/officeDocument/2006/relationships/hyperlink" Target="http://plugandhealth.com/" TargetMode="External"/><Relationship Id="rId156" Type="http://schemas.openxmlformats.org/officeDocument/2006/relationships/hyperlink" Target="http://www.physicaltech.com" TargetMode="External"/><Relationship Id="rId155" Type="http://schemas.openxmlformats.org/officeDocument/2006/relationships/hyperlink" Target="https://pebbleanalytics.com/" TargetMode="External"/><Relationship Id="rId107" Type="http://schemas.openxmlformats.org/officeDocument/2006/relationships/hyperlink" Target="http://www.lactapp.es/" TargetMode="External"/><Relationship Id="rId106" Type="http://schemas.openxmlformats.org/officeDocument/2006/relationships/hyperlink" Target="https://komombo.ai/" TargetMode="External"/><Relationship Id="rId105" Type="http://schemas.openxmlformats.org/officeDocument/2006/relationships/hyperlink" Target="https://koahealth.com/" TargetMode="External"/><Relationship Id="rId104" Type="http://schemas.openxmlformats.org/officeDocument/2006/relationships/hyperlink" Target="https://kiarawomen.com/" TargetMode="External"/><Relationship Id="rId109" Type="http://schemas.openxmlformats.org/officeDocument/2006/relationships/hyperlink" Target="http://www.lifevit.es/" TargetMode="External"/><Relationship Id="rId108" Type="http://schemas.openxmlformats.org/officeDocument/2006/relationships/hyperlink" Target="https://liberiacommunity.net/" TargetMode="External"/><Relationship Id="rId103" Type="http://schemas.openxmlformats.org/officeDocument/2006/relationships/hyperlink" Target="http://www.kamleon.com/" TargetMode="External"/><Relationship Id="rId102" Type="http://schemas.openxmlformats.org/officeDocument/2006/relationships/hyperlink" Target="http://www.jubsolutions.es/" TargetMode="External"/><Relationship Id="rId101" Type="http://schemas.openxmlformats.org/officeDocument/2006/relationships/hyperlink" Target="https://join-talk.com/" TargetMode="External"/><Relationship Id="rId100" Type="http://schemas.openxmlformats.org/officeDocument/2006/relationships/hyperlink" Target="https://www.isalud.com/" TargetMode="External"/><Relationship Id="rId129" Type="http://schemas.openxmlformats.org/officeDocument/2006/relationships/hyperlink" Target="https://www.mental-id.com/" TargetMode="External"/><Relationship Id="rId128" Type="http://schemas.openxmlformats.org/officeDocument/2006/relationships/hyperlink" Target="https://www.mefood.io/" TargetMode="External"/><Relationship Id="rId127" Type="http://schemas.openxmlformats.org/officeDocument/2006/relationships/hyperlink" Target="http://www.meetingdoctors.com/" TargetMode="External"/><Relationship Id="rId126" Type="http://schemas.openxmlformats.org/officeDocument/2006/relationships/hyperlink" Target="http://www.medxat.com/" TargetMode="External"/><Relationship Id="rId121" Type="http://schemas.openxmlformats.org/officeDocument/2006/relationships/hyperlink" Target="http://www.meditic.es" TargetMode="External"/><Relationship Id="rId120" Type="http://schemas.openxmlformats.org/officeDocument/2006/relationships/hyperlink" Target="https://www.mediquo.com/" TargetMode="External"/><Relationship Id="rId125" Type="http://schemas.openxmlformats.org/officeDocument/2006/relationships/hyperlink" Target="http://medvisit.io" TargetMode="External"/><Relationship Id="rId124" Type="http://schemas.openxmlformats.org/officeDocument/2006/relationships/hyperlink" Target="https://www.medtep.com" TargetMode="External"/><Relationship Id="rId123" Type="http://schemas.openxmlformats.org/officeDocument/2006/relationships/hyperlink" Target="https://www.medsbit.com/" TargetMode="External"/><Relationship Id="rId122" Type="http://schemas.openxmlformats.org/officeDocument/2006/relationships/hyperlink" Target="http://www.medliahealth.com" TargetMode="External"/><Relationship Id="rId95" Type="http://schemas.openxmlformats.org/officeDocument/2006/relationships/hyperlink" Target="http://www.imedicplus.com/" TargetMode="External"/><Relationship Id="rId94" Type="http://schemas.openxmlformats.org/officeDocument/2006/relationships/hyperlink" Target="https://www.imacontigo.com" TargetMode="External"/><Relationship Id="rId97" Type="http://schemas.openxmlformats.org/officeDocument/2006/relationships/hyperlink" Target="http://www.grupoinfomed.es" TargetMode="External"/><Relationship Id="rId96" Type="http://schemas.openxmlformats.org/officeDocument/2006/relationships/hyperlink" Target="https://www.improfit.ai/" TargetMode="External"/><Relationship Id="rId99" Type="http://schemas.openxmlformats.org/officeDocument/2006/relationships/hyperlink" Target="http://iomed.es/" TargetMode="External"/><Relationship Id="rId98" Type="http://schemas.openxmlformats.org/officeDocument/2006/relationships/hyperlink" Target="http://innovem.cat/" TargetMode="External"/><Relationship Id="rId91" Type="http://schemas.openxmlformats.org/officeDocument/2006/relationships/hyperlink" Target="http://humanitcare.com" TargetMode="External"/><Relationship Id="rId90" Type="http://schemas.openxmlformats.org/officeDocument/2006/relationships/hyperlink" Target="https://www.higiatech.com/" TargetMode="External"/><Relationship Id="rId93" Type="http://schemas.openxmlformats.org/officeDocument/2006/relationships/hyperlink" Target="https://www.eyesapp.eu/" TargetMode="External"/><Relationship Id="rId92" Type="http://schemas.openxmlformats.org/officeDocument/2006/relationships/hyperlink" Target="http://humantiks.com" TargetMode="External"/><Relationship Id="rId118" Type="http://schemas.openxmlformats.org/officeDocument/2006/relationships/hyperlink" Target="http://www.medikines.com" TargetMode="External"/><Relationship Id="rId117" Type="http://schemas.openxmlformats.org/officeDocument/2006/relationships/hyperlink" Target="https://www.medify.eu/en" TargetMode="External"/><Relationship Id="rId116" Type="http://schemas.openxmlformats.org/officeDocument/2006/relationships/hyperlink" Target="https://medbrain.io/" TargetMode="External"/><Relationship Id="rId115" Type="http://schemas.openxmlformats.org/officeDocument/2006/relationships/hyperlink" Target="https://matchtrial.health/" TargetMode="External"/><Relationship Id="rId119" Type="http://schemas.openxmlformats.org/officeDocument/2006/relationships/hyperlink" Target="http://www.mediktor.com" TargetMode="External"/><Relationship Id="rId110" Type="http://schemas.openxmlformats.org/officeDocument/2006/relationships/hyperlink" Target="http://www.linkcare.es" TargetMode="External"/><Relationship Id="rId114" Type="http://schemas.openxmlformats.org/officeDocument/2006/relationships/hyperlink" Target="https://marvutcare.com/" TargetMode="External"/><Relationship Id="rId113" Type="http://schemas.openxmlformats.org/officeDocument/2006/relationships/hyperlink" Target="http://mangranaventures.com" TargetMode="External"/><Relationship Id="rId112" Type="http://schemas.openxmlformats.org/officeDocument/2006/relationships/hyperlink" Target="https://lucihs.com/" TargetMode="External"/><Relationship Id="rId111" Type="http://schemas.openxmlformats.org/officeDocument/2006/relationships/hyperlink" Target="https://www.logmeal.e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ioregio-stern.de/en/database"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u-startups.com/directory/page/32/?dosrch=1&amp;q&amp;wpbdp_view=search&amp;listingfields%5B1%5D&amp;listingfields%5B2%5D=-1&amp;listingfields%5B7%5D=digital%20health&amp;listingfields%5B6%5D&amp;listingfields%5B4%5D=-1&amp;wpbdp_sort=-field-4" TargetMode="External"/><Relationship Id="rId30" Type="http://schemas.openxmlformats.org/officeDocument/2006/relationships/hyperlink" Target="https://www.eu-startups.com/directory/page/31/?dosrch=1&amp;q&amp;wpbdp_view=search&amp;listingfields%5B1%5D&amp;listingfields%5B2%5D=-1&amp;listingfields%5B7%5D=digital%20health&amp;listingfields%5B6%5D&amp;listingfields%5B4%5D=-1&amp;wpbdp_sort=-field-4" TargetMode="External"/><Relationship Id="rId33" Type="http://schemas.openxmlformats.org/officeDocument/2006/relationships/hyperlink" Target="https://www.eu-startups.com/directory/page/34/?dosrch=1&amp;q&amp;wpbdp_view=search&amp;listingfields%5B1%5D&amp;listingfields%5B2%5D=-1&amp;listingfields%5B7%5D=digital%20health&amp;listingfields%5B6%5D&amp;listingfields%5B4%5D=-1&amp;wpbdp_sort=-field-4" TargetMode="External"/><Relationship Id="rId32" Type="http://schemas.openxmlformats.org/officeDocument/2006/relationships/hyperlink" Target="https://www.eu-startups.com/directory/page/33/?dosrch=1&amp;q&amp;wpbdp_view=search&amp;listingfields%5B1%5D&amp;listingfields%5B2%5D=-1&amp;listingfields%5B7%5D=digital%20health&amp;listingfields%5B6%5D&amp;listingfields%5B4%5D=-1&amp;wpbdp_sort=-field-4" TargetMode="External"/><Relationship Id="rId35" Type="http://schemas.openxmlformats.org/officeDocument/2006/relationships/hyperlink" Target="https://www.eu-startups.com/directory/page/36/?dosrch=1&amp;q&amp;wpbdp_view=search&amp;listingfields%5B1%5D&amp;listingfields%5B2%5D=-1&amp;listingfields%5B7%5D=digital%20health&amp;listingfields%5B6%5D&amp;listingfields%5B4%5D=-1&amp;wpbdp_sort=-field-4" TargetMode="External"/><Relationship Id="rId34" Type="http://schemas.openxmlformats.org/officeDocument/2006/relationships/hyperlink" Target="https://www.eu-startups.com/directory/page/35/?dosrch=1&amp;q&amp;wpbdp_view=search&amp;listingfields%5B1%5D&amp;listingfields%5B2%5D=-1&amp;listingfields%5B7%5D=digital%20health&amp;listingfields%5B6%5D&amp;listingfields%5B4%5D=-1&amp;wpbdp_sort=-field-4" TargetMode="External"/><Relationship Id="rId37" Type="http://schemas.openxmlformats.org/officeDocument/2006/relationships/hyperlink" Target="http://chino.io" TargetMode="External"/><Relationship Id="rId36" Type="http://schemas.openxmlformats.org/officeDocument/2006/relationships/hyperlink" Target="http://behold.ai" TargetMode="External"/><Relationship Id="rId38" Type="http://schemas.openxmlformats.org/officeDocument/2006/relationships/drawing" Target="../drawings/drawing12.xml"/><Relationship Id="rId20" Type="http://schemas.openxmlformats.org/officeDocument/2006/relationships/hyperlink" Target="https://www.eu-startups.com/directory/page/20/?dosrch=1&amp;q&amp;wpbdp_view=search&amp;listingfields%5B1%5D&amp;listingfields%5B2%5D=-1&amp;listingfields%5B7%5D=digital%20health&amp;listingfields%5B6%5D&amp;listingfields%5B4%5D=-1&amp;wpbdp_sort=-field-4" TargetMode="External"/><Relationship Id="rId22" Type="http://schemas.openxmlformats.org/officeDocument/2006/relationships/hyperlink" Target="https://www.eu-startups.com/directory/page/22/?dosrch=1&amp;q&amp;wpbdp_view=search&amp;listingfields%5B1%5D&amp;listingfields%5B2%5D=-1&amp;listingfields%5B7%5D=digital%20health&amp;listingfields%5B6%5D&amp;listingfields%5B4%5D=-1&amp;wpbdp_sort=-field-4" TargetMode="External"/><Relationship Id="rId21" Type="http://schemas.openxmlformats.org/officeDocument/2006/relationships/hyperlink" Target="https://www.eu-startups.com/directory/page/21/?dosrch=1&amp;q&amp;wpbdp_view=search&amp;listingfields%5B1%5D&amp;listingfields%5B2%5D=-1&amp;listingfields%5B7%5D=digital%20health&amp;listingfields%5B6%5D&amp;listingfields%5B4%5D=-1&amp;wpbdp_sort=-field-4" TargetMode="External"/><Relationship Id="rId24" Type="http://schemas.openxmlformats.org/officeDocument/2006/relationships/hyperlink" Target="https://www.eu-startups.com/directory/page/24/?dosrch=1&amp;q&amp;wpbdp_view=search&amp;listingfields%5B1%5D&amp;listingfields%5B2%5D=-1&amp;listingfields%5B7%5D=digital%20health&amp;listingfields%5B6%5D&amp;listingfields%5B4%5D=-1&amp;wpbdp_sort=-field-4" TargetMode="External"/><Relationship Id="rId23" Type="http://schemas.openxmlformats.org/officeDocument/2006/relationships/hyperlink" Target="https://www.eu-startups.com/directory/page/23/?dosrch=1&amp;q&amp;wpbdp_view=search&amp;listingfields%5B1%5D&amp;listingfields%5B2%5D=-1&amp;listingfields%5B7%5D=digital%20health&amp;listingfields%5B6%5D&amp;listingfields%5B4%5D=-1&amp;wpbdp_sort=-field-4" TargetMode="External"/><Relationship Id="rId26" Type="http://schemas.openxmlformats.org/officeDocument/2006/relationships/hyperlink" Target="https://www.eu-startups.com/directory/page/26/?dosrch=1&amp;q&amp;wpbdp_view=search&amp;listingfields%5B1%5D&amp;listingfields%5B2%5D=-1&amp;listingfields%5B7%5D=digital%20health&amp;listingfields%5B6%5D&amp;listingfields%5B4%5D=-1&amp;wpbdp_sort=-field-4" TargetMode="External"/><Relationship Id="rId25" Type="http://schemas.openxmlformats.org/officeDocument/2006/relationships/hyperlink" Target="https://www.eu-startups.com/directory/page/25/?dosrch=1&amp;q&amp;wpbdp_view=search&amp;listingfields%5B1%5D&amp;listingfields%5B2%5D=-1&amp;listingfields%5B7%5D=digital%20health&amp;listingfields%5B6%5D&amp;listingfields%5B4%5D=-1&amp;wpbdp_sort=-field-4" TargetMode="External"/><Relationship Id="rId28" Type="http://schemas.openxmlformats.org/officeDocument/2006/relationships/hyperlink" Target="https://www.eu-startups.com/directory/page/28/?dosrch=1&amp;q&amp;wpbdp_view=search&amp;listingfields%5B1%5D&amp;listingfields%5B2%5D=-1&amp;listingfields%5B7%5D=digital%20health&amp;listingfields%5B6%5D&amp;listingfields%5B4%5D=-1&amp;wpbdp_sort=-field-4" TargetMode="External"/><Relationship Id="rId27" Type="http://schemas.openxmlformats.org/officeDocument/2006/relationships/hyperlink" Target="https://www.eu-startups.com/directory/page/27/?dosrch=1&amp;q&amp;wpbdp_view=search&amp;listingfields%5B1%5D&amp;listingfields%5B2%5D=-1&amp;listingfields%5B7%5D=digital%20health&amp;listingfields%5B6%5D&amp;listingfields%5B4%5D=-1&amp;wpbdp_sort=-field-4" TargetMode="External"/><Relationship Id="rId29" Type="http://schemas.openxmlformats.org/officeDocument/2006/relationships/hyperlink" Target="https://www.eu-startups.com/directory/page/30/?dosrch=1&amp;q&amp;wpbdp_view=search&amp;listingfields%5B1%5D&amp;listingfields%5B2%5D=-1&amp;listingfields%5B7%5D=digital%20health&amp;listingfields%5B6%5D&amp;listingfields%5B4%5D=-1&amp;wpbdp_sort=-field-4" TargetMode="External"/><Relationship Id="rId11" Type="http://schemas.openxmlformats.org/officeDocument/2006/relationships/hyperlink" Target="https://www.eu-startups.com/directory/page/11/?dosrch=1&amp;q&amp;wpbdp_view=search&amp;listingfields%5B1%5D&amp;listingfields%5B2%5D=-1&amp;listingfields%5B7%5D=digital%20health&amp;listingfields%5B6%5D&amp;listingfields%5B4%5D=-1&amp;wpbdp_sort=-field-4" TargetMode="External"/><Relationship Id="rId10" Type="http://schemas.openxmlformats.org/officeDocument/2006/relationships/hyperlink" Target="https://www.eu-startups.com/directory/page/10/?dosrch=1&amp;q&amp;wpbdp_view=search&amp;listingfields%5B1%5D&amp;listingfields%5B2%5D=-1&amp;listingfields%5B7%5D=digital%20health&amp;listingfields%5B6%5D&amp;listingfields%5B4%5D=-1&amp;wpbdp_sort=-field-4" TargetMode="External"/><Relationship Id="rId13" Type="http://schemas.openxmlformats.org/officeDocument/2006/relationships/hyperlink" Target="https://www.eu-startups.com/directory/page/13/?dosrch=1&amp;q&amp;wpbdp_view=search&amp;listingfields%5B1%5D&amp;listingfields%5B2%5D=-1&amp;listingfields%5B7%5D=digital%20health&amp;listingfields%5B6%5D&amp;listingfields%5B4%5D=-1&amp;wpbdp_sort=-field-4" TargetMode="External"/><Relationship Id="rId12" Type="http://schemas.openxmlformats.org/officeDocument/2006/relationships/hyperlink" Target="https://www.eu-startups.com/directory/page/12/?dosrch=1&amp;q&amp;wpbdp_view=search&amp;listingfields%5B1%5D&amp;listingfields%5B2%5D=-1&amp;listingfields%5B7%5D=digital%20health&amp;listingfields%5B6%5D&amp;listingfields%5B4%5D=-1&amp;wpbdp_sort=-field-4" TargetMode="External"/><Relationship Id="rId15" Type="http://schemas.openxmlformats.org/officeDocument/2006/relationships/hyperlink" Target="https://www.eu-startups.com/directory/page/15/?dosrch=1&amp;q&amp;wpbdp_view=search&amp;listingfields%5B1%5D&amp;listingfields%5B2%5D=-1&amp;listingfields%5B7%5D=digital%20health&amp;listingfields%5B6%5D&amp;listingfields%5B4%5D=-1&amp;wpbdp_sort=-field-4" TargetMode="External"/><Relationship Id="rId14" Type="http://schemas.openxmlformats.org/officeDocument/2006/relationships/hyperlink" Target="https://www.eu-startups.com/directory/page/14/?dosrch=1&amp;q&amp;wpbdp_view=search&amp;listingfields%5B1%5D&amp;listingfields%5B2%5D=-1&amp;listingfields%5B7%5D=digital%20health&amp;listingfields%5B6%5D&amp;listingfields%5B4%5D=-1&amp;wpbdp_sort=-field-4" TargetMode="External"/><Relationship Id="rId17" Type="http://schemas.openxmlformats.org/officeDocument/2006/relationships/hyperlink" Target="https://www.eu-startups.com/directory/page/17/?dosrch=1&amp;q&amp;wpbdp_view=search&amp;listingfields%5B1%5D&amp;listingfields%5B2%5D=-1&amp;listingfields%5B7%5D=digital%20health&amp;listingfields%5B6%5D&amp;listingfields%5B4%5D=-1&amp;wpbdp_sort=-field-4" TargetMode="External"/><Relationship Id="rId16" Type="http://schemas.openxmlformats.org/officeDocument/2006/relationships/hyperlink" Target="https://www.eu-startups.com/directory/page/16/?dosrch=1&amp;q&amp;wpbdp_view=search&amp;listingfields%5B1%5D&amp;listingfields%5B2%5D=-1&amp;listingfields%5B7%5D=digital%20health&amp;listingfields%5B6%5D&amp;listingfields%5B4%5D=-1&amp;wpbdp_sort=-field-4" TargetMode="External"/><Relationship Id="rId19" Type="http://schemas.openxmlformats.org/officeDocument/2006/relationships/hyperlink" Target="https://www.eu-startups.com/directory/page/19/?dosrch=1&amp;q&amp;wpbdp_view=search&amp;listingfields%5B1%5D&amp;listingfields%5B2%5D=-1&amp;listingfields%5B7%5D=digital%20health&amp;listingfields%5B6%5D&amp;listingfields%5B4%5D=-1&amp;wpbdp_sort=-field-4" TargetMode="External"/><Relationship Id="rId18" Type="http://schemas.openxmlformats.org/officeDocument/2006/relationships/hyperlink" Target="https://www.eu-startups.com/directory/page/18/?dosrch=1&amp;q&amp;wpbdp_view=search&amp;listingfields%5B1%5D&amp;listingfields%5B2%5D=-1&amp;listingfields%5B7%5D=digital%20health&amp;listingfields%5B6%5D&amp;listingfields%5B4%5D=-1&amp;wpbdp_sort=-field-4" TargetMode="External"/><Relationship Id="rId1" Type="http://schemas.openxmlformats.org/officeDocument/2006/relationships/hyperlink" Target="https://www.eu-startups.com/directory/page/1/?dosrch=1&amp;q&amp;wpbdp_view=search&amp;listingfields%5B1%5D&amp;listingfields%5B2%5D=-1&amp;listingfields%5B7%5D=digital%20health&amp;listingfields%5B6%5D&amp;listingfields%5B4%5D=-1&amp;wpbdp_sort=-field-4" TargetMode="External"/><Relationship Id="rId2" Type="http://schemas.openxmlformats.org/officeDocument/2006/relationships/hyperlink" Target="https://www.eu-startups.com/directory/page/2/?dosrch=1&amp;q&amp;wpbdp_view=search&amp;listingfields%5B1%5D&amp;listingfields%5B2%5D=-1&amp;listingfields%5B7%5D=digital%20health&amp;listingfields%5B6%5D&amp;listingfields%5B4%5D=-1&amp;wpbdp_sort=-field-4" TargetMode="External"/><Relationship Id="rId3" Type="http://schemas.openxmlformats.org/officeDocument/2006/relationships/hyperlink" Target="https://www.eu-startups.com/directory/page/3/?dosrch=1&amp;q&amp;wpbdp_view=search&amp;listingfields%5B1%5D&amp;listingfields%5B2%5D=-1&amp;listingfields%5B7%5D=digital%20health&amp;listingfields%5B6%5D&amp;listingfields%5B4%5D=-1&amp;wpbdp_sort=-field-4" TargetMode="External"/><Relationship Id="rId4" Type="http://schemas.openxmlformats.org/officeDocument/2006/relationships/hyperlink" Target="https://www.eu-startups.com/directory/page/4/?dosrch=1&amp;q&amp;wpbdp_view=search&amp;listingfields%5B1%5D&amp;listingfields%5B2%5D=-1&amp;listingfields%5B7%5D=digital%20health&amp;listingfields%5B6%5D&amp;listingfields%5B4%5D=-1&amp;wpbdp_sort=-field-4" TargetMode="External"/><Relationship Id="rId9" Type="http://schemas.openxmlformats.org/officeDocument/2006/relationships/hyperlink" Target="https://www.eu-startups.com/directory/page/9/?dosrch=1&amp;q&amp;wpbdp_view=search&amp;listingfields%5B1%5D&amp;listingfields%5B2%5D=-1&amp;listingfields%5B7%5D=digital%20health&amp;listingfields%5B6%5D&amp;listingfields%5B4%5D=-1&amp;wpbdp_sort=-field-4" TargetMode="External"/><Relationship Id="rId5" Type="http://schemas.openxmlformats.org/officeDocument/2006/relationships/hyperlink" Target="https://www.eu-startups.com/directory/page/5/?dosrch=1&amp;q&amp;wpbdp_view=search&amp;listingfields%5B1%5D&amp;listingfields%5B2%5D=-1&amp;listingfields%5B7%5D=digital%20health&amp;listingfields%5B6%5D&amp;listingfields%5B4%5D=-1&amp;wpbdp_sort=-field-4" TargetMode="External"/><Relationship Id="rId6" Type="http://schemas.openxmlformats.org/officeDocument/2006/relationships/hyperlink" Target="https://www.eu-startups.com/directory/page/6/?dosrch=1&amp;q&amp;wpbdp_view=search&amp;listingfields%5B1%5D&amp;listingfields%5B2%5D=-1&amp;listingfields%5B7%5D=digital%20health&amp;listingfields%5B6%5D&amp;listingfields%5B4%5D=-1&amp;wpbdp_sort=-field-4" TargetMode="External"/><Relationship Id="rId7" Type="http://schemas.openxmlformats.org/officeDocument/2006/relationships/hyperlink" Target="https://www.eu-startups.com/directory/page/7/?dosrch=1&amp;q&amp;wpbdp_view=search&amp;listingfields%5B1%5D&amp;listingfields%5B2%5D=-1&amp;listingfields%5B7%5D=digital%20health&amp;listingfields%5B6%5D&amp;listingfields%5B4%5D=-1&amp;wpbdp_sort=-field-4" TargetMode="External"/><Relationship Id="rId8" Type="http://schemas.openxmlformats.org/officeDocument/2006/relationships/hyperlink" Target="https://www.eu-startups.com/directory/page/8/?dosrch=1&amp;q&amp;wpbdp_view=search&amp;listingfields%5B1%5D&amp;listingfields%5B2%5D=-1&amp;listingfields%5B7%5D=digital%20health&amp;listingfields%5B6%5D&amp;listingfields%5B4%5D=-1&amp;wpbdp_sort=-field-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iolago.org/en/member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rn.org/members-profil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owin.org/biowins-member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i-3.de/partner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tlanpolebiotherapies.eu/members/?v=1&amp;r=&amp;type=digital&amp;reg=&amp;act=&amp;ent=" TargetMode="External"/><Relationship Id="rId2" Type="http://schemas.openxmlformats.org/officeDocument/2006/relationships/hyperlink" Target="https://www.atlanpolebiotherapies.eu/members/page/2/?v=1&amp;r&amp;type=digital&amp;reg&amp;act&amp;ent" TargetMode="External"/><Relationship Id="rId3" Type="http://schemas.openxmlformats.org/officeDocument/2006/relationships/hyperlink" Target="https://www.atlanpolebiotherapies.eu/members/page/3/?v=1&amp;r&amp;type=digital&amp;reg&amp;act&amp;ent" TargetMode="External"/><Relationship Id="rId4" Type="http://schemas.openxmlformats.org/officeDocument/2006/relationships/hyperlink" Target="https://www.atlanpolebiotherapies.eu/members/page/3/?v=1&amp;r&amp;type=digital&amp;reg&amp;act&amp;ent" TargetMode="External"/><Relationship Id="rId5" Type="http://schemas.openxmlformats.org/officeDocument/2006/relationships/hyperlink" Target="https://www.atlanpolebiotherapies.eu/members/page/3/?v=1&amp;r&amp;type=digital&amp;reg&amp;act&amp;ent"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kantartns.de" TargetMode="External"/><Relationship Id="rId42" Type="http://schemas.openxmlformats.org/officeDocument/2006/relationships/hyperlink" Target="https://loewi.com" TargetMode="External"/><Relationship Id="rId41" Type="http://schemas.openxmlformats.org/officeDocument/2006/relationships/hyperlink" Target="https://www.nanocapture.de" TargetMode="External"/><Relationship Id="rId44" Type="http://schemas.openxmlformats.org/officeDocument/2006/relationships/hyperlink" Target="http://www.mapigroup.com" TargetMode="External"/><Relationship Id="rId43" Type="http://schemas.openxmlformats.org/officeDocument/2006/relationships/hyperlink" Target="http://www.manuelpescher.com" TargetMode="External"/><Relationship Id="rId46" Type="http://schemas.openxmlformats.org/officeDocument/2006/relationships/hyperlink" Target="https://www.myriad.com" TargetMode="External"/><Relationship Id="rId45" Type="http://schemas.openxmlformats.org/officeDocument/2006/relationships/hyperlink" Target="http://www.moregatebiotech.com/" TargetMode="External"/><Relationship Id="rId1" Type="http://schemas.openxmlformats.org/officeDocument/2006/relationships/hyperlink" Target="https://www.bio-m.org/en/facts-and-figures/company-database.html?tx_biomdatabaseconnection_pi1%5Baction%5D=list&amp;tx_biomdatabaseconnection_pi1%5Bcontroller%5D=Company&amp;cHash=209ab06839bccaa6ba9ebd55b506af60" TargetMode="External"/><Relationship Id="rId2" Type="http://schemas.openxmlformats.org/officeDocument/2006/relationships/hyperlink" Target="https://www.bio-m.org/en/facts-and-figures/company-database.html?tx_biomdatabaseconnection_pi1%5Bpage_index%5D=2&amp;tx_biomdatabaseconnection_pi1%5Baction%5D=list&amp;tx_biomdatabaseconnection_pi1%5Bcontroller%5D=Company&amp;cHash=e524e941dde1262c1366befcb1220eb8" TargetMode="External"/><Relationship Id="rId3" Type="http://schemas.openxmlformats.org/officeDocument/2006/relationships/hyperlink" Target="https://www.bio-m.org/en/facts-and-figures/company-database.html?tx_biomdatabaseconnection_pi1%5Bpage_index%5D=3&amp;tx_biomdatabaseconnection_pi1%5Baction%5D=list&amp;tx_biomdatabaseconnection_pi1%5Bcontroller%5D=Company&amp;cHash=8f10d6d1ef3786bc6fd35b38db337177" TargetMode="External"/><Relationship Id="rId4" Type="http://schemas.openxmlformats.org/officeDocument/2006/relationships/hyperlink" Target="https://www.bio-m.org/en/facts-and-figures/company-database.html?tx_biomdatabaseconnection_pi1%5Bpage_index%5D=4&amp;tx_biomdatabaseconnection_pi1%5Baction%5D=list&amp;tx_biomdatabaseconnection_pi1%5Bcontroller%5D=Company&amp;cHash=cb4d737826476baee0d32125d3a4a65f" TargetMode="External"/><Relationship Id="rId9" Type="http://schemas.openxmlformats.org/officeDocument/2006/relationships/hyperlink" Target="https://www.bio-m.org/en/facts-and-figures/company-database.html?tx_biomdatabaseconnection_pi1%5Bpage_index%5D=9&amp;tx_biomdatabaseconnection_pi1%5Baction%5D=list&amp;tx_biomdatabaseconnection_pi1%5Bcontroller%5D=Company&amp;cHash=4c494962d9edd89583754ee3b0363321" TargetMode="External"/><Relationship Id="rId48" Type="http://schemas.openxmlformats.org/officeDocument/2006/relationships/hyperlink" Target="http://www.bioskinco.eu/" TargetMode="External"/><Relationship Id="rId47" Type="http://schemas.openxmlformats.org/officeDocument/2006/relationships/hyperlink" Target="http://www.nucleusmed.eu/" TargetMode="External"/><Relationship Id="rId49" Type="http://schemas.openxmlformats.org/officeDocument/2006/relationships/hyperlink" Target="https://www.rudolphresearch.com" TargetMode="External"/><Relationship Id="rId5" Type="http://schemas.openxmlformats.org/officeDocument/2006/relationships/hyperlink" Target="https://www.bio-m.org/en/facts-and-figures/company-database.html?tx_biomdatabaseconnection_pi1%5Bpage_index%5D=5&amp;tx_biomdatabaseconnection_pi1%5Baction%5D=list&amp;tx_biomdatabaseconnection_pi1%5Bcontroller%5D=Company&amp;cHash=9414574add4d1fc4c50d2f7e6722a953" TargetMode="External"/><Relationship Id="rId6" Type="http://schemas.openxmlformats.org/officeDocument/2006/relationships/hyperlink" Target="https://www.bio-m.org/en/facts-and-figures/company-database.html?tx_biomdatabaseconnection_pi1%5Bpage_index%5D=6&amp;tx_biomdatabaseconnection_pi1%5Baction%5D=list&amp;tx_biomdatabaseconnection_pi1%5Bcontroller%5D=Company&amp;cHash=d47d584152dc53c58d0c488dab19a57a" TargetMode="External"/><Relationship Id="rId7" Type="http://schemas.openxmlformats.org/officeDocument/2006/relationships/hyperlink" Target="https://www.bio-m.org/en/facts-and-figures/company-database.html?tx_biomdatabaseconnection_pi1%5Bpage_index%5D=7&amp;tx_biomdatabaseconnection_pi1%5Baction%5D=list&amp;tx_biomdatabaseconnection_pi1%5Bcontroller%5D=Company&amp;cHash=a968215df550f9f9877f7c6ac009ebc1" TargetMode="External"/><Relationship Id="rId8" Type="http://schemas.openxmlformats.org/officeDocument/2006/relationships/hyperlink" Target="https://www.bio-m.org/en/facts-and-figures/company-database.html?tx_biomdatabaseconnection_pi1%5Bpage_index%5D=8&amp;tx_biomdatabaseconnection_pi1%5Baction%5D=list&amp;tx_biomdatabaseconnection_pi1%5Bcontroller%5D=Company&amp;cHash=56ea038f30cb9776e36ee88e412655c1" TargetMode="External"/><Relationship Id="rId31" Type="http://schemas.openxmlformats.org/officeDocument/2006/relationships/hyperlink" Target="https://www.cellunitegroup.com/" TargetMode="External"/><Relationship Id="rId30" Type="http://schemas.openxmlformats.org/officeDocument/2006/relationships/hyperlink" Target="https://www.carterra-bio.com" TargetMode="External"/><Relationship Id="rId33" Type="http://schemas.openxmlformats.org/officeDocument/2006/relationships/hyperlink" Target="http://www.eisbach.bio/" TargetMode="External"/><Relationship Id="rId32" Type="http://schemas.openxmlformats.org/officeDocument/2006/relationships/hyperlink" Target="https://www.cortexdiscovery.com/contact@remove-this.cortexdiscovery.com" TargetMode="External"/><Relationship Id="rId35" Type="http://schemas.openxmlformats.org/officeDocument/2006/relationships/hyperlink" Target="https://www.foundationmedicine.de/de/" TargetMode="External"/><Relationship Id="rId34" Type="http://schemas.openxmlformats.org/officeDocument/2006/relationships/hyperlink" Target="https://www.evanium.de/kontakt@remove-this.evanium.de" TargetMode="External"/><Relationship Id="rId37" Type="http://schemas.openxmlformats.org/officeDocument/2006/relationships/hyperlink" Target="https://www.invitris.com" TargetMode="External"/><Relationship Id="rId36" Type="http://schemas.openxmlformats.org/officeDocument/2006/relationships/hyperlink" Target="https://genesurge.com/" TargetMode="External"/><Relationship Id="rId39" Type="http://schemas.openxmlformats.org/officeDocument/2006/relationships/hyperlink" Target="https://www.junotherapeutics.com/about-us/contact/" TargetMode="External"/><Relationship Id="rId38" Type="http://schemas.openxmlformats.org/officeDocument/2006/relationships/hyperlink" Target="http://www.iomx.de" TargetMode="External"/><Relationship Id="rId20" Type="http://schemas.openxmlformats.org/officeDocument/2006/relationships/hyperlink" Target="https://www.bio-m.org/en/facts-and-figures/company-database.html?tx_biomdatabaseconnection_pi1%5Bpage_index%5D=20&amp;tx_biomdatabaseconnection_pi1%5Baction%5D=list&amp;tx_biomdatabaseconnection_pi1%5Bcontroller%5D=Company&amp;cHash=4076bbec07eeace1e15e2f5fbe84e31a" TargetMode="External"/><Relationship Id="rId22" Type="http://schemas.openxmlformats.org/officeDocument/2006/relationships/hyperlink" Target="https://www.atriva-therapeutics.com/info@remove-this.atriva-therapeutics.com" TargetMode="External"/><Relationship Id="rId21" Type="http://schemas.openxmlformats.org/officeDocument/2006/relationships/hyperlink" Target="https://www.ascend-gctx.com/invoices@remove-this.ascend-gctx.com" TargetMode="External"/><Relationship Id="rId24" Type="http://schemas.openxmlformats.org/officeDocument/2006/relationships/hyperlink" Target="http://www.bca-clinic.de" TargetMode="External"/><Relationship Id="rId23" Type="http://schemas.openxmlformats.org/officeDocument/2006/relationships/hyperlink" Target="https://www.bappharma.com" TargetMode="External"/><Relationship Id="rId26" Type="http://schemas.openxmlformats.org/officeDocument/2006/relationships/hyperlink" Target="https://www.biomed-center.com" TargetMode="External"/><Relationship Id="rId25" Type="http://schemas.openxmlformats.org/officeDocument/2006/relationships/hyperlink" Target="https://www.biome-dx.com" TargetMode="External"/><Relationship Id="rId28" Type="http://schemas.openxmlformats.org/officeDocument/2006/relationships/hyperlink" Target="https://www.bluebirdbio.de/" TargetMode="External"/><Relationship Id="rId27" Type="http://schemas.openxmlformats.org/officeDocument/2006/relationships/hyperlink" Target="https://www.blaze.bio" TargetMode="External"/><Relationship Id="rId29" Type="http://schemas.openxmlformats.org/officeDocument/2006/relationships/hyperlink" Target="https://www.breath-therapeutics.com" TargetMode="External"/><Relationship Id="rId51" Type="http://schemas.openxmlformats.org/officeDocument/2006/relationships/hyperlink" Target="https://teclabs.de" TargetMode="External"/><Relationship Id="rId50" Type="http://schemas.openxmlformats.org/officeDocument/2006/relationships/hyperlink" Target="http://www.scgcell.com" TargetMode="External"/><Relationship Id="rId53" Type="http://schemas.openxmlformats.org/officeDocument/2006/relationships/hyperlink" Target="http://www.vicron.com/" TargetMode="External"/><Relationship Id="rId52" Type="http://schemas.openxmlformats.org/officeDocument/2006/relationships/hyperlink" Target="https://dyphox.com/" TargetMode="External"/><Relationship Id="rId11" Type="http://schemas.openxmlformats.org/officeDocument/2006/relationships/hyperlink" Target="https://www.bio-m.org/en/facts-and-figures/company-database.html?tx_biomdatabaseconnection_pi1%5Bpage_index%5D=11&amp;tx_biomdatabaseconnection_pi1%5Baction%5D=list&amp;tx_biomdatabaseconnection_pi1%5Bcontroller%5D=Company&amp;cHash=8a30b4abb1eb2245aa90f34a57b3a78a" TargetMode="External"/><Relationship Id="rId55" Type="http://schemas.openxmlformats.org/officeDocument/2006/relationships/drawing" Target="../drawings/drawing7.xml"/><Relationship Id="rId10" Type="http://schemas.openxmlformats.org/officeDocument/2006/relationships/hyperlink" Target="https://www.bio-m.org/en/facts-and-figures/company-database.html?tx_biomdatabaseconnection_pi1%5Bpage_index%5D=10&amp;tx_biomdatabaseconnection_pi1%5Baction%5D=list&amp;tx_biomdatabaseconnection_pi1%5Bcontroller%5D=Company&amp;cHash=543971381b1a6415897f07534301e884" TargetMode="External"/><Relationship Id="rId54" Type="http://schemas.openxmlformats.org/officeDocument/2006/relationships/hyperlink" Target="http://www.healthcare.vision/" TargetMode="External"/><Relationship Id="rId13" Type="http://schemas.openxmlformats.org/officeDocument/2006/relationships/hyperlink" Target="https://www.bio-m.org/en/facts-and-figures/company-database.html?tx_biomdatabaseconnection_pi1%5Bpage_index%5D=13&amp;tx_biomdatabaseconnection_pi1%5Baction%5D=list&amp;tx_biomdatabaseconnection_pi1%5Bcontroller%5D=Company&amp;cHash=cb527aea1e56ff365ca55d1d7a798067" TargetMode="External"/><Relationship Id="rId12" Type="http://schemas.openxmlformats.org/officeDocument/2006/relationships/hyperlink" Target="https://www.bio-m.org/en/facts-and-figures/company-database.html?tx_biomdatabaseconnection_pi1%5Bpage_index%5D=12&amp;tx_biomdatabaseconnection_pi1%5Baction%5D=list&amp;tx_biomdatabaseconnection_pi1%5Bcontroller%5D=Company&amp;cHash=ea21b18d314a2af7422bf8ad3d5d0651" TargetMode="External"/><Relationship Id="rId15" Type="http://schemas.openxmlformats.org/officeDocument/2006/relationships/hyperlink" Target="https://www.bio-m.org/en/facts-and-figures/company-database.html?tx_biomdatabaseconnection_pi1%5Bpage_index%5D=15&amp;tx_biomdatabaseconnection_pi1%5Baction%5D=list&amp;tx_biomdatabaseconnection_pi1%5Bcontroller%5D=Company&amp;cHash=28be56b18fc617f7f5e3ed4cc7cdf870" TargetMode="External"/><Relationship Id="rId14" Type="http://schemas.openxmlformats.org/officeDocument/2006/relationships/hyperlink" Target="https://www.bio-m.org/en/facts-and-figures/company-database.html?tx_biomdatabaseconnection_pi1%5Bpage_index%5D=14&amp;tx_biomdatabaseconnection_pi1%5Baction%5D=list&amp;tx_biomdatabaseconnection_pi1%5Bcontroller%5D=Company&amp;cHash=e30edfeacae8430cf46ec964471c0adb" TargetMode="External"/><Relationship Id="rId17" Type="http://schemas.openxmlformats.org/officeDocument/2006/relationships/hyperlink" Target="https://www.bio-m.org/en/facts-and-figures/company-database.html?tx_biomdatabaseconnection_pi1%5Bpage_index%5D=17&amp;tx_biomdatabaseconnection_pi1%5Baction%5D=list&amp;tx_biomdatabaseconnection_pi1%5Bcontroller%5D=Company&amp;cHash=4f54e3cf0025b54c528a35c07aa2f628" TargetMode="External"/><Relationship Id="rId16" Type="http://schemas.openxmlformats.org/officeDocument/2006/relationships/hyperlink" Target="https://www.bio-m.org/en/facts-and-figures/company-database.html?tx_biomdatabaseconnection_pi1%5Bpage_index%5D=16&amp;tx_biomdatabaseconnection_pi1%5Baction%5D=list&amp;tx_biomdatabaseconnection_pi1%5Bcontroller%5D=Company&amp;cHash=effb85f14ef9cf7fb460d601263d9c42" TargetMode="External"/><Relationship Id="rId19" Type="http://schemas.openxmlformats.org/officeDocument/2006/relationships/hyperlink" Target="https://www.bio-m.org/en/facts-and-figures/company-database.html?tx_biomdatabaseconnection_pi1%5Bpage_index%5D=19&amp;tx_biomdatabaseconnection_pi1%5Baction%5D=list&amp;tx_biomdatabaseconnection_pi1%5Bcontroller%5D=Company&amp;cHash=582daf4b0caf36e8fad9310f34551ff3" TargetMode="External"/><Relationship Id="rId18" Type="http://schemas.openxmlformats.org/officeDocument/2006/relationships/hyperlink" Target="https://www.bio-m.org/en/facts-and-figures/company-database.html?tx_biomdatabaseconnection_pi1%5Bpage_index%5D=18&amp;tx_biomdatabaseconnection_pi1%5Baction%5D=list&amp;tx_biomdatabaseconnection_pi1%5Bcontroller%5D=Company&amp;cHash=297157c24d87faad528812b00c49d25d"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newscientist.com" TargetMode="External"/><Relationship Id="rId190" Type="http://schemas.openxmlformats.org/officeDocument/2006/relationships/hyperlink" Target="https://www.keselect.com" TargetMode="External"/><Relationship Id="rId42" Type="http://schemas.openxmlformats.org/officeDocument/2006/relationships/hyperlink" Target="https://nexusleeds.co.uk/" TargetMode="External"/><Relationship Id="rId41" Type="http://schemas.openxmlformats.org/officeDocument/2006/relationships/hyperlink" Target="https://www.ncl.ac.uk/work-with-us/" TargetMode="External"/><Relationship Id="rId44" Type="http://schemas.openxmlformats.org/officeDocument/2006/relationships/hyperlink" Target="http://www.northumbria.ac.uk" TargetMode="External"/><Relationship Id="rId194" Type="http://schemas.openxmlformats.org/officeDocument/2006/relationships/hyperlink" Target="http://www.lakesbio.com" TargetMode="External"/><Relationship Id="rId43" Type="http://schemas.openxmlformats.org/officeDocument/2006/relationships/hyperlink" Target="https://www.nwbiotech.co.uk/" TargetMode="External"/><Relationship Id="rId193" Type="http://schemas.openxmlformats.org/officeDocument/2006/relationships/hyperlink" Target="https://www.labmanautomation.com/" TargetMode="External"/><Relationship Id="rId46" Type="http://schemas.openxmlformats.org/officeDocument/2006/relationships/hyperlink" Target="http://pd-m.com" TargetMode="External"/><Relationship Id="rId192" Type="http://schemas.openxmlformats.org/officeDocument/2006/relationships/hyperlink" Target="http://krysium.com/" TargetMode="External"/><Relationship Id="rId45" Type="http://schemas.openxmlformats.org/officeDocument/2006/relationships/hyperlink" Target="http://www.onenucleus.com/" TargetMode="External"/><Relationship Id="rId191" Type="http://schemas.openxmlformats.org/officeDocument/2006/relationships/hyperlink" Target="https://www.kpc-international.com/" TargetMode="External"/><Relationship Id="rId48" Type="http://schemas.openxmlformats.org/officeDocument/2006/relationships/hyperlink" Target="https://www.pharmaron.com/" TargetMode="External"/><Relationship Id="rId187" Type="http://schemas.openxmlformats.org/officeDocument/2006/relationships/hyperlink" Target="https://investnortheastengland.co.uk/" TargetMode="External"/><Relationship Id="rId47" Type="http://schemas.openxmlformats.org/officeDocument/2006/relationships/hyperlink" Target="http://www.pharmalicensing.com" TargetMode="External"/><Relationship Id="rId186" Type="http://schemas.openxmlformats.org/officeDocument/2006/relationships/hyperlink" Target="http://www.inventya.com" TargetMode="External"/><Relationship Id="rId185" Type="http://schemas.openxmlformats.org/officeDocument/2006/relationships/hyperlink" Target="http://www.integralfinance.org.uk" TargetMode="External"/><Relationship Id="rId49" Type="http://schemas.openxmlformats.org/officeDocument/2006/relationships/hyperlink" Target="https://www.praeturaventures.com/" TargetMode="External"/><Relationship Id="rId184" Type="http://schemas.openxmlformats.org/officeDocument/2006/relationships/hyperlink" Target="https://www.instilbio.com" TargetMode="External"/><Relationship Id="rId189" Type="http://schemas.openxmlformats.org/officeDocument/2006/relationships/hyperlink" Target="https://kbsconsultancy.co.uk/" TargetMode="External"/><Relationship Id="rId188" Type="http://schemas.openxmlformats.org/officeDocument/2006/relationships/hyperlink" Target="https://ivd-innovation.co.uk/" TargetMode="External"/><Relationship Id="rId31" Type="http://schemas.openxmlformats.org/officeDocument/2006/relationships/hyperlink" Target="https://www.lancaster.ac.uk/health-innovation/support/" TargetMode="External"/><Relationship Id="rId30" Type="http://schemas.openxmlformats.org/officeDocument/2006/relationships/hyperlink" Target="https://www.keele.ac.uk/" TargetMode="External"/><Relationship Id="rId33" Type="http://schemas.openxmlformats.org/officeDocument/2006/relationships/hyperlink" Target="https://www.lonza.com/" TargetMode="External"/><Relationship Id="rId183" Type="http://schemas.openxmlformats.org/officeDocument/2006/relationships/hyperlink" Target="http://www.amrcentre.com" TargetMode="External"/><Relationship Id="rId32" Type="http://schemas.openxmlformats.org/officeDocument/2006/relationships/hyperlink" Target="http://www.ljmu.ac.uk" TargetMode="External"/><Relationship Id="rId182" Type="http://schemas.openxmlformats.org/officeDocument/2006/relationships/hyperlink" Target="http://www.indigena.ltd" TargetMode="External"/><Relationship Id="rId35" Type="http://schemas.openxmlformats.org/officeDocument/2006/relationships/hyperlink" Target="https://mediwales.com" TargetMode="External"/><Relationship Id="rId181" Type="http://schemas.openxmlformats.org/officeDocument/2006/relationships/hyperlink" Target="https://impactdatametrics.com/index.php" TargetMode="External"/><Relationship Id="rId34" Type="http://schemas.openxmlformats.org/officeDocument/2006/relationships/hyperlink" Target="https://md.catapult.org.uk/" TargetMode="External"/><Relationship Id="rId180" Type="http://schemas.openxmlformats.org/officeDocument/2006/relationships/hyperlink" Target="https://www.immundnz.com/" TargetMode="External"/><Relationship Id="rId37" Type="http://schemas.openxmlformats.org/officeDocument/2006/relationships/hyperlink" Target="http://www.mills-reeve.com" TargetMode="External"/><Relationship Id="rId176" Type="http://schemas.openxmlformats.org/officeDocument/2006/relationships/hyperlink" Target="http://www.hyperec.com" TargetMode="External"/><Relationship Id="rId297" Type="http://schemas.openxmlformats.org/officeDocument/2006/relationships/hyperlink" Target="http://www.sygnaturediscovery.com/" TargetMode="External"/><Relationship Id="rId36" Type="http://schemas.openxmlformats.org/officeDocument/2006/relationships/hyperlink" Target="http://www.investinmanchester.com" TargetMode="External"/><Relationship Id="rId175" Type="http://schemas.openxmlformats.org/officeDocument/2006/relationships/hyperlink" Target="https://www.hologic.com/" TargetMode="External"/><Relationship Id="rId296" Type="http://schemas.openxmlformats.org/officeDocument/2006/relationships/hyperlink" Target="http://www.suprex.uk/" TargetMode="External"/><Relationship Id="rId39" Type="http://schemas.openxmlformats.org/officeDocument/2006/relationships/hyperlink" Target="https://www.northeasttechnologypark.com/" TargetMode="External"/><Relationship Id="rId174" Type="http://schemas.openxmlformats.org/officeDocument/2006/relationships/hyperlink" Target="http://www.histologix.com" TargetMode="External"/><Relationship Id="rId295" Type="http://schemas.openxmlformats.org/officeDocument/2006/relationships/hyperlink" Target="https://www.stillatechnologies.com/" TargetMode="External"/><Relationship Id="rId38" Type="http://schemas.openxmlformats.org/officeDocument/2006/relationships/hyperlink" Target="https://mitigogroup.com/partnership-pages/bionow/" TargetMode="External"/><Relationship Id="rId173" Type="http://schemas.openxmlformats.org/officeDocument/2006/relationships/hyperlink" Target="http://www.highburyregsci.com" TargetMode="External"/><Relationship Id="rId294" Type="http://schemas.openxmlformats.org/officeDocument/2006/relationships/hyperlink" Target="https://www.sterlingpharmasolutions.com/" TargetMode="External"/><Relationship Id="rId179" Type="http://schemas.openxmlformats.org/officeDocument/2006/relationships/hyperlink" Target="https://www.illumina.com/" TargetMode="External"/><Relationship Id="rId178" Type="http://schemas.openxmlformats.org/officeDocument/2006/relationships/hyperlink" Target="http://www.iksuda.com" TargetMode="External"/><Relationship Id="rId299" Type="http://schemas.openxmlformats.org/officeDocument/2006/relationships/hyperlink" Target="http://www.tarletoncomms.com" TargetMode="External"/><Relationship Id="rId177" Type="http://schemas.openxmlformats.org/officeDocument/2006/relationships/hyperlink" Target="http://www.ignifi.co.uk" TargetMode="External"/><Relationship Id="rId298" Type="http://schemas.openxmlformats.org/officeDocument/2006/relationships/hyperlink" Target="http://www.synergyoutsourcing.com/clinical" TargetMode="External"/><Relationship Id="rId20" Type="http://schemas.openxmlformats.org/officeDocument/2006/relationships/hyperlink" Target="http://www.cresset-group.com" TargetMode="External"/><Relationship Id="rId22" Type="http://schemas.openxmlformats.org/officeDocument/2006/relationships/hyperlink" Target="https://bit.ly/connectinpharma-homepage" TargetMode="External"/><Relationship Id="rId21" Type="http://schemas.openxmlformats.org/officeDocument/2006/relationships/hyperlink" Target="https://www.durham.ac.uk/research/helping-business/" TargetMode="External"/><Relationship Id="rId24" Type="http://schemas.openxmlformats.org/officeDocument/2006/relationships/hyperlink" Target="https://entrustrs.com" TargetMode="External"/><Relationship Id="rId23" Type="http://schemas.openxmlformats.org/officeDocument/2006/relationships/hyperlink" Target="http://www.edgehill.ac.uk" TargetMode="External"/><Relationship Id="rId26" Type="http://schemas.openxmlformats.org/officeDocument/2006/relationships/hyperlink" Target="http://www.hgf.com" TargetMode="External"/><Relationship Id="rId25" Type="http://schemas.openxmlformats.org/officeDocument/2006/relationships/hyperlink" Target="http://www.fisher.co.uk" TargetMode="External"/><Relationship Id="rId28" Type="http://schemas.openxmlformats.org/officeDocument/2006/relationships/hyperlink" Target="http://www.its-ltd.co.uk" TargetMode="External"/><Relationship Id="rId27" Type="http://schemas.openxmlformats.org/officeDocument/2006/relationships/hyperlink" Target="http://www.inaphaea.com" TargetMode="External"/><Relationship Id="rId29" Type="http://schemas.openxmlformats.org/officeDocument/2006/relationships/hyperlink" Target="https://inno-forum.org/" TargetMode="External"/><Relationship Id="rId11" Type="http://schemas.openxmlformats.org/officeDocument/2006/relationships/hyperlink" Target="http://www.bouygues-es.co.uk/industry" TargetMode="External"/><Relationship Id="rId10" Type="http://schemas.openxmlformats.org/officeDocument/2006/relationships/hyperlink" Target="https://www.bmglabtech.com" TargetMode="External"/><Relationship Id="rId13" Type="http://schemas.openxmlformats.org/officeDocument/2006/relationships/hyperlink" Target="http://www.bruntwood.co.uk/scitech" TargetMode="External"/><Relationship Id="rId12" Type="http://schemas.openxmlformats.org/officeDocument/2006/relationships/hyperlink" Target="http://www.bms.com" TargetMode="External"/><Relationship Id="rId15" Type="http://schemas.openxmlformats.org/officeDocument/2006/relationships/hyperlink" Target="http://www.catalent.com" TargetMode="External"/><Relationship Id="rId198" Type="http://schemas.openxmlformats.org/officeDocument/2006/relationships/hyperlink" Target="https://www.ligentia.com/" TargetMode="External"/><Relationship Id="rId14" Type="http://schemas.openxmlformats.org/officeDocument/2006/relationships/hyperlink" Target="https://www.cancerresearchhorizons.com/" TargetMode="External"/><Relationship Id="rId197" Type="http://schemas.openxmlformats.org/officeDocument/2006/relationships/hyperlink" Target="https://www.licasci.com/" TargetMode="External"/><Relationship Id="rId17" Type="http://schemas.openxmlformats.org/officeDocument/2006/relationships/hyperlink" Target="http://www.chemicalsnorthwest.org.uk" TargetMode="External"/><Relationship Id="rId196" Type="http://schemas.openxmlformats.org/officeDocument/2006/relationships/hyperlink" Target="https://www.leicabiosystems.com/" TargetMode="External"/><Relationship Id="rId16" Type="http://schemas.openxmlformats.org/officeDocument/2006/relationships/hyperlink" Target="https://catalyx.ai/insights/" TargetMode="External"/><Relationship Id="rId195" Type="http://schemas.openxmlformats.org/officeDocument/2006/relationships/hyperlink" Target="https://leanlifescience.com/" TargetMode="External"/><Relationship Id="rId19" Type="http://schemas.openxmlformats.org/officeDocument/2006/relationships/hyperlink" Target="https://www.clarionsolicitors.com/" TargetMode="External"/><Relationship Id="rId18" Type="http://schemas.openxmlformats.org/officeDocument/2006/relationships/hyperlink" Target="https://www.chubb.com/uk-en/business/by-category-life-sciences.aspx" TargetMode="External"/><Relationship Id="rId199" Type="http://schemas.openxmlformats.org/officeDocument/2006/relationships/hyperlink" Target="http://www.liverpoolchirochem.com" TargetMode="External"/><Relationship Id="rId84" Type="http://schemas.openxmlformats.org/officeDocument/2006/relationships/hyperlink" Target="http://www.apconix.com" TargetMode="External"/><Relationship Id="rId83" Type="http://schemas.openxmlformats.org/officeDocument/2006/relationships/hyperlink" Target="https://www.aon.com/unitedkingdom/default.jsp" TargetMode="External"/><Relationship Id="rId86" Type="http://schemas.openxmlformats.org/officeDocument/2006/relationships/hyperlink" Target="http://www.aphascientific.com" TargetMode="External"/><Relationship Id="rId85" Type="http://schemas.openxmlformats.org/officeDocument/2006/relationships/hyperlink" Target="http://www.apexmolecular.com" TargetMode="External"/><Relationship Id="rId88" Type="http://schemas.openxmlformats.org/officeDocument/2006/relationships/hyperlink" Target="http://www.appleyardlees.com" TargetMode="External"/><Relationship Id="rId150" Type="http://schemas.openxmlformats.org/officeDocument/2006/relationships/hyperlink" Target="https://eviview.com/" TargetMode="External"/><Relationship Id="rId271" Type="http://schemas.openxmlformats.org/officeDocument/2006/relationships/hyperlink" Target="https://www.rapidfluidics.com/" TargetMode="External"/><Relationship Id="rId87" Type="http://schemas.openxmlformats.org/officeDocument/2006/relationships/hyperlink" Target="http://www.apisassay.com/" TargetMode="External"/><Relationship Id="rId270" Type="http://schemas.openxmlformats.org/officeDocument/2006/relationships/hyperlink" Target="https://www.qvbio.co.uk" TargetMode="External"/><Relationship Id="rId89" Type="http://schemas.openxmlformats.org/officeDocument/2006/relationships/hyperlink" Target="https://www.arc-regulatory.com/" TargetMode="External"/><Relationship Id="rId80" Type="http://schemas.openxmlformats.org/officeDocument/2006/relationships/hyperlink" Target="http://www.amlo-biosciences.com" TargetMode="External"/><Relationship Id="rId82" Type="http://schemas.openxmlformats.org/officeDocument/2006/relationships/hyperlink" Target="https://antimicrobial.ltd/" TargetMode="External"/><Relationship Id="rId81" Type="http://schemas.openxmlformats.org/officeDocument/2006/relationships/hyperlink" Target="https://amplydiscovery.com/" TargetMode="External"/><Relationship Id="rId1" Type="http://schemas.openxmlformats.org/officeDocument/2006/relationships/hyperlink" Target="https://www.bionow.co.uk/membership/bionow-members" TargetMode="External"/><Relationship Id="rId2" Type="http://schemas.openxmlformats.org/officeDocument/2006/relationships/hyperlink" Target="https://www.alderleypark.co.uk/" TargetMode="External"/><Relationship Id="rId3" Type="http://schemas.openxmlformats.org/officeDocument/2006/relationships/hyperlink" Target="https://ambit.careers" TargetMode="External"/><Relationship Id="rId149" Type="http://schemas.openxmlformats.org/officeDocument/2006/relationships/hyperlink" Target="https://espdiagnostics.com" TargetMode="External"/><Relationship Id="rId4" Type="http://schemas.openxmlformats.org/officeDocument/2006/relationships/hyperlink" Target="http://www.astrazeneca.co.uk" TargetMode="External"/><Relationship Id="rId148" Type="http://schemas.openxmlformats.org/officeDocument/2006/relationships/hyperlink" Target="http://www.epidarex.com" TargetMode="External"/><Relationship Id="rId269" Type="http://schemas.openxmlformats.org/officeDocument/2006/relationships/hyperlink" Target="https://www.quotientsciences.com/" TargetMode="External"/><Relationship Id="rId9" Type="http://schemas.openxmlformats.org/officeDocument/2006/relationships/hyperlink" Target="http://www.biopartner.co.uk" TargetMode="External"/><Relationship Id="rId143" Type="http://schemas.openxmlformats.org/officeDocument/2006/relationships/hyperlink" Target="http://www.elanco.com" TargetMode="External"/><Relationship Id="rId264" Type="http://schemas.openxmlformats.org/officeDocument/2006/relationships/hyperlink" Target="http://www.proveca.com" TargetMode="External"/><Relationship Id="rId142" Type="http://schemas.openxmlformats.org/officeDocument/2006/relationships/hyperlink" Target="https://www.edc.ac.uk/" TargetMode="External"/><Relationship Id="rId263" Type="http://schemas.openxmlformats.org/officeDocument/2006/relationships/hyperlink" Target="http://www.ptglab.com" TargetMode="External"/><Relationship Id="rId141" Type="http://schemas.openxmlformats.org/officeDocument/2006/relationships/hyperlink" Target="https://www.dlapiper.com/en/uk/sectors/life-sciences/" TargetMode="External"/><Relationship Id="rId262" Type="http://schemas.openxmlformats.org/officeDocument/2006/relationships/hyperlink" Target="https://promakeltd.com/" TargetMode="External"/><Relationship Id="rId140" Type="http://schemas.openxmlformats.org/officeDocument/2006/relationships/hyperlink" Target="http://www.diagnostig.com" TargetMode="External"/><Relationship Id="rId261" Type="http://schemas.openxmlformats.org/officeDocument/2006/relationships/hyperlink" Target="https://www.probatech.co.uk/" TargetMode="External"/><Relationship Id="rId5" Type="http://schemas.openxmlformats.org/officeDocument/2006/relationships/hyperlink" Target="http://www.medimmune.com" TargetMode="External"/><Relationship Id="rId147" Type="http://schemas.openxmlformats.org/officeDocument/2006/relationships/hyperlink" Target="https://www.enterprise-ireland.com/en/" TargetMode="External"/><Relationship Id="rId268" Type="http://schemas.openxmlformats.org/officeDocument/2006/relationships/hyperlink" Target="http://www.quantumdx.com" TargetMode="External"/><Relationship Id="rId6" Type="http://schemas.openxmlformats.org/officeDocument/2006/relationships/hyperlink" Target="https://www.bio2business.com" TargetMode="External"/><Relationship Id="rId146" Type="http://schemas.openxmlformats.org/officeDocument/2006/relationships/hyperlink" Target="https://www.emsparticlesolutions.co.uk/" TargetMode="External"/><Relationship Id="rId267" Type="http://schemas.openxmlformats.org/officeDocument/2006/relationships/hyperlink" Target="http://www.qms-consultancy.com" TargetMode="External"/><Relationship Id="rId7" Type="http://schemas.openxmlformats.org/officeDocument/2006/relationships/hyperlink" Target="https://www.biodundee.co.uk/" TargetMode="External"/><Relationship Id="rId145" Type="http://schemas.openxmlformats.org/officeDocument/2006/relationships/hyperlink" Target="http://www.elucigene.com" TargetMode="External"/><Relationship Id="rId266" Type="http://schemas.openxmlformats.org/officeDocument/2006/relationships/hyperlink" Target="https://www.pulmobiomed.com" TargetMode="External"/><Relationship Id="rId8" Type="http://schemas.openxmlformats.org/officeDocument/2006/relationships/hyperlink" Target="http://www.bionow.co.uk" TargetMode="External"/><Relationship Id="rId144" Type="http://schemas.openxmlformats.org/officeDocument/2006/relationships/hyperlink" Target="https://www.elixirsoftware.co.uk/" TargetMode="External"/><Relationship Id="rId265" Type="http://schemas.openxmlformats.org/officeDocument/2006/relationships/hyperlink" Target="http://www.providion.co.uk" TargetMode="External"/><Relationship Id="rId73" Type="http://schemas.openxmlformats.org/officeDocument/2006/relationships/hyperlink" Target="https://ahsn-nenc.org.uk/" TargetMode="External"/><Relationship Id="rId72" Type="http://schemas.openxmlformats.org/officeDocument/2006/relationships/hyperlink" Target="http://agma.co.uk" TargetMode="External"/><Relationship Id="rId75" Type="http://schemas.openxmlformats.org/officeDocument/2006/relationships/hyperlink" Target="http://www.airproducts.co.uk" TargetMode="External"/><Relationship Id="rId74" Type="http://schemas.openxmlformats.org/officeDocument/2006/relationships/hyperlink" Target="http://www.uk.airliquide.com" TargetMode="External"/><Relationship Id="rId77" Type="http://schemas.openxmlformats.org/officeDocument/2006/relationships/hyperlink" Target="http://www.alderleyanalytical.com" TargetMode="External"/><Relationship Id="rId260" Type="http://schemas.openxmlformats.org/officeDocument/2006/relationships/hyperlink" Target="http://www.pro-lab.com" TargetMode="External"/><Relationship Id="rId76" Type="http://schemas.openxmlformats.org/officeDocument/2006/relationships/hyperlink" Target="http://www.alcyomics.com" TargetMode="External"/><Relationship Id="rId79" Type="http://schemas.openxmlformats.org/officeDocument/2006/relationships/hyperlink" Target="https://alphabiomics.com/" TargetMode="External"/><Relationship Id="rId78" Type="http://schemas.openxmlformats.org/officeDocument/2006/relationships/hyperlink" Target="https://www.alderleypark.co.uk/accelerator" TargetMode="External"/><Relationship Id="rId71" Type="http://schemas.openxmlformats.org/officeDocument/2006/relationships/hyperlink" Target="http://www.agilityhealthtech.com" TargetMode="External"/><Relationship Id="rId70" Type="http://schemas.openxmlformats.org/officeDocument/2006/relationships/hyperlink" Target="http://www.agilelifesciences.com" TargetMode="External"/><Relationship Id="rId139" Type="http://schemas.openxmlformats.org/officeDocument/2006/relationships/hyperlink" Target="https://diagnosticsnortheast.org.uk/" TargetMode="External"/><Relationship Id="rId138" Type="http://schemas.openxmlformats.org/officeDocument/2006/relationships/hyperlink" Target="http://www.deepbridgecapital.com" TargetMode="External"/><Relationship Id="rId259" Type="http://schemas.openxmlformats.org/officeDocument/2006/relationships/hyperlink" Target="https://preventionjourneys.com" TargetMode="External"/><Relationship Id="rId137" Type="http://schemas.openxmlformats.org/officeDocument/2006/relationships/hyperlink" Target="https://www.daresburyproteins.co.uk" TargetMode="External"/><Relationship Id="rId258" Type="http://schemas.openxmlformats.org/officeDocument/2006/relationships/hyperlink" Target="https://www.potterclarkson.com/" TargetMode="External"/><Relationship Id="rId132" Type="http://schemas.openxmlformats.org/officeDocument/2006/relationships/hyperlink" Target="https://www.lboro.ac.uk/" TargetMode="External"/><Relationship Id="rId253" Type="http://schemas.openxmlformats.org/officeDocument/2006/relationships/hyperlink" Target="http://www.pharmakure.com" TargetMode="External"/><Relationship Id="rId131" Type="http://schemas.openxmlformats.org/officeDocument/2006/relationships/hyperlink" Target="https://www.conceptlifesciences.com/" TargetMode="External"/><Relationship Id="rId252" Type="http://schemas.openxmlformats.org/officeDocument/2006/relationships/hyperlink" Target="http://www.perfectusbiomed.com" TargetMode="External"/><Relationship Id="rId130" Type="http://schemas.openxmlformats.org/officeDocument/2006/relationships/hyperlink" Target="http://www.ckscience.co.uk" TargetMode="External"/><Relationship Id="rId251" Type="http://schemas.openxmlformats.org/officeDocument/2006/relationships/hyperlink" Target="http://www.peprotech.com" TargetMode="External"/><Relationship Id="rId250" Type="http://schemas.openxmlformats.org/officeDocument/2006/relationships/hyperlink" Target="http://www.pencilbiosciences.com" TargetMode="External"/><Relationship Id="rId136" Type="http://schemas.openxmlformats.org/officeDocument/2006/relationships/hyperlink" Target="https://www.danforthadvisors.com/" TargetMode="External"/><Relationship Id="rId257" Type="http://schemas.openxmlformats.org/officeDocument/2006/relationships/hyperlink" Target="https://www.pmtgb.com" TargetMode="External"/><Relationship Id="rId135" Type="http://schemas.openxmlformats.org/officeDocument/2006/relationships/hyperlink" Target="http://www.cypartners.co.uk" TargetMode="External"/><Relationship Id="rId256" Type="http://schemas.openxmlformats.org/officeDocument/2006/relationships/hyperlink" Target="http://www.phytovation.co.uk" TargetMode="External"/><Relationship Id="rId134" Type="http://schemas.openxmlformats.org/officeDocument/2006/relationships/hyperlink" Target="http://www.crystecpharma.com" TargetMode="External"/><Relationship Id="rId255" Type="http://schemas.openxmlformats.org/officeDocument/2006/relationships/hyperlink" Target="http://www.phoenixdx.co.uk" TargetMode="External"/><Relationship Id="rId133" Type="http://schemas.openxmlformats.org/officeDocument/2006/relationships/hyperlink" Target="http://www.cryoniss.com" TargetMode="External"/><Relationship Id="rId254" Type="http://schemas.openxmlformats.org/officeDocument/2006/relationships/hyperlink" Target="https://pharmalyticalservices.com" TargetMode="External"/><Relationship Id="rId62" Type="http://schemas.openxmlformats.org/officeDocument/2006/relationships/hyperlink" Target="http://www.liv.ac.uk" TargetMode="External"/><Relationship Id="rId61" Type="http://schemas.openxmlformats.org/officeDocument/2006/relationships/hyperlink" Target="http://www.leeds.ac.uk" TargetMode="External"/><Relationship Id="rId64" Type="http://schemas.openxmlformats.org/officeDocument/2006/relationships/hyperlink" Target="http://www.umip.com" TargetMode="External"/><Relationship Id="rId63" Type="http://schemas.openxmlformats.org/officeDocument/2006/relationships/hyperlink" Target="http://www.manchester.ac.uk" TargetMode="External"/><Relationship Id="rId66" Type="http://schemas.openxmlformats.org/officeDocument/2006/relationships/hyperlink" Target="http://shg.sheffield.ac.uk/aboutus/aboutus.aspx" TargetMode="External"/><Relationship Id="rId172" Type="http://schemas.openxmlformats.org/officeDocument/2006/relationships/hyperlink" Target="https://hexislab.com/" TargetMode="External"/><Relationship Id="rId293" Type="http://schemas.openxmlformats.org/officeDocument/2006/relationships/hyperlink" Target="http://www.squareonelaw.com" TargetMode="External"/><Relationship Id="rId65" Type="http://schemas.openxmlformats.org/officeDocument/2006/relationships/hyperlink" Target="https://www.salford.ac.uk/school-of-science-engineering-and-environment" TargetMode="External"/><Relationship Id="rId171" Type="http://schemas.openxmlformats.org/officeDocument/2006/relationships/hyperlink" Target="http://www.hematogenix.com" TargetMode="External"/><Relationship Id="rId292" Type="http://schemas.openxmlformats.org/officeDocument/2006/relationships/hyperlink" Target="http://www.sourcebioscience.com" TargetMode="External"/><Relationship Id="rId68" Type="http://schemas.openxmlformats.org/officeDocument/2006/relationships/hyperlink" Target="http://www.admedsol.com" TargetMode="External"/><Relationship Id="rId170" Type="http://schemas.openxmlformats.org/officeDocument/2006/relationships/hyperlink" Target="http://www.innovationagencynwc.nhs.uk/" TargetMode="External"/><Relationship Id="rId291" Type="http://schemas.openxmlformats.org/officeDocument/2006/relationships/hyperlink" Target="http://www.slaterheelis.co.uk" TargetMode="External"/><Relationship Id="rId67" Type="http://schemas.openxmlformats.org/officeDocument/2006/relationships/hyperlink" Target="http://www.sunderland.ac.uk/faculties/apsc/ourdepartments/phw/" TargetMode="External"/><Relationship Id="rId290" Type="http://schemas.openxmlformats.org/officeDocument/2006/relationships/hyperlink" Target="http://www.gekodevices.com" TargetMode="External"/><Relationship Id="rId60" Type="http://schemas.openxmlformats.org/officeDocument/2006/relationships/hyperlink" Target="http://www.hud.ac.uk" TargetMode="External"/><Relationship Id="rId165" Type="http://schemas.openxmlformats.org/officeDocument/2006/relationships/hyperlink" Target="https://www.gmpmanufacturing.co.uk" TargetMode="External"/><Relationship Id="rId286" Type="http://schemas.openxmlformats.org/officeDocument/2006/relationships/hyperlink" Target="http://www.quaypharma.com" TargetMode="External"/><Relationship Id="rId69" Type="http://schemas.openxmlformats.org/officeDocument/2006/relationships/hyperlink" Target="http://www.afchempharm.co.uk" TargetMode="External"/><Relationship Id="rId164" Type="http://schemas.openxmlformats.org/officeDocument/2006/relationships/hyperlink" Target="https://www.glasshousehealth.com/" TargetMode="External"/><Relationship Id="rId285" Type="http://schemas.openxmlformats.org/officeDocument/2006/relationships/hyperlink" Target="http://www.sedapds.com" TargetMode="External"/><Relationship Id="rId163" Type="http://schemas.openxmlformats.org/officeDocument/2006/relationships/hyperlink" Target="http://www.gentronix.co.uk" TargetMode="External"/><Relationship Id="rId284" Type="http://schemas.openxmlformats.org/officeDocument/2006/relationships/hyperlink" Target="http://www.secerna.co.uk" TargetMode="External"/><Relationship Id="rId162" Type="http://schemas.openxmlformats.org/officeDocument/2006/relationships/hyperlink" Target="https://gis.ie/" TargetMode="External"/><Relationship Id="rId283" Type="http://schemas.openxmlformats.org/officeDocument/2006/relationships/hyperlink" Target="https://scope-international.online/" TargetMode="External"/><Relationship Id="rId169" Type="http://schemas.openxmlformats.org/officeDocument/2006/relationships/hyperlink" Target="http://www.healthinnovationmanchester.com" TargetMode="External"/><Relationship Id="rId168" Type="http://schemas.openxmlformats.org/officeDocument/2006/relationships/hyperlink" Target="http://www.hartbio.com" TargetMode="External"/><Relationship Id="rId289" Type="http://schemas.openxmlformats.org/officeDocument/2006/relationships/hyperlink" Target="https://skinlifeanalytics.com" TargetMode="External"/><Relationship Id="rId167" Type="http://schemas.openxmlformats.org/officeDocument/2006/relationships/hyperlink" Target="https://www.haddletons.com/" TargetMode="External"/><Relationship Id="rId288" Type="http://schemas.openxmlformats.org/officeDocument/2006/relationships/hyperlink" Target="https://www.shu.ac.uk/" TargetMode="External"/><Relationship Id="rId166" Type="http://schemas.openxmlformats.org/officeDocument/2006/relationships/hyperlink" Target="http://www.gsk.com/" TargetMode="External"/><Relationship Id="rId287" Type="http://schemas.openxmlformats.org/officeDocument/2006/relationships/hyperlink" Target="https://www.sgs.com/en/our-services/health-and-nutrition/health-science" TargetMode="External"/><Relationship Id="rId51" Type="http://schemas.openxmlformats.org/officeDocument/2006/relationships/hyperlink" Target="http://www.sci-techdaresbury.com" TargetMode="External"/><Relationship Id="rId50" Type="http://schemas.openxmlformats.org/officeDocument/2006/relationships/hyperlink" Target="http://www.qiagen.com" TargetMode="External"/><Relationship Id="rId53" Type="http://schemas.openxmlformats.org/officeDocument/2006/relationships/hyperlink" Target="http://www.sciencesolutionsrecruitment.com/" TargetMode="External"/><Relationship Id="rId52" Type="http://schemas.openxmlformats.org/officeDocument/2006/relationships/hyperlink" Target="http://www.stfc.ac.uk" TargetMode="External"/><Relationship Id="rId55" Type="http://schemas.openxmlformats.org/officeDocument/2006/relationships/hyperlink" Target="http://www.srgtalent.com" TargetMode="External"/><Relationship Id="rId161" Type="http://schemas.openxmlformats.org/officeDocument/2006/relationships/hyperlink" Target="https://www.ajg.com/uk/life-sciences/" TargetMode="External"/><Relationship Id="rId282" Type="http://schemas.openxmlformats.org/officeDocument/2006/relationships/hyperlink" Target="https://www.scitech.com/" TargetMode="External"/><Relationship Id="rId54" Type="http://schemas.openxmlformats.org/officeDocument/2006/relationships/hyperlink" Target="http://www.seqirus.com" TargetMode="External"/><Relationship Id="rId160" Type="http://schemas.openxmlformats.org/officeDocument/2006/relationships/hyperlink" Target="http://www.fujifilmdiosynth.com" TargetMode="External"/><Relationship Id="rId281" Type="http://schemas.openxmlformats.org/officeDocument/2006/relationships/hyperlink" Target="http://www.sciencedevelopments.co.uk" TargetMode="External"/><Relationship Id="rId57" Type="http://schemas.openxmlformats.org/officeDocument/2006/relationships/hyperlink" Target="https://thebiospherenewcastle.co.uk/" TargetMode="External"/><Relationship Id="rId280" Type="http://schemas.openxmlformats.org/officeDocument/2006/relationships/hyperlink" Target="https://sampled.com/" TargetMode="External"/><Relationship Id="rId56" Type="http://schemas.openxmlformats.org/officeDocument/2006/relationships/hyperlink" Target="http://www.tees.ac.uk" TargetMode="External"/><Relationship Id="rId159" Type="http://schemas.openxmlformats.org/officeDocument/2006/relationships/hyperlink" Target="https://www.fticonsulting-emea.com/services/corporate-finance-restructuring/tax-advisory/life-sciences" TargetMode="External"/><Relationship Id="rId59" Type="http://schemas.openxmlformats.org/officeDocument/2006/relationships/hyperlink" Target="https://www.ed.ac.uk/" TargetMode="External"/><Relationship Id="rId154" Type="http://schemas.openxmlformats.org/officeDocument/2006/relationships/hyperlink" Target="https://www.ferryx.com/" TargetMode="External"/><Relationship Id="rId275" Type="http://schemas.openxmlformats.org/officeDocument/2006/relationships/hyperlink" Target="https://harrowgreen.com/" TargetMode="External"/><Relationship Id="rId58" Type="http://schemas.openxmlformats.org/officeDocument/2006/relationships/hyperlink" Target="http://www.bradford.ac.uk" TargetMode="External"/><Relationship Id="rId153" Type="http://schemas.openxmlformats.org/officeDocument/2006/relationships/hyperlink" Target="https://factory-talk.com" TargetMode="External"/><Relationship Id="rId274" Type="http://schemas.openxmlformats.org/officeDocument/2006/relationships/hyperlink" Target="https://renewvax.com" TargetMode="External"/><Relationship Id="rId152" Type="http://schemas.openxmlformats.org/officeDocument/2006/relationships/hyperlink" Target="http://www.f2g.com" TargetMode="External"/><Relationship Id="rId273" Type="http://schemas.openxmlformats.org/officeDocument/2006/relationships/hyperlink" Target="https://www.regulatetrials.com" TargetMode="External"/><Relationship Id="rId151" Type="http://schemas.openxmlformats.org/officeDocument/2006/relationships/hyperlink" Target="https://www.evotec.com/en" TargetMode="External"/><Relationship Id="rId272" Type="http://schemas.openxmlformats.org/officeDocument/2006/relationships/hyperlink" Target="http://www.redxpharma.com" TargetMode="External"/><Relationship Id="rId158" Type="http://schemas.openxmlformats.org/officeDocument/2006/relationships/hyperlink" Target="http://www.fnc.co.uk" TargetMode="External"/><Relationship Id="rId279" Type="http://schemas.openxmlformats.org/officeDocument/2006/relationships/hyperlink" Target="https://www.sailife.com/" TargetMode="External"/><Relationship Id="rId157" Type="http://schemas.openxmlformats.org/officeDocument/2006/relationships/hyperlink" Target="https://www.foxbiosystems.com" TargetMode="External"/><Relationship Id="rId278" Type="http://schemas.openxmlformats.org/officeDocument/2006/relationships/hyperlink" Target="http://www.sgbio.com" TargetMode="External"/><Relationship Id="rId156" Type="http://schemas.openxmlformats.org/officeDocument/2006/relationships/hyperlink" Target="http://www.flintloque.co.uk" TargetMode="External"/><Relationship Id="rId277" Type="http://schemas.openxmlformats.org/officeDocument/2006/relationships/hyperlink" Target="http://www.rtddx.co.uk" TargetMode="External"/><Relationship Id="rId155" Type="http://schemas.openxmlformats.org/officeDocument/2006/relationships/hyperlink" Target="https://www.fibrofind.com/" TargetMode="External"/><Relationship Id="rId276" Type="http://schemas.openxmlformats.org/officeDocument/2006/relationships/hyperlink" Target="http://www.rsmuk.com" TargetMode="External"/><Relationship Id="rId107" Type="http://schemas.openxmlformats.org/officeDocument/2006/relationships/hyperlink" Target="http://www.blueberrytherapeutics.com" TargetMode="External"/><Relationship Id="rId228" Type="http://schemas.openxmlformats.org/officeDocument/2006/relationships/hyperlink" Target="http://northernengineering.co.uk" TargetMode="External"/><Relationship Id="rId106" Type="http://schemas.openxmlformats.org/officeDocument/2006/relationships/hyperlink" Target="http://biotryp.com" TargetMode="External"/><Relationship Id="rId227" Type="http://schemas.openxmlformats.org/officeDocument/2006/relationships/hyperlink" Target="https://www.nesfircroft.com/" TargetMode="External"/><Relationship Id="rId105" Type="http://schemas.openxmlformats.org/officeDocument/2006/relationships/hyperlink" Target="http://www.crbdiscovery.com" TargetMode="External"/><Relationship Id="rId226" Type="http://schemas.openxmlformats.org/officeDocument/2006/relationships/hyperlink" Target="http://www.nepic.co.uk" TargetMode="External"/><Relationship Id="rId104" Type="http://schemas.openxmlformats.org/officeDocument/2006/relationships/hyperlink" Target="https://www.biopharmadynamics.co.uk" TargetMode="External"/><Relationship Id="rId225" Type="http://schemas.openxmlformats.org/officeDocument/2006/relationships/hyperlink" Target="http://www.neotherix.com" TargetMode="External"/><Relationship Id="rId109" Type="http://schemas.openxmlformats.org/officeDocument/2006/relationships/hyperlink" Target="http://www.bonaccord.law" TargetMode="External"/><Relationship Id="rId108" Type="http://schemas.openxmlformats.org/officeDocument/2006/relationships/hyperlink" Target="http://bobredfern45.com" TargetMode="External"/><Relationship Id="rId229" Type="http://schemas.openxmlformats.org/officeDocument/2006/relationships/hyperlink" Target="http://networkscientific.co.uk/" TargetMode="External"/><Relationship Id="rId220" Type="http://schemas.openxmlformats.org/officeDocument/2006/relationships/hyperlink" Target="http://www.n8research.org.uk" TargetMode="External"/><Relationship Id="rId103" Type="http://schemas.openxmlformats.org/officeDocument/2006/relationships/hyperlink" Target="http://www.biopercept.com" TargetMode="External"/><Relationship Id="rId224" Type="http://schemas.openxmlformats.org/officeDocument/2006/relationships/hyperlink" Target="https://naturiol.uk/" TargetMode="External"/><Relationship Id="rId102" Type="http://schemas.openxmlformats.org/officeDocument/2006/relationships/hyperlink" Target="https://biomatics.co.uk" TargetMode="External"/><Relationship Id="rId223" Type="http://schemas.openxmlformats.org/officeDocument/2006/relationships/hyperlink" Target="http://www.npl.co.uk" TargetMode="External"/><Relationship Id="rId101" Type="http://schemas.openxmlformats.org/officeDocument/2006/relationships/hyperlink" Target="https://www.biograd.co.uk/" TargetMode="External"/><Relationship Id="rId222" Type="http://schemas.openxmlformats.org/officeDocument/2006/relationships/hyperlink" Target="https://www.nanovery.co.uk/" TargetMode="External"/><Relationship Id="rId100" Type="http://schemas.openxmlformats.org/officeDocument/2006/relationships/hyperlink" Target="http://www.biofortuna.com" TargetMode="External"/><Relationship Id="rId221" Type="http://schemas.openxmlformats.org/officeDocument/2006/relationships/hyperlink" Target="https://www.nanoptima.com/" TargetMode="External"/><Relationship Id="rId217" Type="http://schemas.openxmlformats.org/officeDocument/2006/relationships/hyperlink" Target="http://www.microbiosensor.com" TargetMode="External"/><Relationship Id="rId216" Type="http://schemas.openxmlformats.org/officeDocument/2006/relationships/hyperlink" Target="http://www.mewburn.com" TargetMode="External"/><Relationship Id="rId215" Type="http://schemas.openxmlformats.org/officeDocument/2006/relationships/hyperlink" Target="https://www.metallobio.com/" TargetMode="External"/><Relationship Id="rId214" Type="http://schemas.openxmlformats.org/officeDocument/2006/relationships/hyperlink" Target="http://www.meu.org.uk" TargetMode="External"/><Relationship Id="rId219" Type="http://schemas.openxmlformats.org/officeDocument/2006/relationships/hyperlink" Target="http://www.n4pharma.co.uk" TargetMode="External"/><Relationship Id="rId218" Type="http://schemas.openxmlformats.org/officeDocument/2006/relationships/hyperlink" Target="https://monumenttx.com/about/" TargetMode="External"/><Relationship Id="rId213" Type="http://schemas.openxmlformats.org/officeDocument/2006/relationships/hyperlink" Target="https://www.meco.com" TargetMode="External"/><Relationship Id="rId212" Type="http://schemas.openxmlformats.org/officeDocument/2006/relationships/hyperlink" Target="https://www.mazars.co.uk/" TargetMode="External"/><Relationship Id="rId211" Type="http://schemas.openxmlformats.org/officeDocument/2006/relationships/hyperlink" Target="http://www.mathys-squire.com" TargetMode="External"/><Relationship Id="rId210" Type="http://schemas.openxmlformats.org/officeDocument/2006/relationships/hyperlink" Target="http://none" TargetMode="External"/><Relationship Id="rId129" Type="http://schemas.openxmlformats.org/officeDocument/2006/relationships/hyperlink" Target="http://www.cinetique.co.uk" TargetMode="External"/><Relationship Id="rId128" Type="http://schemas.openxmlformats.org/officeDocument/2006/relationships/hyperlink" Target="http://www.doesnotexist" TargetMode="External"/><Relationship Id="rId249" Type="http://schemas.openxmlformats.org/officeDocument/2006/relationships/hyperlink" Target="http://www.peakproteins.com" TargetMode="External"/><Relationship Id="rId127" Type="http://schemas.openxmlformats.org/officeDocument/2006/relationships/hyperlink" Target="https://www.chiesi.uk.com/" TargetMode="External"/><Relationship Id="rId248" Type="http://schemas.openxmlformats.org/officeDocument/2006/relationships/hyperlink" Target="https://paulcheetham.co.uk/" TargetMode="External"/><Relationship Id="rId126" Type="http://schemas.openxmlformats.org/officeDocument/2006/relationships/hyperlink" Target="https://www.criver.com/cobra-biologics-now-part-charles-river" TargetMode="External"/><Relationship Id="rId247" Type="http://schemas.openxmlformats.org/officeDocument/2006/relationships/hyperlink" Target="https://oxfordsimcell.com/" TargetMode="External"/><Relationship Id="rId121" Type="http://schemas.openxmlformats.org/officeDocument/2006/relationships/hyperlink" Target="http://catalystcr.com" TargetMode="External"/><Relationship Id="rId242" Type="http://schemas.openxmlformats.org/officeDocument/2006/relationships/hyperlink" Target="http://www.glasgows.co.uk" TargetMode="External"/><Relationship Id="rId120" Type="http://schemas.openxmlformats.org/officeDocument/2006/relationships/hyperlink" Target="http://www.carocellbio.com" TargetMode="External"/><Relationship Id="rId241" Type="http://schemas.openxmlformats.org/officeDocument/2006/relationships/hyperlink" Target="https://nunabio.com/" TargetMode="External"/><Relationship Id="rId240" Type="http://schemas.openxmlformats.org/officeDocument/2006/relationships/hyperlink" Target="https://www.novopath.co.uk" TargetMode="External"/><Relationship Id="rId125" Type="http://schemas.openxmlformats.org/officeDocument/2006/relationships/hyperlink" Target="https://www.ceratium.eu/" TargetMode="External"/><Relationship Id="rId246" Type="http://schemas.openxmlformats.org/officeDocument/2006/relationships/hyperlink" Target="https://www.oxfordsilkphages.co.uk/" TargetMode="External"/><Relationship Id="rId124" Type="http://schemas.openxmlformats.org/officeDocument/2006/relationships/hyperlink" Target="http://www.uk-cpi.com/" TargetMode="External"/><Relationship Id="rId245" Type="http://schemas.openxmlformats.org/officeDocument/2006/relationships/hyperlink" Target="http://ovagen.ie/" TargetMode="External"/><Relationship Id="rId123" Type="http://schemas.openxmlformats.org/officeDocument/2006/relationships/hyperlink" Target="http://www.centauritherapeutics.com/" TargetMode="External"/><Relationship Id="rId244" Type="http://schemas.openxmlformats.org/officeDocument/2006/relationships/hyperlink" Target="http://www.onyxhealth.com" TargetMode="External"/><Relationship Id="rId122" Type="http://schemas.openxmlformats.org/officeDocument/2006/relationships/hyperlink" Target="https://www.cellularevolution.co.uk/" TargetMode="External"/><Relationship Id="rId243" Type="http://schemas.openxmlformats.org/officeDocument/2006/relationships/hyperlink" Target="https://www.onlinebusinessadvice.uk" TargetMode="External"/><Relationship Id="rId95" Type="http://schemas.openxmlformats.org/officeDocument/2006/relationships/hyperlink" Target="http://asymchem.com" TargetMode="External"/><Relationship Id="rId94" Type="http://schemas.openxmlformats.org/officeDocument/2006/relationships/hyperlink" Target="http://www.acciusa.com" TargetMode="External"/><Relationship Id="rId97" Type="http://schemas.openxmlformats.org/officeDocument/2006/relationships/hyperlink" Target="http://www.azonetwork.com" TargetMode="External"/><Relationship Id="rId96" Type="http://schemas.openxmlformats.org/officeDocument/2006/relationships/hyperlink" Target="https://atgscientific.co.uk" TargetMode="External"/><Relationship Id="rId99" Type="http://schemas.openxmlformats.org/officeDocument/2006/relationships/hyperlink" Target="https://www.biocair.com/en-gb/" TargetMode="External"/><Relationship Id="rId98" Type="http://schemas.openxmlformats.org/officeDocument/2006/relationships/hyperlink" Target="http://www.bawden.co.uk" TargetMode="External"/><Relationship Id="rId91" Type="http://schemas.openxmlformats.org/officeDocument/2006/relationships/hyperlink" Target="http://www.as-tec-chemicals.co.uk" TargetMode="External"/><Relationship Id="rId90" Type="http://schemas.openxmlformats.org/officeDocument/2006/relationships/hyperlink" Target="https://arttia.co.uk" TargetMode="External"/><Relationship Id="rId93" Type="http://schemas.openxmlformats.org/officeDocument/2006/relationships/hyperlink" Target="https://aspectppf.co.uk/" TargetMode="External"/><Relationship Id="rId92" Type="http://schemas.openxmlformats.org/officeDocument/2006/relationships/hyperlink" Target="http://www.asephealthcare.com" TargetMode="External"/><Relationship Id="rId118" Type="http://schemas.openxmlformats.org/officeDocument/2006/relationships/hyperlink" Target="https://www.cruk.manchester.ac.uk/" TargetMode="External"/><Relationship Id="rId239" Type="http://schemas.openxmlformats.org/officeDocument/2006/relationships/hyperlink" Target="https://www.northwaybiotech.com/" TargetMode="External"/><Relationship Id="rId117" Type="http://schemas.openxmlformats.org/officeDocument/2006/relationships/hyperlink" Target="http://www.c4xdiscovery.com" TargetMode="External"/><Relationship Id="rId238" Type="http://schemas.openxmlformats.org/officeDocument/2006/relationships/hyperlink" Target="http://www.thenhsa.co.uk" TargetMode="External"/><Relationship Id="rId116" Type="http://schemas.openxmlformats.org/officeDocument/2006/relationships/hyperlink" Target="https://cc-insure.com/life-sciences-technology/" TargetMode="External"/><Relationship Id="rId237" Type="http://schemas.openxmlformats.org/officeDocument/2006/relationships/hyperlink" Target="http://northedge.com" TargetMode="External"/><Relationship Id="rId115" Type="http://schemas.openxmlformats.org/officeDocument/2006/relationships/hyperlink" Target="http://www.byotrol.com" TargetMode="External"/><Relationship Id="rId236" Type="http://schemas.openxmlformats.org/officeDocument/2006/relationships/hyperlink" Target="https://www.nwcr.org/" TargetMode="External"/><Relationship Id="rId119" Type="http://schemas.openxmlformats.org/officeDocument/2006/relationships/hyperlink" Target="http://cantacmcsolutions.com/" TargetMode="External"/><Relationship Id="rId110" Type="http://schemas.openxmlformats.org/officeDocument/2006/relationships/hyperlink" Target="https://www.boobybiome.com/" TargetMode="External"/><Relationship Id="rId231" Type="http://schemas.openxmlformats.org/officeDocument/2006/relationships/hyperlink" Target="http://www.newchemtechnologies.com" TargetMode="External"/><Relationship Id="rId230" Type="http://schemas.openxmlformats.org/officeDocument/2006/relationships/hyperlink" Target="http://nevrargenics.com" TargetMode="External"/><Relationship Id="rId114" Type="http://schemas.openxmlformats.org/officeDocument/2006/relationships/hyperlink" Target="https://www.bugbiome.com" TargetMode="External"/><Relationship Id="rId235" Type="http://schemas.openxmlformats.org/officeDocument/2006/relationships/hyperlink" Target="http://www.nels.co.uk" TargetMode="External"/><Relationship Id="rId113" Type="http://schemas.openxmlformats.org/officeDocument/2006/relationships/hyperlink" Target="https://www.bsigroup.com/en-GB/" TargetMode="External"/><Relationship Id="rId234" Type="http://schemas.openxmlformats.org/officeDocument/2006/relationships/hyperlink" Target="http://www.nelep.co.uk" TargetMode="External"/><Relationship Id="rId112" Type="http://schemas.openxmlformats.org/officeDocument/2006/relationships/hyperlink" Target="http://www.brabners.com" TargetMode="External"/><Relationship Id="rId233" Type="http://schemas.openxmlformats.org/officeDocument/2006/relationships/hyperlink" Target="https://commercial.newcastle-hospitals.nhs.uk/our-services/innovation-lab/" TargetMode="External"/><Relationship Id="rId111" Type="http://schemas.openxmlformats.org/officeDocument/2006/relationships/hyperlink" Target="http://www.boydconsultants.com" TargetMode="External"/><Relationship Id="rId232" Type="http://schemas.openxmlformats.org/officeDocument/2006/relationships/hyperlink" Target="http://www.nichematerials.com" TargetMode="External"/><Relationship Id="rId305" Type="http://schemas.openxmlformats.org/officeDocument/2006/relationships/hyperlink" Target="https://www.tcichemicals.com/GB/en/" TargetMode="External"/><Relationship Id="rId304" Type="http://schemas.openxmlformats.org/officeDocument/2006/relationships/hyperlink" Target="https://tiro.co.uk/" TargetMode="External"/><Relationship Id="rId303" Type="http://schemas.openxmlformats.org/officeDocument/2006/relationships/hyperlink" Target="http://fairhursts.com/" TargetMode="External"/><Relationship Id="rId302" Type="http://schemas.openxmlformats.org/officeDocument/2006/relationships/hyperlink" Target="http://www.tevaruncornjobs.co.uk" TargetMode="External"/><Relationship Id="rId309" Type="http://schemas.openxmlformats.org/officeDocument/2006/relationships/hyperlink" Target="http://www.trupcr.com" TargetMode="External"/><Relationship Id="rId308" Type="http://schemas.openxmlformats.org/officeDocument/2006/relationships/hyperlink" Target="http://www.trirx.com" TargetMode="External"/><Relationship Id="rId307" Type="http://schemas.openxmlformats.org/officeDocument/2006/relationships/hyperlink" Target="http://trackrealestate.co.uk" TargetMode="External"/><Relationship Id="rId306" Type="http://schemas.openxmlformats.org/officeDocument/2006/relationships/hyperlink" Target="https://www.torx-software.com/" TargetMode="External"/><Relationship Id="rId301" Type="http://schemas.openxmlformats.org/officeDocument/2006/relationships/hyperlink" Target="http://teesvalley-ca.gov.uk/" TargetMode="External"/><Relationship Id="rId300" Type="http://schemas.openxmlformats.org/officeDocument/2006/relationships/hyperlink" Target="http://team-compliance.com/" TargetMode="External"/><Relationship Id="rId206" Type="http://schemas.openxmlformats.org/officeDocument/2006/relationships/hyperlink" Target="http://mmu.ac.uk" TargetMode="External"/><Relationship Id="rId327" Type="http://schemas.openxmlformats.org/officeDocument/2006/relationships/hyperlink" Target="https://ysds.com/" TargetMode="External"/><Relationship Id="rId205" Type="http://schemas.openxmlformats.org/officeDocument/2006/relationships/hyperlink" Target="https://www.mac-scitech.co.uk" TargetMode="External"/><Relationship Id="rId326" Type="http://schemas.openxmlformats.org/officeDocument/2006/relationships/hyperlink" Target="https://yourgenehealth.com/" TargetMode="External"/><Relationship Id="rId204" Type="http://schemas.openxmlformats.org/officeDocument/2006/relationships/hyperlink" Target="http://www.lunactherapeutics.com" TargetMode="External"/><Relationship Id="rId325" Type="http://schemas.openxmlformats.org/officeDocument/2006/relationships/hyperlink" Target="http://www.yorkbio.com" TargetMode="External"/><Relationship Id="rId203" Type="http://schemas.openxmlformats.org/officeDocument/2006/relationships/hyperlink" Target="http://www.lpdlabservices.co.uk" TargetMode="External"/><Relationship Id="rId324" Type="http://schemas.openxmlformats.org/officeDocument/2006/relationships/hyperlink" Target="https://www.yokogawa.com/uk/" TargetMode="External"/><Relationship Id="rId209" Type="http://schemas.openxmlformats.org/officeDocument/2006/relationships/hyperlink" Target="https://www.marrabio.co.uk/" TargetMode="External"/><Relationship Id="rId208" Type="http://schemas.openxmlformats.org/officeDocument/2006/relationships/hyperlink" Target="http://www.marks-clerk.com" TargetMode="External"/><Relationship Id="rId207" Type="http://schemas.openxmlformats.org/officeDocument/2006/relationships/hyperlink" Target="https://uk.markel.com/" TargetMode="External"/><Relationship Id="rId328" Type="http://schemas.openxmlformats.org/officeDocument/2006/relationships/drawing" Target="../drawings/drawing8.xml"/><Relationship Id="rId202" Type="http://schemas.openxmlformats.org/officeDocument/2006/relationships/hyperlink" Target="https://global.lockton.com/gb/en/products-services/life-sciences" TargetMode="External"/><Relationship Id="rId323" Type="http://schemas.openxmlformats.org/officeDocument/2006/relationships/hyperlink" Target="http://www.wpt.co.uk" TargetMode="External"/><Relationship Id="rId201" Type="http://schemas.openxmlformats.org/officeDocument/2006/relationships/hyperlink" Target="http://www.lstmed.ac.uk" TargetMode="External"/><Relationship Id="rId322" Type="http://schemas.openxmlformats.org/officeDocument/2006/relationships/hyperlink" Target="http://www.worldcourier.com" TargetMode="External"/><Relationship Id="rId200" Type="http://schemas.openxmlformats.org/officeDocument/2006/relationships/hyperlink" Target="http://www.lifesciencesutc.co.uk" TargetMode="External"/><Relationship Id="rId321" Type="http://schemas.openxmlformats.org/officeDocument/2006/relationships/hyperlink" Target="https://www.withnellsensors.co.uk/" TargetMode="External"/><Relationship Id="rId320" Type="http://schemas.openxmlformats.org/officeDocument/2006/relationships/hyperlink" Target="http://www.waters.com" TargetMode="External"/><Relationship Id="rId316" Type="http://schemas.openxmlformats.org/officeDocument/2006/relationships/hyperlink" Target="https://www.vitecmicrogenix.com" TargetMode="External"/><Relationship Id="rId315" Type="http://schemas.openxmlformats.org/officeDocument/2006/relationships/hyperlink" Target="https://www.virologica.co.uk" TargetMode="External"/><Relationship Id="rId314" Type="http://schemas.openxmlformats.org/officeDocument/2006/relationships/hyperlink" Target="http://www.videregen.com/" TargetMode="External"/><Relationship Id="rId313" Type="http://schemas.openxmlformats.org/officeDocument/2006/relationships/hyperlink" Target="http://www.york.ac.uk/biology/" TargetMode="External"/><Relationship Id="rId319" Type="http://schemas.openxmlformats.org/officeDocument/2006/relationships/hyperlink" Target="http://www.wardhadaway.com" TargetMode="External"/><Relationship Id="rId318" Type="http://schemas.openxmlformats.org/officeDocument/2006/relationships/hyperlink" Target="https://www.vrsrecruitment.com/" TargetMode="External"/><Relationship Id="rId317" Type="http://schemas.openxmlformats.org/officeDocument/2006/relationships/hyperlink" Target="https://www.contrelle.com" TargetMode="External"/><Relationship Id="rId312" Type="http://schemas.openxmlformats.org/officeDocument/2006/relationships/hyperlink" Target="http://www.bolton.ac.uk" TargetMode="External"/><Relationship Id="rId311" Type="http://schemas.openxmlformats.org/officeDocument/2006/relationships/hyperlink" Target="http://www.uleduneering.com" TargetMode="External"/><Relationship Id="rId310" Type="http://schemas.openxmlformats.org/officeDocument/2006/relationships/hyperlink" Target="http://www.gov.uk/ukhsa"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mediwales.com" TargetMode="External"/><Relationship Id="rId42" Type="http://schemas.openxmlformats.org/officeDocument/2006/relationships/hyperlink" Target="https://nevrargenics.com/" TargetMode="External"/><Relationship Id="rId41" Type="http://schemas.openxmlformats.org/officeDocument/2006/relationships/hyperlink" Target="http://www.mironid.com/" TargetMode="External"/><Relationship Id="rId44" Type="http://schemas.openxmlformats.org/officeDocument/2006/relationships/hyperlink" Target="https://obn.org.uk/" TargetMode="External"/><Relationship Id="rId43" Type="http://schemas.openxmlformats.org/officeDocument/2006/relationships/hyperlink" Target="https://www.nihr.ac.uk/" TargetMode="External"/><Relationship Id="rId46" Type="http://schemas.openxmlformats.org/officeDocument/2006/relationships/hyperlink" Target="https://onenucleus.com/" TargetMode="External"/><Relationship Id="rId45" Type="http://schemas.openxmlformats.org/officeDocument/2006/relationships/hyperlink" Target="http://oncimmune.com/" TargetMode="External"/><Relationship Id="rId48" Type="http://schemas.openxmlformats.org/officeDocument/2006/relationships/hyperlink" Target="http://oppilotech.com/" TargetMode="External"/><Relationship Id="rId47" Type="http://schemas.openxmlformats.org/officeDocument/2006/relationships/hyperlink" Target="https://onyxipca.com/" TargetMode="External"/><Relationship Id="rId49" Type="http://schemas.openxmlformats.org/officeDocument/2006/relationships/hyperlink" Target="http://www.pebmondassociates.com/" TargetMode="External"/><Relationship Id="rId31" Type="http://schemas.openxmlformats.org/officeDocument/2006/relationships/hyperlink" Target="https://idearegulatory.com/" TargetMode="External"/><Relationship Id="rId30" Type="http://schemas.openxmlformats.org/officeDocument/2006/relationships/hyperlink" Target="https://hvivo.com" TargetMode="External"/><Relationship Id="rId33" Type="http://schemas.openxmlformats.org/officeDocument/2006/relationships/hyperlink" Target="https://www.intractpharma.com/" TargetMode="External"/><Relationship Id="rId32" Type="http://schemas.openxmlformats.org/officeDocument/2006/relationships/hyperlink" Target="https://insilicotrials.com/" TargetMode="External"/><Relationship Id="rId35" Type="http://schemas.openxmlformats.org/officeDocument/2006/relationships/hyperlink" Target="https://www.lifescienceindustrynews.com/mediapack/" TargetMode="External"/><Relationship Id="rId34" Type="http://schemas.openxmlformats.org/officeDocument/2006/relationships/hyperlink" Target="http://www.isogenica.com" TargetMode="External"/><Relationship Id="rId37" Type="http://schemas.openxmlformats.org/officeDocument/2006/relationships/hyperlink" Target="https://www.mawdsleys.co.uk/" TargetMode="External"/><Relationship Id="rId36" Type="http://schemas.openxmlformats.org/officeDocument/2006/relationships/hyperlink" Target="http://www.lsxleaders.com/" TargetMode="External"/><Relationship Id="rId39" Type="http://schemas.openxmlformats.org/officeDocument/2006/relationships/hyperlink" Target="http://www.medherant.co.uk/" TargetMode="External"/><Relationship Id="rId38" Type="http://schemas.openxmlformats.org/officeDocument/2006/relationships/hyperlink" Target="https://www.medcityhq.com/" TargetMode="External"/><Relationship Id="rId20" Type="http://schemas.openxmlformats.org/officeDocument/2006/relationships/hyperlink" Target="https://clinicalaccelerator.com/" TargetMode="External"/><Relationship Id="rId22" Type="http://schemas.openxmlformats.org/officeDocument/2006/relationships/hyperlink" Target="https://www.cresset-group.com/?gclid=Cj0KCQjw756lBhDMARIsAEI0AgmKpMyeAkV8HjP8R8JR32R-fMLMTxKek_HXx-ja55Gn2RbI06Tpdt4aAqClEALw_wcB" TargetMode="External"/><Relationship Id="rId21" Type="http://schemas.openxmlformats.org/officeDocument/2006/relationships/hyperlink" Target="https://clubquartershotels.com/" TargetMode="External"/><Relationship Id="rId24" Type="http://schemas.openxmlformats.org/officeDocument/2006/relationships/hyperlink" Target="https://www.dell.com/en-uk" TargetMode="External"/><Relationship Id="rId23" Type="http://schemas.openxmlformats.org/officeDocument/2006/relationships/hyperlink" Target="https://www.cytoseek.uk/" TargetMode="External"/><Relationship Id="rId26" Type="http://schemas.openxmlformats.org/officeDocument/2006/relationships/hyperlink" Target="http://www.selcia.com" TargetMode="External"/><Relationship Id="rId25" Type="http://schemas.openxmlformats.org/officeDocument/2006/relationships/hyperlink" Target="https://erebagen.com/" TargetMode="External"/><Relationship Id="rId28" Type="http://schemas.openxmlformats.org/officeDocument/2006/relationships/hyperlink" Target="https://www.fusionantibodies.com/" TargetMode="External"/><Relationship Id="rId27" Type="http://schemas.openxmlformats.org/officeDocument/2006/relationships/hyperlink" Target="https://evgen.com/" TargetMode="External"/><Relationship Id="rId29" Type="http://schemas.openxmlformats.org/officeDocument/2006/relationships/hyperlink" Target="https://www.galen-pharma.com/" TargetMode="External"/><Relationship Id="rId11" Type="http://schemas.openxmlformats.org/officeDocument/2006/relationships/hyperlink" Target="https://www.almacgroup.com" TargetMode="External"/><Relationship Id="rId10" Type="http://schemas.openxmlformats.org/officeDocument/2006/relationships/hyperlink" Target="https://www.almacgroup.com/discovery/" TargetMode="External"/><Relationship Id="rId13" Type="http://schemas.openxmlformats.org/officeDocument/2006/relationships/hyperlink" Target="http://www.astx.com" TargetMode="External"/><Relationship Id="rId12" Type="http://schemas.openxmlformats.org/officeDocument/2006/relationships/hyperlink" Target="https://www.aph.com/" TargetMode="External"/><Relationship Id="rId15" Type="http://schemas.openxmlformats.org/officeDocument/2006/relationships/hyperlink" Target="http://www.bionow.co.uk" TargetMode="External"/><Relationship Id="rId14" Type="http://schemas.openxmlformats.org/officeDocument/2006/relationships/hyperlink" Target="https://barringtonjames.com/" TargetMode="External"/><Relationship Id="rId17" Type="http://schemas.openxmlformats.org/officeDocument/2006/relationships/hyperlink" Target="http://bit.bio" TargetMode="External"/><Relationship Id="rId16" Type="http://schemas.openxmlformats.org/officeDocument/2006/relationships/hyperlink" Target="http://www.biopartner.co.uk" TargetMode="External"/><Relationship Id="rId19" Type="http://schemas.openxmlformats.org/officeDocument/2006/relationships/hyperlink" Target="https://catalystcr.com/" TargetMode="External"/><Relationship Id="rId18" Type="http://schemas.openxmlformats.org/officeDocument/2006/relationships/hyperlink" Target="https://www.cancerresearchhorizons.com/" TargetMode="External"/><Relationship Id="rId1" Type="http://schemas.openxmlformats.org/officeDocument/2006/relationships/hyperlink" Target="https://members.biopartner.co.uk/search?sort=alpha&amp;notes=&amp;fulltext=&amp;index=&amp;country=&amp;group_id=&amp;custom=&amp;id=&amp;free_slot_id=&amp;page=1" TargetMode="External"/><Relationship Id="rId2" Type="http://schemas.openxmlformats.org/officeDocument/2006/relationships/hyperlink" Target="https://members.biopartner.co.uk/search?notes=&amp;fulltext=&amp;index=&amp;sort=alpha&amp;country=&amp;group_id=&amp;custom=&amp;id=&amp;free_slot_id=&amp;page=2" TargetMode="External"/><Relationship Id="rId3" Type="http://schemas.openxmlformats.org/officeDocument/2006/relationships/hyperlink" Target="https://members.biopartner.co.uk/search?notes=&amp;fulltext=&amp;index=&amp;sort=alpha&amp;country=&amp;group_id=&amp;custom=&amp;id=&amp;free_slot_id=&amp;page=2" TargetMode="External"/><Relationship Id="rId4" Type="http://schemas.openxmlformats.org/officeDocument/2006/relationships/hyperlink" Target="https://members.biopartner.co.uk/search?notes=&amp;fulltext=&amp;index=&amp;sort=alpha&amp;country=&amp;group_id=&amp;custom=&amp;id=&amp;free_slot_id=&amp;page=2" TargetMode="External"/><Relationship Id="rId9" Type="http://schemas.openxmlformats.org/officeDocument/2006/relationships/hyperlink" Target="https://www.alderleypark.co.uk/" TargetMode="External"/><Relationship Id="rId5" Type="http://schemas.openxmlformats.org/officeDocument/2006/relationships/hyperlink" Target="https://members.biopartner.co.uk/search?notes=&amp;fulltext=&amp;index=&amp;sort=alpha&amp;country=&amp;group_id=&amp;custom=&amp;id=&amp;free_slot_id=&amp;page=2" TargetMode="External"/><Relationship Id="rId6" Type="http://schemas.openxmlformats.org/officeDocument/2006/relationships/hyperlink" Target="https://members.biopartner.co.uk/search?notes=&amp;fulltext=&amp;index=&amp;sort=alpha&amp;country=&amp;group_id=&amp;custom=&amp;id=&amp;free_slot_id=&amp;page=2" TargetMode="External"/><Relationship Id="rId7" Type="http://schemas.openxmlformats.org/officeDocument/2006/relationships/hyperlink" Target="https://members.biopartner.co.uk/search?notes=&amp;fulltext=&amp;index=&amp;sort=alpha&amp;country=&amp;group_id=&amp;custom=&amp;id=&amp;free_slot_id=&amp;page=2" TargetMode="External"/><Relationship Id="rId8" Type="http://schemas.openxmlformats.org/officeDocument/2006/relationships/hyperlink" Target="http://www.albumedix.com" TargetMode="External"/><Relationship Id="rId70" Type="http://schemas.openxmlformats.org/officeDocument/2006/relationships/drawing" Target="../drawings/drawing9.xml"/><Relationship Id="rId62" Type="http://schemas.openxmlformats.org/officeDocument/2006/relationships/hyperlink" Target="https://www.silence-therapeutics.com/" TargetMode="External"/><Relationship Id="rId61" Type="http://schemas.openxmlformats.org/officeDocument/2006/relationships/hyperlink" Target="https://www.bioproduction-sekisui.com/" TargetMode="External"/><Relationship Id="rId64" Type="http://schemas.openxmlformats.org/officeDocument/2006/relationships/hyperlink" Target="http://www.spherefluidics.com" TargetMode="External"/><Relationship Id="rId63" Type="http://schemas.openxmlformats.org/officeDocument/2006/relationships/hyperlink" Target="https://somaserve.com/" TargetMode="External"/><Relationship Id="rId66" Type="http://schemas.openxmlformats.org/officeDocument/2006/relationships/hyperlink" Target="https://www.sygnaturediscovery.com/" TargetMode="External"/><Relationship Id="rId65" Type="http://schemas.openxmlformats.org/officeDocument/2006/relationships/hyperlink" Target="https://www.standigm.com/main" TargetMode="External"/><Relationship Id="rId68" Type="http://schemas.openxmlformats.org/officeDocument/2006/relationships/hyperlink" Target="https://viramal.com/" TargetMode="External"/><Relationship Id="rId67" Type="http://schemas.openxmlformats.org/officeDocument/2006/relationships/hyperlink" Target="http://www.bioindustry.org" TargetMode="External"/><Relationship Id="rId60" Type="http://schemas.openxmlformats.org/officeDocument/2006/relationships/hyperlink" Target="https://www.scitribe.life/" TargetMode="External"/><Relationship Id="rId69" Type="http://schemas.openxmlformats.org/officeDocument/2006/relationships/hyperlink" Target="https://www.worldwide.com/" TargetMode="External"/><Relationship Id="rId51" Type="http://schemas.openxmlformats.org/officeDocument/2006/relationships/hyperlink" Target="https://www.pharmalex.com/" TargetMode="External"/><Relationship Id="rId50" Type="http://schemas.openxmlformats.org/officeDocument/2006/relationships/hyperlink" Target="https://plg-group.com/" TargetMode="External"/><Relationship Id="rId53" Type="http://schemas.openxmlformats.org/officeDocument/2006/relationships/hyperlink" Target="http://www.quotientsciences.com/" TargetMode="External"/><Relationship Id="rId52" Type="http://schemas.openxmlformats.org/officeDocument/2006/relationships/hyperlink" Target="https://precisionlife.com/contact/" TargetMode="External"/><Relationship Id="rId55" Type="http://schemas.openxmlformats.org/officeDocument/2006/relationships/hyperlink" Target="https://www.rosemontpharma.com" TargetMode="External"/><Relationship Id="rId54" Type="http://schemas.openxmlformats.org/officeDocument/2006/relationships/hyperlink" Target="https://researchdonors.co.uk/" TargetMode="External"/><Relationship Id="rId57" Type="http://schemas.openxmlformats.org/officeDocument/2006/relationships/hyperlink" Target="http://www.sareum.co.uk" TargetMode="External"/><Relationship Id="rId56" Type="http://schemas.openxmlformats.org/officeDocument/2006/relationships/hyperlink" Target="http://www.sapiosciences.com" TargetMode="External"/><Relationship Id="rId59" Type="http://schemas.openxmlformats.org/officeDocument/2006/relationships/hyperlink" Target="https://www.science-entrepreneur.com/" TargetMode="External"/><Relationship Id="rId58" Type="http://schemas.openxmlformats.org/officeDocument/2006/relationships/hyperlink" Target="https://www.scendea.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row>
    <row r="4">
      <c r="B4" s="2" t="s">
        <v>1</v>
      </c>
      <c r="E4" s="2" t="s">
        <v>2</v>
      </c>
      <c r="I4" s="3" t="s">
        <v>3</v>
      </c>
      <c r="J4" s="2" t="s">
        <v>4</v>
      </c>
    </row>
    <row r="5">
      <c r="C5" s="4" t="s">
        <v>5</v>
      </c>
      <c r="D5" s="4" t="s">
        <v>6</v>
      </c>
      <c r="E5" s="4" t="s">
        <v>7</v>
      </c>
      <c r="F5" s="4" t="s">
        <v>8</v>
      </c>
      <c r="G5" s="4" t="s">
        <v>9</v>
      </c>
      <c r="H5" s="4" t="s">
        <v>10</v>
      </c>
      <c r="I5" s="5"/>
      <c r="J5" s="4" t="s">
        <v>11</v>
      </c>
      <c r="K5" s="5"/>
      <c r="L5" s="5"/>
    </row>
    <row r="6">
      <c r="B6" s="6" t="str">
        <f>IFERROR(__xludf.DUMMYFUNCTION("IMPORTXML(B3,B4)"),"")</f>
        <v/>
      </c>
      <c r="C6" s="6" t="str">
        <f>IFERROR(__xludf.DUMMYFUNCTION("""COMPUTED_VALUE"""),"A&amp;O Pharmadienstleistungen")</f>
        <v>A&amp;O Pharmadienstleistungen</v>
      </c>
      <c r="D6" s="7" t="str">
        <f>IFERROR(__xludf.DUMMYFUNCTION("""COMPUTED_VALUE"""),"www.aopharma.de")</f>
        <v>www.aopharma.de</v>
      </c>
      <c r="E6" s="6" t="str">
        <f>IFERROR(__xludf.DUMMYFUNCTION("IMPORTXML(B3,E4)"),"Am Sattel 17")</f>
        <v>Am Sattel 17</v>
      </c>
      <c r="F6" s="6">
        <f>IFERROR(__xludf.DUMMYFUNCTION("""COMPUTED_VALUE"""),79588.0)</f>
        <v>79588</v>
      </c>
      <c r="G6" s="6" t="str">
        <f>IFERROR(__xludf.DUMMYFUNCTION("""COMPUTED_VALUE"""),"Efringen-Kirchen")</f>
        <v>Efringen-Kirchen</v>
      </c>
      <c r="H6" s="6" t="str">
        <f>IFERROR(__xludf.DUMMYFUNCTION("""COMPUTED_VALUE"""),"07628 95 03 119")</f>
        <v>07628 95 03 119</v>
      </c>
      <c r="I6" s="6" t="str">
        <f>IFERROR(__xludf.DUMMYFUNCTION("""COMPUTED_VALUE"""),"... Diese E-Mail-Adresse ist geschützt. Javascript muss im Browser 
aktiviert sein, um die Mailadresse zu sehen ")</f>
        <v>... Diese E-Mail-Adresse ist geschützt. Javascript muss im Browser 
aktiviert sein, um die Mailadresse zu sehen </v>
      </c>
      <c r="J6" s="6" t="str">
        <f>IFERROR(__xludf.DUMMYFUNCTION("IMPORTXML(B3,J4)"),"Arzneimittelfreigaben klinische Prüfpräparate und Marktware durch die 
Sachkundige Person mit eigener Herstellungserlaubnis und GMP-Zertifizierung 
durch das Regierungspräsidium Tübingen")</f>
        <v>Arzneimittelfreigaben klinische Prüfpräparate und Marktware durch die 
Sachkundige Person mit eigener Herstellungserlaubnis und GMP-Zertifizierung 
durch das Regierungspräsidium Tübingen</v>
      </c>
      <c r="K6" s="6"/>
      <c r="L6" s="6"/>
      <c r="M6" s="6"/>
      <c r="N6" s="6"/>
      <c r="O6" s="6"/>
      <c r="P6" s="6"/>
      <c r="Q6" s="6"/>
      <c r="R6" s="6"/>
      <c r="S6" s="6"/>
    </row>
    <row r="7">
      <c r="B7" s="6"/>
      <c r="C7" s="6" t="str">
        <f>IFERROR(__xludf.DUMMYFUNCTION("""COMPUTED_VALUE"""),"Albert-Ludwigs-Universität")</f>
        <v>Albert-Ludwigs-Universität</v>
      </c>
      <c r="D7" s="7" t="str">
        <f>IFERROR(__xludf.DUMMYFUNCTION("""COMPUTED_VALUE"""),"https://informatik.uni-freiburg.de")</f>
        <v>https://informatik.uni-freiburg.de</v>
      </c>
      <c r="E7" s="6" t="str">
        <f>IFERROR(__xludf.DUMMYFUNCTION("""COMPUTED_VALUE"""),"Institut für Informatik")</f>
        <v>Institut für Informatik</v>
      </c>
      <c r="F7" s="6">
        <f>IFERROR(__xludf.DUMMYFUNCTION("""COMPUTED_VALUE"""),79110.0)</f>
        <v>79110</v>
      </c>
      <c r="G7" s="6" t="str">
        <f>IFERROR(__xludf.DUMMYFUNCTION("""COMPUTED_VALUE"""),"Freiburg")</f>
        <v>Freiburg</v>
      </c>
      <c r="H7" s="6" t="str">
        <f>IFERROR(__xludf.DUMMYFUNCTION("""COMPUTED_VALUE"""),"0761 203-7461")</f>
        <v>0761 203-7461</v>
      </c>
      <c r="I7" s="6" t="str">
        <f>IFERROR(__xludf.DUMMYFUNCTION("""COMPUTED_VALUE"""),"... Diese E-Mail-Adresse ist geschützt. Javascript muss im Browser 
aktiviert sein, um die Mailadresse zu sehen ")</f>
        <v>... Diese E-Mail-Adresse ist geschützt. Javascript muss im Browser 
aktiviert sein, um die Mailadresse zu sehen </v>
      </c>
      <c r="J7" s="6" t="str">
        <f>IFERROR(__xludf.DUMMYFUNCTION("""COMPUTED_VALUE"""),"Arcondis ist eine Unternehmensberatung für das Management von Information, 
Qualität und der IT-Funktion in Unternehmen der LifeScience. Unsere Kunden 
sind kleine und grosse mittelständische Unternehmen, sowie multinationale 
Konzerne mit einem Branchen-"&amp;"Fokus auf Pharma, Medizinaltechnik und Chemie. 
Unsere Stärken sind unsere branchenspezifische sowie pragmatische Beratung, 
Projektmanagement und Konzeption von der Strategie bis zur Umsetzung. 
Unsere Kompetenzen liegen im Prozessmanagement, der 
Organi"&amp;"sationsentwicklung, im Projektmanagement, in der 
Systementwicklungsmethodik sowie im Compliance Management und Performance 
Measurement.")</f>
        <v>Arcondis ist eine Unternehmensberatung für das Management von Information, 
Qualität und der IT-Funktion in Unternehmen der LifeScience. Unsere Kunden 
sind kleine und grosse mittelständische Unternehmen, sowie multinationale 
Konzerne mit einem Branchen-Fokus auf Pharma, Medizinaltechnik und Chemie. 
Unsere Stärken sind unsere branchenspezifische sowie pragmatische Beratung, 
Projektmanagement und Konzeption von der Strategie bis zur Umsetzung. 
Unsere Kompetenzen liegen im Prozessmanagement, der 
Organisationsentwicklung, im Projektmanagement, in der 
Systementwicklungsmethodik sowie im Compliance Management und Performance 
Measurement.</v>
      </c>
      <c r="K7" s="6"/>
      <c r="L7" s="6"/>
      <c r="M7" s="6"/>
      <c r="N7" s="6"/>
      <c r="O7" s="6"/>
      <c r="P7" s="6"/>
      <c r="Q7" s="6"/>
      <c r="R7" s="6"/>
      <c r="S7" s="6"/>
    </row>
    <row r="8">
      <c r="B8" s="6"/>
      <c r="C8" s="6" t="str">
        <f>IFERROR(__xludf.DUMMYFUNCTION("""COMPUTED_VALUE"""),"Arcondis AG Schweiz")</f>
        <v>Arcondis AG Schweiz</v>
      </c>
      <c r="D8" s="7" t="str">
        <f>IFERROR(__xludf.DUMMYFUNCTION("""COMPUTED_VALUE"""),"www.arcondis.com")</f>
        <v>www.arcondis.com</v>
      </c>
      <c r="E8" s="6" t="str">
        <f>IFERROR(__xludf.DUMMYFUNCTION("""COMPUTED_VALUE"""),"Christoph Merian-Ring 31A")</f>
        <v>Christoph Merian-Ring 31A</v>
      </c>
      <c r="F8" s="6">
        <f>IFERROR(__xludf.DUMMYFUNCTION("""COMPUTED_VALUE"""),0.0)</f>
        <v>0</v>
      </c>
      <c r="G8" s="6" t="str">
        <f>IFERROR(__xludf.DUMMYFUNCTION("""COMPUTED_VALUE"""),"Reinach")</f>
        <v>Reinach</v>
      </c>
      <c r="H8" s="6" t="str">
        <f>IFERROR(__xludf.DUMMYFUNCTION("""COMPUTED_VALUE"""),"0041 61 717 8200")</f>
        <v>0041 61 717 8200</v>
      </c>
      <c r="I8" s="6" t="str">
        <f>IFERROR(__xludf.DUMMYFUNCTION("""COMPUTED_VALUE"""),"... Diese E-Mail-Adresse ist geschützt. Javascript muss im Browser 
aktiviert sein, um die Mailadresse zu sehen ")</f>
        <v>... Diese E-Mail-Adresse ist geschützt. Javascript muss im Browser 
aktiviert sein, um die Mailadresse zu sehen </v>
      </c>
      <c r="J8" s="6" t="str">
        <f>IFERROR(__xludf.DUMMYFUNCTION("""COMPUTED_VALUE"""),"BESTMINDS, die Personalberatung mit Hauptsitz in Freiburg, hat sich auf die 
Branchen Life Science / Pharma / Biotechnologie und Medizintechnik sowie 
deren Zulieferer und Dienstleister spezialisiert.")</f>
        <v>BESTMINDS, die Personalberatung mit Hauptsitz in Freiburg, hat sich auf die 
Branchen Life Science / Pharma / Biotechnologie und Medizintechnik sowie 
deren Zulieferer und Dienstleister spezialisiert.</v>
      </c>
      <c r="K8" s="6"/>
      <c r="L8" s="6"/>
      <c r="M8" s="6"/>
      <c r="N8" s="6"/>
      <c r="O8" s="6"/>
      <c r="P8" s="6"/>
      <c r="Q8" s="6"/>
      <c r="R8" s="6"/>
      <c r="S8" s="6"/>
    </row>
    <row r="9">
      <c r="B9" s="6"/>
      <c r="C9" s="6" t="str">
        <f>IFERROR(__xludf.DUMMYFUNCTION("""COMPUTED_VALUE"""),"ATG biosynthetics GmbH")</f>
        <v>ATG biosynthetics GmbH</v>
      </c>
      <c r="D9" s="7" t="str">
        <f>IFERROR(__xludf.DUMMYFUNCTION("""COMPUTED_VALUE"""),"www.atg-biosynthetics.com")</f>
        <v>www.atg-biosynthetics.com</v>
      </c>
      <c r="E9" s="6" t="str">
        <f>IFERROR(__xludf.DUMMYFUNCTION("""COMPUTED_VALUE"""),"Weberstr. 40")</f>
        <v>Weberstr. 40</v>
      </c>
      <c r="F9" s="6">
        <f>IFERROR(__xludf.DUMMYFUNCTION("""COMPUTED_VALUE"""),79249.0)</f>
        <v>79249</v>
      </c>
      <c r="G9" s="6" t="str">
        <f>IFERROR(__xludf.DUMMYFUNCTION("""COMPUTED_VALUE"""),"Merzhausen")</f>
        <v>Merzhausen</v>
      </c>
      <c r="H9" s="6" t="str">
        <f>IFERROR(__xludf.DUMMYFUNCTION("""COMPUTED_VALUE"""),"0761 888 94 24")</f>
        <v>0761 888 94 24</v>
      </c>
      <c r="I9" s="6" t="str">
        <f>IFERROR(__xludf.DUMMYFUNCTION("""COMPUTED_VALUE"""),"... Diese E-Mail-Adresse ist geschützt. Javascript muss im Browser 
aktiviert sein, um die Mailadresse zu sehen ")</f>
        <v>... Diese E-Mail-Adresse ist geschützt. Javascript muss im Browser 
aktiviert sein, um die Mailadresse zu sehen </v>
      </c>
      <c r="J9" s="6" t="str">
        <f>IFERROR(__xludf.DUMMYFUNCTION("""COMPUTED_VALUE"""),"Ich suche Fach- und Führungskräfte aus allen Fachbereichen und Disziplinen. 
Mehr als 20 Jahre Erfahrung in der Rekrutierung sowie umfangreiche 
relevante Branchenkenntnisse sind meine Expertise.")</f>
        <v>Ich suche Fach- und Führungskräfte aus allen Fachbereichen und Disziplinen. 
Mehr als 20 Jahre Erfahrung in der Rekrutierung sowie umfangreiche 
relevante Branchenkenntnisse sind meine Expertise.</v>
      </c>
      <c r="K9" s="6"/>
      <c r="L9" s="6"/>
      <c r="M9" s="6"/>
      <c r="N9" s="6"/>
      <c r="O9" s="6"/>
      <c r="P9" s="6"/>
      <c r="Q9" s="6"/>
      <c r="R9" s="6"/>
      <c r="S9" s="6"/>
    </row>
    <row r="10">
      <c r="B10" s="6"/>
      <c r="C10" s="6" t="str">
        <f>IFERROR(__xludf.DUMMYFUNCTION("""COMPUTED_VALUE"""),"BBI Solutions")</f>
        <v>BBI Solutions</v>
      </c>
      <c r="D10" s="7" t="str">
        <f>IFERROR(__xludf.DUMMYFUNCTION("""COMPUTED_VALUE"""),"www.diarect.com")</f>
        <v>www.diarect.com</v>
      </c>
      <c r="E10" s="6" t="str">
        <f>IFERROR(__xludf.DUMMYFUNCTION("""COMPUTED_VALUE"""),"Bötzinger Str. 29b")</f>
        <v>Bötzinger Str. 29b</v>
      </c>
      <c r="F10" s="6">
        <f>IFERROR(__xludf.DUMMYFUNCTION("""COMPUTED_VALUE"""),79111.0)</f>
        <v>79111</v>
      </c>
      <c r="G10" s="6" t="str">
        <f>IFERROR(__xludf.DUMMYFUNCTION("""COMPUTED_VALUE"""),"Freiburg")</f>
        <v>Freiburg</v>
      </c>
      <c r="H10" s="6" t="str">
        <f>IFERROR(__xludf.DUMMYFUNCTION("""COMPUTED_VALUE"""),"0761 47979 0")</f>
        <v>0761 47979 0</v>
      </c>
      <c r="I10" s="6" t="str">
        <f>IFERROR(__xludf.DUMMYFUNCTION("""COMPUTED_VALUE"""),"... Diese E-Mail-Adresse ist geschützt. Javascript muss im Browser 
aktiviert sein, um die Mailadresse zu sehen ")</f>
        <v>... Diese E-Mail-Adresse ist geschützt. Javascript muss im Browser 
aktiviert sein, um die Mailadresse zu sehen </v>
      </c>
      <c r="J10" s="6" t="str">
        <f>IFERROR(__xludf.DUMMYFUNCTION("""COMPUTED_VALUE"""),"Wir sind ein kleines unabhängiges Institut für Auftragsforschung, das sich 
weitgehend auf die Bioanalytik spezialisiert hat. Seit über 20 Jahren sind 
wir im Raum Freiburg – im Biovalley – angesiedelt.")</f>
        <v>Wir sind ein kleines unabhängiges Institut für Auftragsforschung, das sich 
weitgehend auf die Bioanalytik spezialisiert hat. Seit über 20 Jahren sind 
wir im Raum Freiburg – im Biovalley – angesiedelt.</v>
      </c>
      <c r="K10" s="6"/>
      <c r="L10" s="6" t="str">
        <f>IFERROR(__xludf.DUMMYFUNCTION("""COMPUTED_VALUE"""),"Zu unseren Kunden gehören sowohl kleinere, spezialisierte Firmen, als auch 
die Grossen der Branche. Die Analytik von biologischen Proben 
unterschiedlichster Projekte erledigen wir zuverlässig nach den Wünschen 
des Auftraggebers.")</f>
        <v>Zu unseren Kunden gehören sowohl kleinere, spezialisierte Firmen, als auch 
die Grossen der Branche. Die Analytik von biologischen Proben 
unterschiedlichster Projekte erledigen wir zuverlässig nach den Wünschen 
des Auftraggebers.</v>
      </c>
      <c r="M10" s="6"/>
      <c r="N10" s="6" t="str">
        <f>IFERROR(__xludf.DUMMYFUNCTION("""COMPUTED_VALUE"""),"Qualität, basierend auf unserem langjährigen Know-how, sichern wir durch 
die Zertifizierung nach GLP (Gute Labor Praxis) in Zusammenarbeit mit einer 
externen Qualitätssicherungseinheit.")</f>
        <v>Qualität, basierend auf unserem langjährigen Know-how, sichern wir durch 
die Zertifizierung nach GLP (Gute Labor Praxis) in Zusammenarbeit mit einer 
externen Qualitätssicherungseinheit.</v>
      </c>
      <c r="O10" s="6"/>
      <c r="P10" s="6"/>
      <c r="Q10" s="6"/>
      <c r="R10" s="6"/>
      <c r="S10" s="6"/>
    </row>
    <row r="11">
      <c r="B11" s="6"/>
      <c r="C11" s="6" t="str">
        <f>IFERROR(__xludf.DUMMYFUNCTION("""COMPUTED_VALUE"""),"BESTMINDS GmbH Executive Search")</f>
        <v>BESTMINDS GmbH Executive Search</v>
      </c>
      <c r="D11" s="7" t="str">
        <f>IFERROR(__xludf.DUMMYFUNCTION("""COMPUTED_VALUE"""),"www.bestminds.de")</f>
        <v>www.bestminds.de</v>
      </c>
      <c r="E11" s="6" t="str">
        <f>IFERROR(__xludf.DUMMYFUNCTION("""COMPUTED_VALUE"""),"Basler Str. 65")</f>
        <v>Basler Str. 65</v>
      </c>
      <c r="F11" s="6">
        <f>IFERROR(__xludf.DUMMYFUNCTION("""COMPUTED_VALUE"""),79100.0)</f>
        <v>79100</v>
      </c>
      <c r="G11" s="6" t="str">
        <f>IFERROR(__xludf.DUMMYFUNCTION("""COMPUTED_VALUE"""),"Freiburg")</f>
        <v>Freiburg</v>
      </c>
      <c r="H11" s="6" t="str">
        <f>IFERROR(__xludf.DUMMYFUNCTION("""COMPUTED_VALUE"""),"+49-761-888 51 23 30")</f>
        <v>+49-761-888 51 23 30</v>
      </c>
      <c r="I11" s="6" t="str">
        <f>IFERROR(__xludf.DUMMYFUNCTION("""COMPUTED_VALUE"""),"... Diese E-Mail-Adresse ist geschützt. Javascript muss im Browser 
aktiviert sein, um die Mailadresse zu sehen ")</f>
        <v>... Diese E-Mail-Adresse ist geschützt. Javascript muss im Browser 
aktiviert sein, um die Mailadresse zu sehen </v>
      </c>
      <c r="J11" s="6" t="str">
        <f>IFERROR(__xludf.DUMMYFUNCTION("""COMPUTED_VALUE"""),"Die BioCopy AG ist ein junges Biotech-Startup mit Hauptsitz bei Basel, 
Schweiz und einer Forschungseinrichtung in Emmendingen, Deutschland. 
BioCopy’s patentiertes Technologieportfolio ermöglicht eine einzigartige 
markierungsfreie Messung von molekulare"&amp;"n Interaktionen, die für Diagnostik, 
Impfstoffe, Lead- und Hit-Screening eingesetzt wird sowie zum Screenen von 
T-Zell Therapien.")</f>
        <v>Die BioCopy AG ist ein junges Biotech-Startup mit Hauptsitz bei Basel, 
Schweiz und einer Forschungseinrichtung in Emmendingen, Deutschland. 
BioCopy’s patentiertes Technologieportfolio ermöglicht eine einzigartige 
markierungsfreie Messung von molekularen Interaktionen, die für Diagnostik, 
Impfstoffe, Lead- und Hit-Screening eingesetzt wird sowie zum Screenen von 
T-Zell Therapien.</v>
      </c>
      <c r="K11" s="6"/>
      <c r="L11" s="6"/>
      <c r="M11" s="6"/>
      <c r="N11" s="6"/>
      <c r="O11" s="6"/>
      <c r="P11" s="6"/>
      <c r="Q11" s="6"/>
      <c r="R11" s="6"/>
      <c r="S11" s="6"/>
    </row>
    <row r="12">
      <c r="B12" s="6"/>
      <c r="C12" s="6" t="str">
        <f>IFERROR(__xludf.DUMMYFUNCTION("""COMPUTED_VALUE"""),"BiochemA GmbH")</f>
        <v>BiochemA GmbH</v>
      </c>
      <c r="D12" s="7" t="str">
        <f>IFERROR(__xludf.DUMMYFUNCTION("""COMPUTED_VALUE"""),"www.biochema-gmbh.de")</f>
        <v>www.biochema-gmbh.de</v>
      </c>
      <c r="E12" s="6" t="str">
        <f>IFERROR(__xludf.DUMMYFUNCTION("""COMPUTED_VALUE"""),"Im Oberwald 19b")</f>
        <v>Im Oberwald 19b</v>
      </c>
      <c r="F12" s="6">
        <f>IFERROR(__xludf.DUMMYFUNCTION("""COMPUTED_VALUE"""),79359.0)</f>
        <v>79359</v>
      </c>
      <c r="G12" s="6" t="str">
        <f>IFERROR(__xludf.DUMMYFUNCTION("""COMPUTED_VALUE"""),"Riegel")</f>
        <v>Riegel</v>
      </c>
      <c r="H12" s="6" t="str">
        <f>IFERROR(__xludf.DUMMYFUNCTION("""COMPUTED_VALUE"""),"07642 7018")</f>
        <v>07642 7018</v>
      </c>
      <c r="I12" s="6" t="str">
        <f>IFERROR(__xludf.DUMMYFUNCTION("""COMPUTED_VALUE"""),"... Diese E-Mail-Adresse ist geschützt. Javascript muss im Browser 
aktiviert sein, um die Mailadresse zu sehen ")</f>
        <v>... Diese E-Mail-Adresse ist geschützt. Javascript muss im Browser 
aktiviert sein, um die Mailadresse zu sehen </v>
      </c>
      <c r="J12" s="6" t="str">
        <f>IFERROR(__xludf.DUMMYFUNCTION("""COMPUTED_VALUE"""),"BioCopy’s vielfach ausgezeichnetes Team von mehr als 20 Experten aus den 
Bereichen Biologie, Physik, Ingenieurwesen, Mikrosystemtechnik und 
Wirtschaft wird durch renommierte Vorstandsmitglieder ergänzt. Insbesondere 
Rainer Boehm (ex-interim CEO und Chi"&amp;"ef Commercial and Medical Affairs 
Officer Novartis Pharma), Prof. Dr. Alexander von Gabain (Mitbegründer der 
Intercell AG, jetzt Valneva SE) und Pascal Brenneisen (ex-CEO Novartis 
Schweiz).")</f>
        <v>BioCopy’s vielfach ausgezeichnetes Team von mehr als 20 Experten aus den 
Bereichen Biologie, Physik, Ingenieurwesen, Mikrosystemtechnik und 
Wirtschaft wird durch renommierte Vorstandsmitglieder ergänzt. Insbesondere 
Rainer Boehm (ex-interim CEO und Chief Commercial and Medical Affairs 
Officer Novartis Pharma), Prof. Dr. Alexander von Gabain (Mitbegründer der 
Intercell AG, jetzt Valneva SE) und Pascal Brenneisen (ex-CEO Novartis 
Schweiz).</v>
      </c>
      <c r="K12" s="6"/>
      <c r="L12" s="6"/>
      <c r="M12" s="6"/>
      <c r="N12" s="6"/>
      <c r="O12" s="6"/>
      <c r="P12" s="6"/>
      <c r="Q12" s="6"/>
      <c r="R12" s="6"/>
      <c r="S12" s="6"/>
    </row>
    <row r="13">
      <c r="B13" s="6"/>
      <c r="C13" s="6" t="str">
        <f>IFERROR(__xludf.DUMMYFUNCTION("""COMPUTED_VALUE"""),"BioCopy Gmbh")</f>
        <v>BioCopy Gmbh</v>
      </c>
      <c r="D13" s="7" t="str">
        <f>IFERROR(__xludf.DUMMYFUNCTION("""COMPUTED_VALUE"""),"www.biocopy.de")</f>
        <v>www.biocopy.de</v>
      </c>
      <c r="E13" s="6" t="str">
        <f>IFERROR(__xludf.DUMMYFUNCTION("""COMPUTED_VALUE"""),"Elzstr. 27")</f>
        <v>Elzstr. 27</v>
      </c>
      <c r="F13" s="6">
        <f>IFERROR(__xludf.DUMMYFUNCTION("""COMPUTED_VALUE"""),79312.0)</f>
        <v>79312</v>
      </c>
      <c r="G13" s="6" t="str">
        <f>IFERROR(__xludf.DUMMYFUNCTION("""COMPUTED_VALUE"""),"Emmendingen")</f>
        <v>Emmendingen</v>
      </c>
      <c r="H13" s="6" t="str">
        <f>IFERROR(__xludf.DUMMYFUNCTION("""COMPUTED_VALUE"""),"-")</f>
        <v>-</v>
      </c>
      <c r="I13" s="6" t="str">
        <f>IFERROR(__xludf.DUMMYFUNCTION("""COMPUTED_VALUE"""),"... Diese E-Mail-Adresse ist geschützt. Javascript muss im Browser 
aktiviert sein, um die Mailadresse zu sehen ")</f>
        <v>... Diese E-Mail-Adresse ist geschützt. Javascript muss im Browser 
aktiviert sein, um die Mailadresse zu sehen </v>
      </c>
      <c r="J13" s="6" t="str">
        <f>IFERROR(__xludf.DUMMYFUNCTION("""COMPUTED_VALUE"""),"Die BioFluidix GmbH hat sich als Unternehmen aus dem Bereich der 
Mikrosystemtechnik auf die Handhabung kleinster Flüssigkeitsmengen 
spezialisiert. Unsere patentierten, berührungslosen Dosiertechnologien 
ermöglichen es unseren Kunden Dosiermengen zu red"&amp;"uzieren, den Durchsatz zu 
erhöhen und somit Kosten zu senken. Zusätzlich zu unseren Standardprodukten 
sind wir auch ein starker Partner bei Entwicklungsdienstleistungen im 
Bereich mikrofluidischer Fragestellungen.")</f>
        <v>Die BioFluidix GmbH hat sich als Unternehmen aus dem Bereich der 
Mikrosystemtechnik auf die Handhabung kleinster Flüssigkeitsmengen 
spezialisiert. Unsere patentierten, berührungslosen Dosiertechnologien 
ermöglichen es unseren Kunden Dosiermengen zu reduzieren, den Durchsatz zu 
erhöhen und somit Kosten zu senken. Zusätzlich zu unseren Standardprodukten 
sind wir auch ein starker Partner bei Entwicklungsdienstleistungen im 
Bereich mikrofluidischer Fragestellungen.</v>
      </c>
      <c r="K13" s="6"/>
      <c r="L13" s="6"/>
      <c r="M13" s="6"/>
      <c r="N13" s="6"/>
      <c r="O13" s="6"/>
      <c r="P13" s="6"/>
      <c r="Q13" s="6"/>
      <c r="R13" s="6"/>
      <c r="S13" s="6"/>
    </row>
    <row r="14">
      <c r="B14" s="6"/>
      <c r="C14" s="6" t="str">
        <f>IFERROR(__xludf.DUMMYFUNCTION("""COMPUTED_VALUE"""),"BioFluidix GmbH")</f>
        <v>BioFluidix GmbH</v>
      </c>
      <c r="D14" s="7" t="str">
        <f>IFERROR(__xludf.DUMMYFUNCTION("""COMPUTED_VALUE"""),"www.biofluidix.com")</f>
        <v>www.biofluidix.com</v>
      </c>
      <c r="E14" s="6" t="str">
        <f>IFERROR(__xludf.DUMMYFUNCTION("""COMPUTED_VALUE"""),"Engesserstr. 4a")</f>
        <v>Engesserstr. 4a</v>
      </c>
      <c r="F14" s="6">
        <f>IFERROR(__xludf.DUMMYFUNCTION("""COMPUTED_VALUE"""),79108.0)</f>
        <v>79108</v>
      </c>
      <c r="G14" s="6" t="str">
        <f>IFERROR(__xludf.DUMMYFUNCTION("""COMPUTED_VALUE"""),"Freiburg")</f>
        <v>Freiburg</v>
      </c>
      <c r="H14" s="6" t="str">
        <f>IFERROR(__xludf.DUMMYFUNCTION("""COMPUTED_VALUE"""),"0761 458 938 0")</f>
        <v>0761 458 938 0</v>
      </c>
      <c r="I14" s="6" t="str">
        <f>IFERROR(__xludf.DUMMYFUNCTION("""COMPUTED_VALUE"""),"... Diese E-Mail-Adresse ist geschützt. Javascript muss im Browser 
aktiviert sein, um die Mailadresse zu sehen ")</f>
        <v>... Diese E-Mail-Adresse ist geschützt. Javascript muss im Browser 
aktiviert sein, um die Mailadresse zu sehen </v>
      </c>
      <c r="J14" s="6" t="str">
        <f>IFERROR(__xludf.DUMMYFUNCTION("""COMPUTED_VALUE"""),"Als innovatives Unternehmen haben wir uns der kontinuierlichen 
Weiterentwicklung unserer Produkte und Dienstleistungen verschrieben, um 
die Erwartungen unserer Kunden in jeglicher Hinsicht zu übertreffen.")</f>
        <v>Als innovatives Unternehmen haben wir uns der kontinuierlichen 
Weiterentwicklung unserer Produkte und Dienstleistungen verschrieben, um 
die Erwartungen unserer Kunden in jeglicher Hinsicht zu übertreffen.</v>
      </c>
      <c r="K14" s="6"/>
      <c r="L14" s="6"/>
      <c r="M14" s="6"/>
      <c r="N14" s="6"/>
      <c r="O14" s="6"/>
      <c r="P14" s="6"/>
      <c r="Q14" s="6"/>
      <c r="R14" s="6"/>
      <c r="S14" s="6"/>
    </row>
    <row r="15">
      <c r="B15" s="6"/>
      <c r="C15" s="6" t="str">
        <f>IFERROR(__xludf.DUMMYFUNCTION("""COMPUTED_VALUE"""),"BIOSS Centre for Biological Signalling Studies")</f>
        <v>BIOSS Centre for Biological Signalling Studies</v>
      </c>
      <c r="D15" s="7" t="str">
        <f>IFERROR(__xludf.DUMMYFUNCTION("""COMPUTED_VALUE"""),"www.bioss.uni-freiburg.de")</f>
        <v>www.bioss.uni-freiburg.de</v>
      </c>
      <c r="E15" s="6" t="str">
        <f>IFERROR(__xludf.DUMMYFUNCTION("""COMPUTED_VALUE"""),"Schänzlestr. 18")</f>
        <v>Schänzlestr. 18</v>
      </c>
      <c r="F15" s="6">
        <f>IFERROR(__xludf.DUMMYFUNCTION("""COMPUTED_VALUE"""),79104.0)</f>
        <v>79104</v>
      </c>
      <c r="G15" s="6" t="str">
        <f>IFERROR(__xludf.DUMMYFUNCTION("""COMPUTED_VALUE"""),"Freiburg")</f>
        <v>Freiburg</v>
      </c>
      <c r="H15" s="6" t="str">
        <f>IFERROR(__xludf.DUMMYFUNCTION("""COMPUTED_VALUE"""),"0761 203 97 372")</f>
        <v>0761 203 97 372</v>
      </c>
      <c r="I15" s="6" t="str">
        <f>IFERROR(__xludf.DUMMYFUNCTION("""COMPUTED_VALUE"""),"... Diese E-Mail-Adresse ist geschützt. Javascript muss im Browser 
aktiviert sein, um die Mailadresse zu sehen ")</f>
        <v>... Diese E-Mail-Adresse ist geschützt. Javascript muss im Browser 
aktiviert sein, um die Mailadresse zu sehen </v>
      </c>
      <c r="J15" s="6" t="str">
        <f>IFERROR(__xludf.DUMMYFUNCTION("""COMPUTED_VALUE"""),"Biologische Signalprozesse bilden die Lebensgrundlage aller Zellen eines 
Organismus. Ein exakteres Verständnis dieser Prozesse ist daher die 
Grundlage zur ")</f>
        <v>Biologische Signalprozesse bilden die Lebensgrundlage aller Zellen eines 
Organismus. Ein exakteres Verständnis dieser Prozesse ist daher die 
Grundlage zur </v>
      </c>
      <c r="K15" s="6" t="str">
        <f>IFERROR(__xludf.DUMMYFUNCTION("""COMPUTED_VALUE"""),"Lösung wichtiger biologischer Probleme ")</f>
        <v>Lösung wichtiger biologischer Probleme </v>
      </c>
      <c r="L15" s="6" t="str">
        <f>IFERROR(__xludf.DUMMYFUNCTION("""COMPUTED_VALUE"""),"und ein wesentlicher Beitrag zum ")</f>
        <v>und ein wesentlicher Beitrag zum </v>
      </c>
      <c r="M15" s="6" t="str">
        <f>IFERROR(__xludf.DUMMYFUNCTION("""COMPUTED_VALUE"""),"Fortschritt der medizinischen Forschung und Praxis")</f>
        <v>Fortschritt der medizinischen Forschung und Praxis</v>
      </c>
      <c r="N15" s="6" t="str">
        <f>IFERROR(__xludf.DUMMYFUNCTION("""COMPUTED_VALUE"""),". Das Centre for Biological Signalling Studies BIOSS benutzt moderne 
analytische Methoden und Strategien der Synthetischen Biologie um in 
kreativer und spielerischer Weise die komplexen Abläufe biologischer 
Signalprozesse zu verstehen und zu kontrollie"&amp;"ren.")</f>
        <v>. Das Centre for Biological Signalling Studies BIOSS benutzt moderne 
analytische Methoden und Strategien der Synthetischen Biologie um in 
kreativer und spielerischer Weise die komplexen Abläufe biologischer 
Signalprozesse zu verstehen und zu kontrollieren.</v>
      </c>
      <c r="O15" s="6"/>
      <c r="P15" s="6"/>
      <c r="Q15" s="6"/>
      <c r="R15" s="6"/>
      <c r="S15" s="6"/>
    </row>
    <row r="16">
      <c r="B16" s="6"/>
      <c r="C16" s="6" t="str">
        <f>IFERROR(__xludf.DUMMYFUNCTION("""COMPUTED_VALUE"""),"CapCo Bio GmbH")</f>
        <v>CapCo Bio GmbH</v>
      </c>
      <c r="D16" s="7" t="str">
        <f>IFERROR(__xludf.DUMMYFUNCTION("""COMPUTED_VALUE"""),"www.capcobio.de")</f>
        <v>www.capcobio.de</v>
      </c>
      <c r="E16" s="6" t="str">
        <f>IFERROR(__xludf.DUMMYFUNCTION("""COMPUTED_VALUE"""),"Egonstr. 51 -53")</f>
        <v>Egonstr. 51 -53</v>
      </c>
      <c r="F16" s="6">
        <f>IFERROR(__xludf.DUMMYFUNCTION("""COMPUTED_VALUE"""),79106.0)</f>
        <v>79106</v>
      </c>
      <c r="G16" s="6" t="str">
        <f>IFERROR(__xludf.DUMMYFUNCTION("""COMPUTED_VALUE"""),"Freiburg")</f>
        <v>Freiburg</v>
      </c>
      <c r="H16" s="6" t="str">
        <f>IFERROR(__xludf.DUMMYFUNCTION("""COMPUTED_VALUE"""),"0761 8884220")</f>
        <v>0761 8884220</v>
      </c>
      <c r="I16" s="6" t="str">
        <f>IFERROR(__xludf.DUMMYFUNCTION("""COMPUTED_VALUE"""),"... Diese E-Mail-Adresse ist geschützt. Javascript muss im Browser 
aktiviert sein, um die Mailadresse zu sehen ")</f>
        <v>... Diese E-Mail-Adresse ist geschützt. Javascript muss im Browser 
aktiviert sein, um die Mailadresse zu sehen </v>
      </c>
      <c r="J16" s="6" t="str">
        <f>IFERROR(__xludf.DUMMYFUNCTION("""COMPUTED_VALUE"""),"Die CapCo Bio GmbH ist ein neu gegründetes Biotech-Startup mit Sitz in 
Freiburg, das aus dem Universitätsklinikum Freiburg hervorgegangen ist. Die 
Kernkompetenz von CapCo Bio ist die Herstellung von biodegradierbaren 
Polymer Submikron- und Nano-Kapseln"&amp;" (")</f>
        <v>Die CapCo Bio GmbH ist ein neu gegründetes Biotech-Startup mit Sitz in 
Freiburg, das aus dem Universitätsklinikum Freiburg hervorgegangen ist. Die 
Kernkompetenz von CapCo Bio ist die Herstellung von biodegradierbaren 
Polymer Submikron- und Nano-Kapseln (</v>
      </c>
      <c r="K16" s="6" t="str">
        <f>IFERROR(__xludf.DUMMYFUNCTION("""COMPUTED_VALUE"""),"SNKs")</f>
        <v>SNKs</v>
      </c>
      <c r="L16" s="6" t="str">
        <f>IFERROR(__xludf.DUMMYFUNCTION("""COMPUTED_VALUE"""),"). Mit Hilfe dieser biokompatiblen Kapseln können Biomoleküle in lebende 
Zellen mit hoher Effizienz und ohne Off-Target Effekte eingebracht werden. 
Ziel ist es diese innovative Technologie sowohl im akademischen, als auch 
im Markt der Zell- und Genther"&amp;"apie erfolgreich zu etablieren.")</f>
        <v>). Mit Hilfe dieser biokompatiblen Kapseln können Biomoleküle in lebende 
Zellen mit hoher Effizienz und ohne Off-Target Effekte eingebracht werden. 
Ziel ist es diese innovative Technologie sowohl im akademischen, als auch 
im Markt der Zell- und Gentherapie erfolgreich zu etablieren.</v>
      </c>
      <c r="M16" s="6"/>
      <c r="N16" s="6"/>
      <c r="O16" s="6"/>
      <c r="P16" s="6"/>
      <c r="Q16" s="6"/>
      <c r="R16" s="6"/>
      <c r="S16" s="6"/>
    </row>
    <row r="17">
      <c r="B17" s="6"/>
      <c r="C17" s="6" t="str">
        <f>IFERROR(__xludf.DUMMYFUNCTION("""COMPUTED_VALUE"""),"CellGenix GmbH")</f>
        <v>CellGenix GmbH</v>
      </c>
      <c r="D17" s="7" t="str">
        <f>IFERROR(__xludf.DUMMYFUNCTION("""COMPUTED_VALUE"""),"www.cellgenix.de")</f>
        <v>www.cellgenix.de</v>
      </c>
      <c r="E17" s="6" t="str">
        <f>IFERROR(__xludf.DUMMYFUNCTION("""COMPUTED_VALUE"""),"Am Flughafen 16")</f>
        <v>Am Flughafen 16</v>
      </c>
      <c r="F17" s="6">
        <f>IFERROR(__xludf.DUMMYFUNCTION("""COMPUTED_VALUE"""),79108.0)</f>
        <v>79108</v>
      </c>
      <c r="G17" s="6" t="str">
        <f>IFERROR(__xludf.DUMMYFUNCTION("""COMPUTED_VALUE"""),"Freiburg")</f>
        <v>Freiburg</v>
      </c>
      <c r="H17" s="6" t="str">
        <f>IFERROR(__xludf.DUMMYFUNCTION("""COMPUTED_VALUE"""),"0761 88889 200")</f>
        <v>0761 88889 200</v>
      </c>
      <c r="I17" s="6" t="str">
        <f>IFERROR(__xludf.DUMMYFUNCTION("""COMPUTED_VALUE"""),"... Diese E-Mail-Adresse ist geschützt. Javascript muss im Browser 
aktiviert sein, um die Mailadresse zu sehen ")</f>
        <v>... Diese E-Mail-Adresse ist geschützt. Javascript muss im Browser 
aktiviert sein, um die Mailadresse zu sehen </v>
      </c>
      <c r="J17" s="6" t="str">
        <f>IFERROR(__xludf.DUMMYFUNCTION("""COMPUTED_VALUE"""),"Der Schwerpunkt von CellGenix ist die Entwicklung und GMP-Herstellung 
hochwertiger Reagenzien für die ex vivo Prozessierung von Zellen, die in 
Forschung, klinischer Anwendung und kommerzieller Produktion eingesetzt 
werden. Hierzu gehören Wachstumsfakto"&amp;"ren und serumfreie Medien zur 
Vermehrung und Differenzierung verschiedener humaner Zellen, wie 
Stammzellen des Blut- und Bindegewebes, induzierten pluripotenten oder 
embryonaler Stammzellen, Zellen des Immunsystems (Dendritische Zellen, T 
Zellen, NK Z"&amp;"ellen) und Knorpelzellen.")</f>
        <v>Der Schwerpunkt von CellGenix ist die Entwicklung und GMP-Herstellung 
hochwertiger Reagenzien für die ex vivo Prozessierung von Zellen, die in 
Forschung, klinischer Anwendung und kommerzieller Produktion eingesetzt 
werden. Hierzu gehören Wachstumsfaktoren und serumfreie Medien zur 
Vermehrung und Differenzierung verschiedener humaner Zellen, wie 
Stammzellen des Blut- und Bindegewebes, induzierten pluripotenten oder 
embryonaler Stammzellen, Zellen des Immunsystems (Dendritische Zellen, T 
Zellen, NK Zellen) und Knorpelzellen.</v>
      </c>
      <c r="K17" s="6"/>
      <c r="L17" s="6"/>
      <c r="M17" s="6"/>
      <c r="N17" s="6"/>
      <c r="O17" s="6"/>
      <c r="P17" s="6"/>
      <c r="Q17" s="6"/>
      <c r="R17" s="6"/>
      <c r="S17" s="6"/>
    </row>
    <row r="18">
      <c r="B18" s="6"/>
      <c r="C18" s="6" t="str">
        <f>IFERROR(__xludf.DUMMYFUNCTION("""COMPUTED_VALUE"""),"Charles River Laboratories Germany GmbH")</f>
        <v>Charles River Laboratories Germany GmbH</v>
      </c>
      <c r="D18" s="7" t="str">
        <f>IFERROR(__xludf.DUMMYFUNCTION("""COMPUTED_VALUE"""),"www.criver.com")</f>
        <v>www.criver.com</v>
      </c>
      <c r="E18" s="6" t="str">
        <f>IFERROR(__xludf.DUMMYFUNCTION("""COMPUTED_VALUE"""),"Am Flughafen 12-14")</f>
        <v>Am Flughafen 12-14</v>
      </c>
      <c r="F18" s="6">
        <f>IFERROR(__xludf.DUMMYFUNCTION("""COMPUTED_VALUE"""),79108.0)</f>
        <v>79108</v>
      </c>
      <c r="G18" s="6" t="str">
        <f>IFERROR(__xludf.DUMMYFUNCTION("""COMPUTED_VALUE"""),"Freiburg")</f>
        <v>Freiburg</v>
      </c>
      <c r="H18" s="6" t="str">
        <f>IFERROR(__xludf.DUMMYFUNCTION("""COMPUTED_VALUE"""),"0761 51559 16")</f>
        <v>0761 51559 16</v>
      </c>
      <c r="I18" s="6" t="str">
        <f>IFERROR(__xludf.DUMMYFUNCTION("""COMPUTED_VALUE"""),"... Diese E-Mail-Adresse ist geschützt. Javascript muss im Browser 
aktiviert sein, um die Mailadresse zu sehen ")</f>
        <v>... Diese E-Mail-Adresse ist geschützt. Javascript muss im Browser 
aktiviert sein, um die Mailadresse zu sehen </v>
      </c>
      <c r="J18" s="6" t="str">
        <f>IFERROR(__xludf.DUMMYFUNCTION("""COMPUTED_VALUE"""),"Die Entwicklung und Herstellung der Produkte findet in modernsten 
GMP-Reinraumlaboren in Freiburg gemäß GMP Richtlinien für 
Arzneimittelherstellung sowie anderer europäischer und internationaler 
Regularien statt.")</f>
        <v>Die Entwicklung und Herstellung der Produkte findet in modernsten 
GMP-Reinraumlaboren in Freiburg gemäß GMP Richtlinien für 
Arzneimittelherstellung sowie anderer europäischer und internationaler 
Regularien statt.</v>
      </c>
      <c r="K18" s="6"/>
      <c r="L18" s="6"/>
      <c r="M18" s="6"/>
      <c r="N18" s="6"/>
      <c r="O18" s="6"/>
      <c r="P18" s="6"/>
      <c r="Q18" s="6"/>
      <c r="R18" s="6"/>
      <c r="S18" s="6"/>
    </row>
    <row r="19">
      <c r="B19" s="6"/>
      <c r="C19" s="6" t="str">
        <f>IFERROR(__xludf.DUMMYFUNCTION("""COMPUTED_VALUE"""),"ChemCon GmbH")</f>
        <v>ChemCon GmbH</v>
      </c>
      <c r="D19" s="7" t="str">
        <f>IFERROR(__xludf.DUMMYFUNCTION("""COMPUTED_VALUE"""),"www.chemcon.com")</f>
        <v>www.chemcon.com</v>
      </c>
      <c r="E19" s="6" t="str">
        <f>IFERROR(__xludf.DUMMYFUNCTION("""COMPUTED_VALUE"""),"Engesserstr. 4b")</f>
        <v>Engesserstr. 4b</v>
      </c>
      <c r="F19" s="6">
        <f>IFERROR(__xludf.DUMMYFUNCTION("""COMPUTED_VALUE"""),79108.0)</f>
        <v>79108</v>
      </c>
      <c r="G19" s="6" t="str">
        <f>IFERROR(__xludf.DUMMYFUNCTION("""COMPUTED_VALUE"""),"Freiburg")</f>
        <v>Freiburg</v>
      </c>
      <c r="H19" s="6" t="str">
        <f>IFERROR(__xludf.DUMMYFUNCTION("""COMPUTED_VALUE"""),"0761 5597 440")</f>
        <v>0761 5597 440</v>
      </c>
      <c r="I19" s="6" t="str">
        <f>IFERROR(__xludf.DUMMYFUNCTION("""COMPUTED_VALUE"""),"... Diese E-Mail-Adresse ist geschützt. Javascript muss im Browser 
aktiviert sein, um die Mailadresse zu sehen ")</f>
        <v>... Diese E-Mail-Adresse ist geschützt. Javascript muss im Browser 
aktiviert sein, um die Mailadresse zu sehen </v>
      </c>
      <c r="J19" s="6" t="str">
        <f>IFERROR(__xludf.DUMMYFUNCTION("""COMPUTED_VALUE"""),"Charles River Laboratories (CRL) ist eines der weltweit führenden CROs für 
die präklinische Erstellung von Profilen von Krebsmedikamenten unter 
Verwendung einer großen Sammlung von &gt;550 gut charakterisierten, 
proprietären von Patienten stammenden Xenog"&amp;"raft-Modellen (PDX). Die 
herausragende Marktposition basiert auf einem einzigartigen integrierten 
Testansatz, der ")</f>
        <v>Charles River Laboratories (CRL) ist eines der weltweit führenden CROs für 
die präklinische Erstellung von Profilen von Krebsmedikamenten unter 
Verwendung einer großen Sammlung von &gt;550 gut charakterisierten, 
proprietären von Patienten stammenden Xenograft-Modellen (PDX). Die 
herausragende Marktposition basiert auf einem einzigartigen integrierten 
Testansatz, der </v>
      </c>
      <c r="K19" s="6" t="str">
        <f>IFERROR(__xludf.DUMMYFUNCTION("""COMPUTED_VALUE"""),"in vitro")</f>
        <v>in vitro</v>
      </c>
      <c r="L19" s="6" t="str">
        <f>IFERROR(__xludf.DUMMYFUNCTION("""COMPUTED_VALUE""")," Assay-Systeme umfasst und durch umfangreiche ")</f>
        <v> Assay-Systeme umfasst und durch umfangreiche </v>
      </c>
      <c r="M19" s="6" t="str">
        <f>IFERROR(__xludf.DUMMYFUNCTION("""COMPUTED_VALUE"""),"in vivo")</f>
        <v>in vivo</v>
      </c>
      <c r="N19" s="6" t="str">
        <f>IFERROR(__xludf.DUMMYFUNCTION("""COMPUTED_VALUE""")," Wirksamkeitstests ergänzt wird. Die ")</f>
        <v> Wirksamkeitstests ergänzt wird. Die </v>
      </c>
      <c r="O19" s="6" t="str">
        <f>IFERROR(__xludf.DUMMYFUNCTION("""COMPUTED_VALUE"""),"in vivo")</f>
        <v>in vivo</v>
      </c>
      <c r="P19" s="6" t="str">
        <f>IFERROR(__xludf.DUMMYFUNCTION("""COMPUTED_VALUE""")," Arbeiten sind für die präklinische Forschung unerlässlich und dienen der 
Identifizierung, dem Screening, der Optimierung und der Auswahl wirksamer 
therapeutischer Wirkstoffe in pharmakologischen Modellen, die von Biotech- 
und Pharmaunternehmen weltwei"&amp;"t benötigt werden.")</f>
        <v> Arbeiten sind für die präklinische Forschung unerlässlich und dienen der 
Identifizierung, dem Screening, der Optimierung und der Auswahl wirksamer 
therapeutischer Wirkstoffe in pharmakologischen Modellen, die von Biotech- 
und Pharmaunternehmen weltweit benötigt werden.</v>
      </c>
      <c r="Q19" s="6"/>
      <c r="R19" s="6"/>
      <c r="S19" s="6"/>
    </row>
    <row r="20">
      <c r="B20" s="6"/>
      <c r="C20" s="6" t="str">
        <f>IFERROR(__xludf.DUMMYFUNCTION("""COMPUTED_VALUE"""),"Chemgineering Switzerland AG")</f>
        <v>Chemgineering Switzerland AG</v>
      </c>
      <c r="D20" s="7" t="str">
        <f>IFERROR(__xludf.DUMMYFUNCTION("""COMPUTED_VALUE"""),"www.chemgineering.com")</f>
        <v>www.chemgineering.com</v>
      </c>
      <c r="E20" s="6" t="str">
        <f>IFERROR(__xludf.DUMMYFUNCTION("""COMPUTED_VALUE"""),"Binningerstr. 2")</f>
        <v>Binningerstr. 2</v>
      </c>
      <c r="F20" s="6">
        <f>IFERROR(__xludf.DUMMYFUNCTION("""COMPUTED_VALUE"""),0.0)</f>
        <v>0</v>
      </c>
      <c r="G20" s="6" t="str">
        <f>IFERROR(__xludf.DUMMYFUNCTION("""COMPUTED_VALUE"""),"Münchenstein")</f>
        <v>Münchenstein</v>
      </c>
      <c r="H20" s="6" t="str">
        <f>IFERROR(__xludf.DUMMYFUNCTION("""COMPUTED_VALUE"""),"0041 61 467 5454")</f>
        <v>0041 61 467 5454</v>
      </c>
      <c r="I20" s="6" t="str">
        <f>IFERROR(__xludf.DUMMYFUNCTION("""COMPUTED_VALUE"""),"... Diese E-Mail-Adresse ist geschützt. Javascript muss im Browser 
aktiviert sein, um die Mailadresse zu sehen ")</f>
        <v>... Diese E-Mail-Adresse ist geschützt. Javascript muss im Browser 
aktiviert sein, um die Mailadresse zu sehen </v>
      </c>
      <c r="J20" s="6" t="str">
        <f>IFERROR(__xludf.DUMMYFUNCTION("""COMPUTED_VALUE"""),"Die ChemCon GmbH ist auf die organische und anorganische Chemie kleiner 
Moleküle spezialisiert. ChemCon bietet alle notwendigen analytischen und 
dokumentatorischen Dienstleistungen sowie perfektes Qualitätsmanagement 
rund um die chemischen Aspekte der "&amp;"Wirkstoffentwicklung. Wir haben 
Erfahrung mit Synthesen aller Art. Unsere vielseitigen Produktionsanlagen 
sowie unsere hochqualifizierten Mitarbeiter machen uns zum Partner der Wahl 
für alle Anforderungen der Auftragssynthese: Pünktlich, in der geforde"&amp;"rten 
Qualität und zu attraktiven Kosten.")</f>
        <v>Die ChemCon GmbH ist auf die organische und anorganische Chemie kleiner 
Moleküle spezialisiert. ChemCon bietet alle notwendigen analytischen und 
dokumentatorischen Dienstleistungen sowie perfektes Qualitätsmanagement 
rund um die chemischen Aspekte der Wirkstoffentwicklung. Wir haben 
Erfahrung mit Synthesen aller Art. Unsere vielseitigen Produktionsanlagen 
sowie unsere hochqualifizierten Mitarbeiter machen uns zum Partner der Wahl 
für alle Anforderungen der Auftragssynthese: Pünktlich, in der geforderten 
Qualität und zu attraktiven Kosten.</v>
      </c>
      <c r="K20" s="6"/>
      <c r="L20" s="6"/>
      <c r="M20" s="6"/>
      <c r="N20" s="6"/>
      <c r="O20" s="6"/>
      <c r="P20" s="6"/>
      <c r="Q20" s="6"/>
      <c r="R20" s="6"/>
      <c r="S20" s="6"/>
    </row>
    <row r="21">
      <c r="B21" s="6"/>
      <c r="C21" s="6" t="str">
        <f>IFERROR(__xludf.DUMMYFUNCTION("""COMPUTED_VALUE"""),"CRC Clean Room Consulting GmbH")</f>
        <v>CRC Clean Room Consulting GmbH</v>
      </c>
      <c r="D21" s="7" t="str">
        <f>IFERROR(__xludf.DUMMYFUNCTION("""COMPUTED_VALUE"""),"www.crc.de")</f>
        <v>www.crc.de</v>
      </c>
      <c r="E21" s="6" t="str">
        <f>IFERROR(__xludf.DUMMYFUNCTION("""COMPUTED_VALUE"""),"Badenweilerstr. 4")</f>
        <v>Badenweilerstr. 4</v>
      </c>
      <c r="F21" s="6">
        <f>IFERROR(__xludf.DUMMYFUNCTION("""COMPUTED_VALUE"""),79115.0)</f>
        <v>79115</v>
      </c>
      <c r="G21" s="6" t="str">
        <f>IFERROR(__xludf.DUMMYFUNCTION("""COMPUTED_VALUE"""),"Freiburg")</f>
        <v>Freiburg</v>
      </c>
      <c r="H21" s="6" t="str">
        <f>IFERROR(__xludf.DUMMYFUNCTION("""COMPUTED_VALUE"""),"0761 4 78 13 0")</f>
        <v>0761 4 78 13 0</v>
      </c>
      <c r="I21" s="6" t="str">
        <f>IFERROR(__xludf.DUMMYFUNCTION("""COMPUTED_VALUE"""),"... Diese E-Mail-Adresse ist geschützt. Javascript muss im Browser 
aktiviert sein, um die Mailadresse zu sehen ")</f>
        <v>... Diese E-Mail-Adresse ist geschützt. Javascript muss im Browser 
aktiviert sein, um die Mailadresse zu sehen </v>
      </c>
      <c r="J21" s="6" t="str">
        <f>IFERROR(__xludf.DUMMYFUNCTION("""COMPUTED_VALUE"""),"Chemgineering bietet hochwertige und praxiserprobte und Ingenieur- und 
Beratungsdienstleistungen für die GxP-regulierten Life-Sciences-Branchen 
Pharma, Biotechnologie, Feinchemie, Medizintechnik,  Kosmetik, Vitamine, 
Diagnostika und Lebensmittel. The T"&amp;"echnology Designers meistern 
anspruchsvolle Investitionsprojekte mit allen Fachgewerken. Technology 
Design bedeutet Konzeption, Planung, Abwicklung und Qualifizierung von 
komplexen Grossprojekten, insbesondere als Generalplaner. Zusätzlich bietet 
die "&amp;"ASI GmbH Ingenieurdienstleistungen zusätzlich in den Bereichen 
Spezialchemie und Petrochemie an. The Business Designers unterstützen 
Unternehmen mit von Investitionsprojekten unabhängigen Beratungsleistungen 
im Management, Compliance und Information Sy"&amp;"stems Consulting.")</f>
        <v>Chemgineering bietet hochwertige und praxiserprobte und Ingenieur- und 
Beratungsdienstleistungen für die GxP-regulierten Life-Sciences-Branchen 
Pharma, Biotechnologie, Feinchemie, Medizintechnik,  Kosmetik, Vitamine, 
Diagnostika und Lebensmittel. The Technology Designers meistern 
anspruchsvolle Investitionsprojekte mit allen Fachgewerken. Technology 
Design bedeutet Konzeption, Planung, Abwicklung und Qualifizierung von 
komplexen Grossprojekten, insbesondere als Generalplaner. Zusätzlich bietet 
die ASI GmbH Ingenieurdienstleistungen zusätzlich in den Bereichen 
Spezialchemie und Petrochemie an. The Business Designers unterstützen 
Unternehmen mit von Investitionsprojekten unabhängigen Beratungsleistungen 
im Management, Compliance und Information Systems Consulting.</v>
      </c>
      <c r="K21" s="6"/>
      <c r="L21" s="6"/>
      <c r="M21" s="6"/>
      <c r="N21" s="6"/>
      <c r="O21" s="6"/>
      <c r="P21" s="6"/>
      <c r="Q21" s="6"/>
      <c r="R21" s="6"/>
      <c r="S21" s="6"/>
    </row>
    <row r="22">
      <c r="B22" s="6"/>
      <c r="C22" s="6" t="str">
        <f>IFERROR(__xludf.DUMMYFUNCTION("""COMPUTED_VALUE"""),"CW-NOTIO Dr. Christine Wunn Marketingberatung")</f>
        <v>CW-NOTIO Dr. Christine Wunn Marketingberatung</v>
      </c>
      <c r="D22" s="7" t="str">
        <f>IFERROR(__xludf.DUMMYFUNCTION("""COMPUTED_VALUE"""),"www.cw-notio.com")</f>
        <v>www.cw-notio.com</v>
      </c>
      <c r="E22" s="6" t="str">
        <f>IFERROR(__xludf.DUMMYFUNCTION("""COMPUTED_VALUE"""),"Jägerhäusleweg 32")</f>
        <v>Jägerhäusleweg 32</v>
      </c>
      <c r="F22" s="6">
        <f>IFERROR(__xludf.DUMMYFUNCTION("""COMPUTED_VALUE"""),79104.0)</f>
        <v>79104</v>
      </c>
      <c r="G22" s="6" t="str">
        <f>IFERROR(__xludf.DUMMYFUNCTION("""COMPUTED_VALUE"""),"Freiburg")</f>
        <v>Freiburg</v>
      </c>
      <c r="H22" s="6" t="str">
        <f>IFERROR(__xludf.DUMMYFUNCTION("""COMPUTED_VALUE"""),"0761 208 92 73")</f>
        <v>0761 208 92 73</v>
      </c>
      <c r="I22" s="6" t="str">
        <f>IFERROR(__xludf.DUMMYFUNCTION("""COMPUTED_VALUE"""),"... Diese E-Mail-Adresse ist geschützt. Javascript muss im Browser 
aktiviert sein, um die Mailadresse zu sehen ")</f>
        <v>... Diese E-Mail-Adresse ist geschützt. Javascript muss im Browser 
aktiviert sein, um die Mailadresse zu sehen </v>
      </c>
      <c r="J22" s="6" t="str">
        <f>IFERROR(__xludf.DUMMYFUNCTION("""COMPUTED_VALUE"""),"Die CRC Clean Room Consulting ist ein international tätiges Planungsbüro 
für High-Tech Industrie, Life Science Industrie und Forschung. Wir planen 
Labore, Reinräume, Forschungsgebäude sowie hochinstallierte 
Fertigungsgebäude.")</f>
        <v>Die CRC Clean Room Consulting ist ein international tätiges Planungsbüro 
für High-Tech Industrie, Life Science Industrie und Forschung. Wir planen 
Labore, Reinräume, Forschungsgebäude sowie hochinstallierte 
Fertigungsgebäude.</v>
      </c>
      <c r="K22" s="6"/>
      <c r="L22" s="6"/>
      <c r="M22" s="6"/>
      <c r="N22" s="6"/>
      <c r="O22" s="6"/>
      <c r="P22" s="6"/>
      <c r="Q22" s="6"/>
      <c r="R22" s="6"/>
      <c r="S22" s="6"/>
    </row>
    <row r="23">
      <c r="B23" s="6"/>
      <c r="C23" s="6" t="str">
        <f>IFERROR(__xludf.DUMMYFUNCTION("""COMPUTED_VALUE"""),"Cytiva Europe GmbH")</f>
        <v>Cytiva Europe GmbH</v>
      </c>
      <c r="D23" s="7" t="str">
        <f>IFERROR(__xludf.DUMMYFUNCTION("""COMPUTED_VALUE"""),"www.cytiva.com")</f>
        <v>www.cytiva.com</v>
      </c>
      <c r="E23" s="6" t="str">
        <f>IFERROR(__xludf.DUMMYFUNCTION("""COMPUTED_VALUE"""),"Munzinger Str. 5")</f>
        <v>Munzinger Str. 5</v>
      </c>
      <c r="F23" s="6">
        <f>IFERROR(__xludf.DUMMYFUNCTION("""COMPUTED_VALUE"""),79111.0)</f>
        <v>79111</v>
      </c>
      <c r="G23" s="6" t="str">
        <f>IFERROR(__xludf.DUMMYFUNCTION("""COMPUTED_VALUE"""),"Freiburg")</f>
        <v>Freiburg</v>
      </c>
      <c r="H23" s="6" t="str">
        <f>IFERROR(__xludf.DUMMYFUNCTION("""COMPUTED_VALUE"""),"0761 600 49 708")</f>
        <v>0761 600 49 708</v>
      </c>
      <c r="I23" s="6" t="str">
        <f>IFERROR(__xludf.DUMMYFUNCTION("""COMPUTED_VALUE"""),"... Diese E-Mail-Adresse ist geschützt. Javascript muss im Browser 
aktiviert sein, um die Mailadresse zu sehen ")</f>
        <v>... Diese E-Mail-Adresse ist geschützt. Javascript muss im Browser 
aktiviert sein, um die Mailadresse zu sehen </v>
      </c>
      <c r="J23" s="6" t="str">
        <f>IFERROR(__xludf.DUMMYFUNCTION("""COMPUTED_VALUE"""),"Unsere Leistungen im Überblick:")</f>
        <v>Unsere Leistungen im Überblick:</v>
      </c>
      <c r="K23" s="6"/>
      <c r="L23" s="6"/>
      <c r="M23" s="6"/>
      <c r="N23" s="6"/>
      <c r="O23" s="6"/>
      <c r="P23" s="6"/>
      <c r="Q23" s="6"/>
      <c r="R23" s="6"/>
      <c r="S23" s="6"/>
    </row>
    <row r="24">
      <c r="B24" s="6"/>
      <c r="C24" s="6" t="str">
        <f>IFERROR(__xludf.DUMMYFUNCTION("""COMPUTED_VALUE"""),"Deutsche Bank AG")</f>
        <v>Deutsche Bank AG</v>
      </c>
      <c r="D24" s="7" t="str">
        <f>IFERROR(__xludf.DUMMYFUNCTION("""COMPUTED_VALUE"""),"www.db.com")</f>
        <v>www.db.com</v>
      </c>
      <c r="E24" s="6" t="str">
        <f>IFERROR(__xludf.DUMMYFUNCTION("""COMPUTED_VALUE"""),"Rotteckring 3")</f>
        <v>Rotteckring 3</v>
      </c>
      <c r="F24" s="6">
        <f>IFERROR(__xludf.DUMMYFUNCTION("""COMPUTED_VALUE"""),79098.0)</f>
        <v>79098</v>
      </c>
      <c r="G24" s="6" t="str">
        <f>IFERROR(__xludf.DUMMYFUNCTION("""COMPUTED_VALUE"""),"Freiburg")</f>
        <v>Freiburg</v>
      </c>
      <c r="H24" s="6" t="str">
        <f>IFERROR(__xludf.DUMMYFUNCTION("""COMPUTED_VALUE"""),"0761 2184 247")</f>
        <v>0761 2184 247</v>
      </c>
      <c r="I24" s="6" t="str">
        <f>IFERROR(__xludf.DUMMYFUNCTION("""COMPUTED_VALUE"""),"... Diese E-Mail-Adresse ist geschützt. Javascript muss im Browser 
aktiviert sein, um die Mailadresse zu sehen ")</f>
        <v>... Diese E-Mail-Adresse ist geschützt. Javascript muss im Browser 
aktiviert sein, um die Mailadresse zu sehen </v>
      </c>
      <c r="J24" s="6" t="str">
        <f>IFERROR(__xludf.DUMMYFUNCTION("""COMPUTED_VALUE"""),"Wir bei Cytiva glauben, dass der Schlüssel zur Verbesserung der 
menschlichen Gesundheit im Zugang zu lebensverändernden Therapien liegt. 
Deshalb sind unsere über 10.000 Mitarbeiter in mehr als 40 Ländern 
bestrebt, Forscher, Biopharmaunternehmen und Arz"&amp;"neimittelhersteller dabei 
zu unterstützen, Therapien für Menschen, die sie benötigen, voranzutreiben 
und zu beschleunigen. ")</f>
        <v>Wir bei Cytiva glauben, dass der Schlüssel zur Verbesserung der 
menschlichen Gesundheit im Zugang zu lebensverändernden Therapien liegt. 
Deshalb sind unsere über 10.000 Mitarbeiter in mehr als 40 Ländern 
bestrebt, Forscher, Biopharmaunternehmen und Arzneimittelhersteller dabei 
zu unterstützen, Therapien für Menschen, die sie benötigen, voranzutreiben 
und zu beschleunigen. </v>
      </c>
      <c r="K24" s="6"/>
      <c r="L24" s="6" t="str">
        <f>IFERROR(__xludf.DUMMYFUNCTION("""COMPUTED_VALUE""")," Erfahren Sie mehr unter cytiva.com.")</f>
        <v> Erfahren Sie mehr unter cytiva.com.</v>
      </c>
      <c r="M24" s="6"/>
      <c r="N24" s="6"/>
      <c r="O24" s="6"/>
      <c r="P24" s="6"/>
      <c r="Q24" s="6"/>
      <c r="R24" s="6"/>
      <c r="S24" s="6"/>
    </row>
    <row r="25">
      <c r="B25" s="6"/>
      <c r="C25" s="6" t="str">
        <f>IFERROR(__xludf.DUMMYFUNCTION("""COMPUTED_VALUE"""),"Drees &amp; Sommer SE")</f>
        <v>Drees &amp; Sommer SE</v>
      </c>
      <c r="D25" s="7" t="str">
        <f>IFERROR(__xludf.DUMMYFUNCTION("""COMPUTED_VALUE"""),"www.dreso.com")</f>
        <v>www.dreso.com</v>
      </c>
      <c r="E25" s="6" t="str">
        <f>IFERROR(__xludf.DUMMYFUNCTION("""COMPUTED_VALUE"""),"Salzstraße 15")</f>
        <v>Salzstraße 15</v>
      </c>
      <c r="F25" s="6">
        <f>IFERROR(__xludf.DUMMYFUNCTION("""COMPUTED_VALUE"""),79098.0)</f>
        <v>79098</v>
      </c>
      <c r="G25" s="6" t="str">
        <f>IFERROR(__xludf.DUMMYFUNCTION("""COMPUTED_VALUE"""),"Freiburg")</f>
        <v>Freiburg</v>
      </c>
      <c r="H25" s="6" t="str">
        <f>IFERROR(__xludf.DUMMYFUNCTION("""COMPUTED_VALUE"""),"0711 1317 204")</f>
        <v>0711 1317 204</v>
      </c>
      <c r="I25" s="6" t="str">
        <f>IFERROR(__xludf.DUMMYFUNCTION("""COMPUTED_VALUE"""),"... Diese E-Mail-Adresse ist geschützt. Javascript muss im Browser 
aktiviert sein, um die Mailadresse zu sehen ")</f>
        <v>... Diese E-Mail-Adresse ist geschützt. Javascript muss im Browser 
aktiviert sein, um die Mailadresse zu sehen </v>
      </c>
      <c r="J25" s="6" t="str">
        <f>IFERROR(__xludf.DUMMYFUNCTION("""COMPUTED_VALUE"""),"Ob Neubau oder Revitalisierungen: Drees &amp; Sommer verbindet jahrzehntelange 
Erfahrung bei der Realisierung von internationalen Bauvorhaben mit 
kompetenter bautechnischer Beratung und effektivem Projektmanagement.")</f>
        <v>Ob Neubau oder Revitalisierungen: Drees &amp; Sommer verbindet jahrzehntelange 
Erfahrung bei der Realisierung von internationalen Bauvorhaben mit 
kompetenter bautechnischer Beratung und effektivem Projektmanagement.</v>
      </c>
      <c r="K25" s="6"/>
      <c r="L25" s="6"/>
      <c r="M25" s="6"/>
      <c r="N25" s="6"/>
      <c r="O25" s="6"/>
      <c r="P25" s="6"/>
      <c r="Q25" s="6"/>
      <c r="R25" s="6"/>
      <c r="S25" s="6"/>
    </row>
    <row r="26">
      <c r="B26" s="6"/>
      <c r="C26" s="6" t="str">
        <f>IFERROR(__xludf.DUMMYFUNCTION("""COMPUTED_VALUE"""),"DSM Nutritional Products Europe Ltd.")</f>
        <v>DSM Nutritional Products Europe Ltd.</v>
      </c>
      <c r="D26" s="7" t="str">
        <f>IFERROR(__xludf.DUMMYFUNCTION("""COMPUTED_VALUE"""),"www.dsm.com")</f>
        <v>www.dsm.com</v>
      </c>
      <c r="E26" s="6" t="str">
        <f>IFERROR(__xludf.DUMMYFUNCTION("""COMPUTED_VALUE"""),"Emil-Barell-Str. 1")</f>
        <v>Emil-Barell-Str. 1</v>
      </c>
      <c r="F26" s="6">
        <f>IFERROR(__xludf.DUMMYFUNCTION("""COMPUTED_VALUE"""),79630.0)</f>
        <v>79630</v>
      </c>
      <c r="G26" s="6" t="str">
        <f>IFERROR(__xludf.DUMMYFUNCTION("""COMPUTED_VALUE"""),"Grenzach-Wyhlen")</f>
        <v>Grenzach-Wyhlen</v>
      </c>
      <c r="H26" s="6" t="str">
        <f>IFERROR(__xludf.DUMMYFUNCTION("""COMPUTED_VALUE"""),"-")</f>
        <v>-</v>
      </c>
      <c r="I26" s="6" t="str">
        <f>IFERROR(__xludf.DUMMYFUNCTION("""COMPUTED_VALUE"""),"... Diese E-Mail-Adresse ist geschützt. Javascript muss im Browser 
aktiviert sein, um die Mailadresse zu sehen ")</f>
        <v>... Diese E-Mail-Adresse ist geschützt. Javascript muss im Browser 
aktiviert sein, um die Mailadresse zu sehen </v>
      </c>
      <c r="J26" s="6" t="str">
        <f>IFERROR(__xludf.DUMMYFUNCTION("""COMPUTED_VALUE"""),"Mit individuellen Konzepten und professioneller Umsetzung sichern wir Ihnen 
Qualität, Kosten und Termine – und verbessern die Wertschöpfung Ihrer 
Immobilien über den gesamten Lebenszyklus.")</f>
        <v>Mit individuellen Konzepten und professioneller Umsetzung sichern wir Ihnen 
Qualität, Kosten und Termine – und verbessern die Wertschöpfung Ihrer 
Immobilien über den gesamten Lebenszyklus.</v>
      </c>
      <c r="K26" s="6"/>
      <c r="L26" s="6"/>
      <c r="M26" s="6"/>
      <c r="N26" s="6"/>
      <c r="O26" s="6"/>
      <c r="P26" s="6"/>
      <c r="Q26" s="6"/>
      <c r="R26" s="6"/>
      <c r="S26" s="6"/>
    </row>
    <row r="27">
      <c r="B27" s="6" t="str">
        <f>IFERROR(__xludf.DUMMYFUNCTION("""COMPUTED_VALUE"""),"HE")</f>
        <v>HE</v>
      </c>
      <c r="C27" s="6" t="str">
        <f>IFERROR(__xludf.DUMMYFUNCTION("""COMPUTED_VALUE"""),"EiCon GmbH")</f>
        <v>EiCon GmbH</v>
      </c>
      <c r="D27" s="6" t="str">
        <f>IFERROR(__xludf.DUMMYFUNCTION("""COMPUTED_VALUE"""),"-")</f>
        <v>-</v>
      </c>
      <c r="E27" s="6" t="str">
        <f>IFERROR(__xludf.DUMMYFUNCTION("""COMPUTED_VALUE"""),"Unterbaselweg 55")</f>
        <v>Unterbaselweg 55</v>
      </c>
      <c r="F27" s="6">
        <f>IFERROR(__xludf.DUMMYFUNCTION("""COMPUTED_VALUE"""),79576.0)</f>
        <v>79576</v>
      </c>
      <c r="G27" s="6" t="str">
        <f>IFERROR(__xludf.DUMMYFUNCTION("""COMPUTED_VALUE"""),"Weil am Rhein")</f>
        <v>Weil am Rhein</v>
      </c>
      <c r="H27" s="6" t="str">
        <f>IFERROR(__xludf.DUMMYFUNCTION("""COMPUTED_VALUE"""),"07621 798373")</f>
        <v>07621 798373</v>
      </c>
      <c r="I27" s="6" t="str">
        <f>IFERROR(__xludf.DUMMYFUNCTION("""COMPUTED_VALUE"""),"... Diese E-Mail-Adresse ist geschützt. Javascript muss im Browser 
aktiviert sein, um die Mailadresse zu sehen ")</f>
        <v>... Diese E-Mail-Adresse ist geschützt. Javascript muss im Browser 
aktiviert sein, um die Mailadresse zu sehen </v>
      </c>
      <c r="J27" s="6" t="str">
        <f>IFERROR(__xludf.DUMMYFUNCTION("""COMPUTED_VALUE"""),"Wir bieten ein Leistungsspektrum vom Controlling bis hin zum 
Rundum-Sorglos-Paket mit Kosten- und Termingarantie ebenso wie Beratung zu 
Due Diligence, PPP-Modellen und zur Prozessoptimierung.")</f>
        <v>Wir bieten ein Leistungsspektrum vom Controlling bis hin zum 
Rundum-Sorglos-Paket mit Kosten- und Termingarantie ebenso wie Beratung zu 
Due Diligence, PPP-Modellen und zur Prozessoptimierung.</v>
      </c>
      <c r="K27" s="6"/>
      <c r="L27" s="6"/>
      <c r="M27" s="6"/>
      <c r="N27" s="6"/>
      <c r="O27" s="6"/>
      <c r="P27" s="6"/>
      <c r="Q27" s="6"/>
      <c r="R27" s="6"/>
      <c r="S27" s="6"/>
    </row>
    <row r="28">
      <c r="B28" s="6"/>
      <c r="C28" s="6" t="str">
        <f>IFERROR(__xludf.DUMMYFUNCTION("""COMPUTED_VALUE"""),"eleva GmbH")</f>
        <v>eleva GmbH</v>
      </c>
      <c r="D28" s="7" t="str">
        <f>IFERROR(__xludf.DUMMYFUNCTION("""COMPUTED_VALUE"""),"https://www.elevabiologics.com")</f>
        <v>https://www.elevabiologics.com</v>
      </c>
      <c r="E28" s="6" t="str">
        <f>IFERROR(__xludf.DUMMYFUNCTION("""COMPUTED_VALUE"""),"Hans-Bunte-Str. 19")</f>
        <v>Hans-Bunte-Str. 19</v>
      </c>
      <c r="F28" s="6">
        <f>IFERROR(__xludf.DUMMYFUNCTION("""COMPUTED_VALUE"""),79108.0)</f>
        <v>79108</v>
      </c>
      <c r="G28" s="6" t="str">
        <f>IFERROR(__xludf.DUMMYFUNCTION("""COMPUTED_VALUE"""),"Freiburg")</f>
        <v>Freiburg</v>
      </c>
      <c r="H28" s="6" t="str">
        <f>IFERROR(__xludf.DUMMYFUNCTION("""COMPUTED_VALUE"""),"0761 470 99 0")</f>
        <v>0761 470 99 0</v>
      </c>
      <c r="I28" s="6" t="str">
        <f>IFERROR(__xludf.DUMMYFUNCTION("""COMPUTED_VALUE"""),"... Diese E-Mail-Adresse ist geschützt. Javascript muss im Browser 
aktiviert sein, um die Mailadresse zu sehen ")</f>
        <v>... Diese E-Mail-Adresse ist geschützt. Javascript muss im Browser 
aktiviert sein, um die Mailadresse zu sehen </v>
      </c>
      <c r="J28" s="6" t="str">
        <f>IFERROR(__xludf.DUMMYFUNCTION("""COMPUTED_VALUE"""),"Eleva is opening the realm of unprecedented therapies with the help of an 
inconspicuous but incredibly efficient tool: Bryophyta, more commonly known 
as moss. This ancient organism holds the key to the therapies of the 
future. Moss plants are not only "&amp;"able to produce the most complex and 
demanding proteins; with their unique characteristics, they virtually 
invite easy, stable engineering and reliable output. We have successfully 
developed enzymes and other proteins into clinical stages and continue "&amp;"to 
scout for promising compounds. This results in a plethora of opportunities. 
Whilst our technology platform remains the property of Eleva, new 
individual assets will be developed in cooperation with pharmaceutical 
partners. Each of such partnerships"&amp;" will be taken into a newly formed 
subsidiary. This allows the partners to focus on the respective indication.")</f>
        <v>Eleva is opening the realm of unprecedented therapies with the help of an 
inconspicuous but incredibly efficient tool: Bryophyta, more commonly known 
as moss. This ancient organism holds the key to the therapies of the 
future. Moss plants are not only able to produce the most complex and 
demanding proteins; with their unique characteristics, they virtually 
invite easy, stable engineering and reliable output. We have successfully 
developed enzymes and other proteins into clinical stages and continue to 
scout for promising compounds. This results in a plethora of opportunities. 
Whilst our technology platform remains the property of Eleva, new 
individual assets will be developed in cooperation with pharmaceutical 
partners. Each of such partnerships will be taken into a newly formed 
subsidiary. This allows the partners to focus on the respective indication.</v>
      </c>
      <c r="K28" s="6"/>
      <c r="L28" s="6"/>
      <c r="M28" s="6"/>
      <c r="N28" s="6"/>
      <c r="O28" s="6"/>
      <c r="P28" s="6"/>
      <c r="Q28" s="6"/>
      <c r="R28" s="6"/>
      <c r="S28" s="6"/>
    </row>
    <row r="29">
      <c r="B29" s="6"/>
      <c r="C29" s="6" t="str">
        <f>IFERROR(__xludf.DUMMYFUNCTION("""COMPUTED_VALUE"""),"Elschner Consulting")</f>
        <v>Elschner Consulting</v>
      </c>
      <c r="D29" s="7" t="str">
        <f>IFERROR(__xludf.DUMMYFUNCTION("""COMPUTED_VALUE"""),"www.elschner-consulting.de")</f>
        <v>www.elschner-consulting.de</v>
      </c>
      <c r="E29" s="6" t="str">
        <f>IFERROR(__xludf.DUMMYFUNCTION("""COMPUTED_VALUE"""),"Weinbergstr. 42")</f>
        <v>Weinbergstr. 42</v>
      </c>
      <c r="F29" s="6">
        <f>IFERROR(__xludf.DUMMYFUNCTION("""COMPUTED_VALUE"""),79576.0)</f>
        <v>79576</v>
      </c>
      <c r="G29" s="6" t="str">
        <f>IFERROR(__xludf.DUMMYFUNCTION("""COMPUTED_VALUE"""),"Weil am Rhein")</f>
        <v>Weil am Rhein</v>
      </c>
      <c r="H29" s="6" t="str">
        <f>IFERROR(__xludf.DUMMYFUNCTION("""COMPUTED_VALUE"""),"07621 1631348")</f>
        <v>07621 1631348</v>
      </c>
      <c r="I29" s="6" t="str">
        <f>IFERROR(__xludf.DUMMYFUNCTION("""COMPUTED_VALUE"""),"... Diese E-Mail-Adresse ist geschützt. Javascript muss im Browser 
aktiviert sein, um die Mailadresse zu sehen ")</f>
        <v>... Diese E-Mail-Adresse ist geschützt. Javascript muss im Browser 
aktiviert sein, um die Mailadresse zu sehen </v>
      </c>
      <c r="J29" s="6" t="str">
        <f>IFERROR(__xludf.DUMMYFUNCTION("""COMPUTED_VALUE"""),"ELSCHNER CONSULTING vermittelt Life Science Versicherungen weltweit. 
Spezialisiert ist das Unternehmen u.a. auf Probandenversicherungen. Egal in 
welchem Land eine klinische Studie durchgeführt werden soll und was 
getestet werden soll, die Versicherung "&amp;"wird jeweils auf die lokalen 
Besonderheiten abgestimmt. Dabei wird auf langjährige Zusammenarbeiten mit 
großen nationalen und internationalen Versicherern zurückgegriffen")</f>
        <v>ELSCHNER CONSULTING vermittelt Life Science Versicherungen weltweit. 
Spezialisiert ist das Unternehmen u.a. auf Probandenversicherungen. Egal in 
welchem Land eine klinische Studie durchgeführt werden soll und was 
getestet werden soll, die Versicherung wird jeweils auf die lokalen 
Besonderheiten abgestimmt. Dabei wird auf langjährige Zusammenarbeiten mit 
großen nationalen und internationalen Versicherern zurückgegriffen</v>
      </c>
      <c r="K29" s="6"/>
      <c r="L29" s="6"/>
      <c r="M29" s="6"/>
      <c r="N29" s="6"/>
      <c r="O29" s="6"/>
      <c r="P29" s="6"/>
      <c r="Q29" s="6"/>
      <c r="R29" s="6"/>
      <c r="S29" s="6"/>
    </row>
    <row r="30">
      <c r="B30" s="6"/>
      <c r="C30" s="6" t="str">
        <f>IFERROR(__xludf.DUMMYFUNCTION("""COMPUTED_VALUE"""),"Freiburg Wirtschaft")</f>
        <v>Freiburg Wirtschaft</v>
      </c>
      <c r="D30" s="7" t="str">
        <f>IFERROR(__xludf.DUMMYFUNCTION("""COMPUTED_VALUE"""),"www.fwtm.de")</f>
        <v>www.fwtm.de</v>
      </c>
      <c r="E30" s="6" t="str">
        <f>IFERROR(__xludf.DUMMYFUNCTION("""COMPUTED_VALUE"""),"Touristik und Messe GmbH &amp; Co KG")</f>
        <v>Touristik und Messe GmbH &amp; Co KG</v>
      </c>
      <c r="F30" s="6">
        <f>IFERROR(__xludf.DUMMYFUNCTION("""COMPUTED_VALUE"""),0.0)</f>
        <v>0</v>
      </c>
      <c r="G30" s="6">
        <f>IFERROR(__xludf.DUMMYFUNCTION("""COMPUTED_VALUE"""),79015.0)</f>
        <v>79015</v>
      </c>
      <c r="H30" s="6" t="str">
        <f>IFERROR(__xludf.DUMMYFUNCTION("""COMPUTED_VALUE"""),"0761 3881 800")</f>
        <v>0761 3881 800</v>
      </c>
      <c r="I30" s="6" t="str">
        <f>IFERROR(__xludf.DUMMYFUNCTION("""COMPUTED_VALUE"""),"... Diese E-Mail-Adresse ist geschützt. Javascript muss im Browser 
aktiviert sein, um die Mailadresse zu sehen ")</f>
        <v>... Diese E-Mail-Adresse ist geschützt. Javascript muss im Browser 
aktiviert sein, um die Mailadresse zu sehen </v>
      </c>
      <c r="J30" s="6" t="str">
        <f>IFERROR(__xludf.DUMMYFUNCTION("""COMPUTED_VALUE"""),"Die FWTM – Freiburg Wirtschaft Touristik und Messe – ist ein Unternehmen 
der Stadt Freiburg. Ihr Aufgabenspektrum umfasst die Wirtschafts- und 
Tourismusförderung, die Technologie- und Innovationsförderung, das Tagungs- 
und Kongresswesen, Messen und Mär"&amp;"kte sowie Großveranstaltungen. Mit ihrem 
Leistungsangebot richtet sich die FWTM an die Wirtschaft von Stadt und 
Region, an die Gäste und Bürger Freiburgs und an Veranstalter von Messen, 
Tagungen, Kongressen und kulturellen Ereignissen.")</f>
        <v>Die FWTM – Freiburg Wirtschaft Touristik und Messe – ist ein Unternehmen 
der Stadt Freiburg. Ihr Aufgabenspektrum umfasst die Wirtschafts- und 
Tourismusförderung, die Technologie- und Innovationsförderung, das Tagungs- 
und Kongresswesen, Messen und Märkte sowie Großveranstaltungen. Mit ihrem 
Leistungsangebot richtet sich die FWTM an die Wirtschaft von Stadt und 
Region, an die Gäste und Bürger Freiburgs und an Veranstalter von Messen, 
Tagungen, Kongressen und kulturellen Ereignissen.</v>
      </c>
      <c r="K30" s="6"/>
      <c r="L30" s="6"/>
      <c r="M30" s="6"/>
      <c r="N30" s="6"/>
      <c r="O30" s="6"/>
      <c r="P30" s="6"/>
      <c r="Q30" s="6"/>
      <c r="R30" s="6"/>
      <c r="S30" s="6"/>
    </row>
    <row r="31">
      <c r="B31" s="6"/>
      <c r="C31" s="6" t="str">
        <f>IFERROR(__xludf.DUMMYFUNCTION("""COMPUTED_VALUE"""),"Genovac GmbH")</f>
        <v>Genovac GmbH</v>
      </c>
      <c r="D31" s="7" t="str">
        <f>IFERROR(__xludf.DUMMYFUNCTION("""COMPUTED_VALUE"""),"www.genovac.com")</f>
        <v>www.genovac.com</v>
      </c>
      <c r="E31" s="6" t="str">
        <f>IFERROR(__xludf.DUMMYFUNCTION("""COMPUTED_VALUE"""),"Waltershofener Str. 17")</f>
        <v>Waltershofener Str. 17</v>
      </c>
      <c r="F31" s="6">
        <f>IFERROR(__xludf.DUMMYFUNCTION("""COMPUTED_VALUE"""),79111.0)</f>
        <v>79111</v>
      </c>
      <c r="G31" s="6" t="str">
        <f>IFERROR(__xludf.DUMMYFUNCTION("""COMPUTED_VALUE"""),"Freiburg")</f>
        <v>Freiburg</v>
      </c>
      <c r="H31" s="6" t="str">
        <f>IFERROR(__xludf.DUMMYFUNCTION("""COMPUTED_VALUE"""),"0761 45636 0")</f>
        <v>0761 45636 0</v>
      </c>
      <c r="I31" s="6" t="str">
        <f>IFERROR(__xludf.DUMMYFUNCTION("""COMPUTED_VALUE"""),"... Diese E-Mail-Adresse ist geschützt. Javascript muss im Browser 
aktiviert sein, um die Mailadresse zu sehen ")</f>
        <v>... Diese E-Mail-Adresse ist geschützt. Javascript muss im Browser 
aktiviert sein, um die Mailadresse zu sehen </v>
      </c>
      <c r="J31" s="6" t="str">
        <f>IFERROR(__xludf.DUMMYFUNCTION("""COMPUTED_VALUE"""),"Die HWI group bietet eine breite Palette an individuellen und 
spezialisierten pharmazeutischen Dienstleistungen an, insbesondere für 
Wirkstoffe, Arzneimittel und Medizinprodukte. Seit mehr als 25 Jahren 
unterstützen wir unsere Kunden erfolgreich mit un"&amp;"serer wissenschaftlichen 
und regulatorischen Expertise. Nutzen Sie unsere langjährige Erfahrung in 
Laboratory Services, Reference Standard Services, Vigilance &amp; Quality 
Services, API Assessment &amp; Drug Development sowie Regulatory Affairs 
Services.")</f>
        <v>Die HWI group bietet eine breite Palette an individuellen und 
spezialisierten pharmazeutischen Dienstleistungen an, insbesondere für 
Wirkstoffe, Arzneimittel und Medizinprodukte. Seit mehr als 25 Jahren 
unterstützen wir unsere Kunden erfolgreich mit unserer wissenschaftlichen 
und regulatorischen Expertise. Nutzen Sie unsere langjährige Erfahrung in 
Laboratory Services, Reference Standard Services, Vigilance &amp; Quality 
Services, API Assessment &amp; Drug Development sowie Regulatory Affairs 
Services.</v>
      </c>
      <c r="K31" s="6" t="str">
        <f>IFERROR(__xludf.DUMMYFUNCTION("""COMPUTED_VALUE"""),"___________________________________")</f>
        <v>___________________________________</v>
      </c>
      <c r="L31" s="6"/>
      <c r="M31" s="6"/>
      <c r="N31" s="6"/>
      <c r="O31" s="6"/>
      <c r="P31" s="6"/>
      <c r="Q31" s="6"/>
      <c r="R31" s="6"/>
      <c r="S31" s="6"/>
    </row>
    <row r="32">
      <c r="B32" s="6"/>
      <c r="C32" s="6" t="str">
        <f>IFERROR(__xludf.DUMMYFUNCTION("""COMPUTED_VALUE"""),"goodbot")</f>
        <v>goodbot</v>
      </c>
      <c r="D32" s="7" t="str">
        <f>IFERROR(__xludf.DUMMYFUNCTION("""COMPUTED_VALUE"""),"www.goodbot.de")</f>
        <v>www.goodbot.de</v>
      </c>
      <c r="E32" s="6" t="str">
        <f>IFERROR(__xludf.DUMMYFUNCTION("""COMPUTED_VALUE"""),"Nordstr. 6")</f>
        <v>Nordstr. 6</v>
      </c>
      <c r="F32" s="6">
        <f>IFERROR(__xludf.DUMMYFUNCTION("""COMPUTED_VALUE"""),79104.0)</f>
        <v>79104</v>
      </c>
      <c r="G32" s="6" t="str">
        <f>IFERROR(__xludf.DUMMYFUNCTION("""COMPUTED_VALUE"""),"Freiburg")</f>
        <v>Freiburg</v>
      </c>
      <c r="H32" s="6">
        <f>IFERROR(__xludf.DUMMYFUNCTION("""COMPUTED_VALUE"""),1.709870589E9)</f>
        <v>1709870589</v>
      </c>
      <c r="I32" s="6" t="str">
        <f>IFERROR(__xludf.DUMMYFUNCTION("""COMPUTED_VALUE"""),"... Diese E-Mail-Adresse ist geschützt. Javascript muss im Browser 
aktiviert sein, um die Mailadresse zu sehen ")</f>
        <v>... Diese E-Mail-Adresse ist geschützt. Javascript muss im Browser 
aktiviert sein, um die Mailadresse zu sehen </v>
      </c>
      <c r="J32" s="6" t="str">
        <f>IFERROR(__xludf.DUMMYFUNCTION("""COMPUTED_VALUE"""),"The HWI group provides a wide range of individual and specialised services 
in the pharmaceuticals field, in particular for API, drug products and 
medical devices. Over the last 25 years, our company group has gained a 
wealth of regulatory and scientifi"&amp;"c knowledge and experience to support our 
clients. This is located in our five business areas – laboratory services, 
reference standard services, vigilance and quality services, API assessment 
and drug development, and regulatory affairs services.")</f>
        <v>The HWI group provides a wide range of individual and specialised services 
in the pharmaceuticals field, in particular for API, drug products and 
medical devices. Over the last 25 years, our company group has gained a 
wealth of regulatory and scientific knowledge and experience to support our 
clients. This is located in our five business areas – laboratory services, 
reference standard services, vigilance and quality services, API assessment 
and drug development, and regulatory affairs services.</v>
      </c>
      <c r="K32" s="6"/>
      <c r="L32" s="6"/>
      <c r="M32" s="6"/>
      <c r="N32" s="6"/>
      <c r="O32" s="6"/>
      <c r="P32" s="6"/>
      <c r="Q32" s="6"/>
      <c r="R32" s="6"/>
      <c r="S32" s="6"/>
    </row>
    <row r="33">
      <c r="B33" s="6"/>
      <c r="C33" s="6" t="str">
        <f>IFERROR(__xludf.DUMMYFUNCTION("""COMPUTED_VALUE"""),"GxP Logistics Services GmbH")</f>
        <v>GxP Logistics Services GmbH</v>
      </c>
      <c r="D33" s="7" t="str">
        <f>IFERROR(__xludf.DUMMYFUNCTION("""COMPUTED_VALUE"""),"www.gxp-logistics.de")</f>
        <v>www.gxp-logistics.de</v>
      </c>
      <c r="E33" s="6" t="str">
        <f>IFERROR(__xludf.DUMMYFUNCTION("""COMPUTED_VALUE"""),"Marie-Curie-Str. 8")</f>
        <v>Marie-Curie-Str. 8</v>
      </c>
      <c r="F33" s="6">
        <f>IFERROR(__xludf.DUMMYFUNCTION("""COMPUTED_VALUE"""),79539.0)</f>
        <v>79539</v>
      </c>
      <c r="G33" s="6" t="str">
        <f>IFERROR(__xludf.DUMMYFUNCTION("""COMPUTED_VALUE"""),"Lörrach")</f>
        <v>Lörrach</v>
      </c>
      <c r="H33" s="6" t="str">
        <f>IFERROR(__xludf.DUMMYFUNCTION("""COMPUTED_VALUE"""),"07621 55 00 550")</f>
        <v>07621 55 00 550</v>
      </c>
      <c r="I33" s="6" t="str">
        <f>IFERROR(__xludf.DUMMYFUNCTION("""COMPUTED_VALUE"""),"... Diese E-Mail-Adresse ist geschützt. Javascript muss im Browser 
aktiviert sein, um die Mailadresse zu sehen ")</f>
        <v>... Diese E-Mail-Adresse ist geschützt. Javascript muss im Browser 
aktiviert sein, um die Mailadresse zu sehen </v>
      </c>
      <c r="J33" s="6" t="str">
        <f>IFERROR(__xludf.DUMMYFUNCTION("""COMPUTED_VALUE"""),"Engesser Str. 4b")</f>
        <v>Engesser Str. 4b</v>
      </c>
      <c r="K33" s="6"/>
      <c r="L33" s="6" t="str">
        <f>IFERROR(__xludf.DUMMYFUNCTION("""COMPUTED_VALUE""")," Biotechpark Freiburg")</f>
        <v> Biotechpark Freiburg</v>
      </c>
      <c r="M33" s="6"/>
      <c r="N33" s="6"/>
      <c r="O33" s="6" t="str">
        <f>IFERROR(__xludf.DUMMYFUNCTION("""COMPUTED_VALUE""")," 79108 Freiburg")</f>
        <v> 79108 Freiburg</v>
      </c>
      <c r="P33" s="6"/>
      <c r="Q33" s="6" t="str">
        <f>IFERROR(__xludf.DUMMYFUNCTION("""COMPUTED_VALUE""")," +49 761 40 11 777")</f>
        <v> +49 761 40 11 777</v>
      </c>
      <c r="R33" s="6"/>
      <c r="S33" s="6" t="str">
        <f>IFERROR(__xludf.DUMMYFUNCTION("""COMPUTED_VALUE"""),"contact@biovalley.de")</f>
        <v>contact@biovalley.de</v>
      </c>
    </row>
    <row r="34">
      <c r="B34" s="6"/>
      <c r="C34" s="6" t="str">
        <f>IFERROR(__xludf.DUMMYFUNCTION("""COMPUTED_VALUE"""),"Haus- und Landwirtschaftliche Schulen Offenburg")</f>
        <v>Haus- und Landwirtschaftliche Schulen Offenburg</v>
      </c>
      <c r="D34" s="7" t="str">
        <f>IFERROR(__xludf.DUMMYFUNCTION("""COMPUTED_VALUE"""),"www.hls-og.de")</f>
        <v>www.hls-og.de</v>
      </c>
      <c r="E34" s="6" t="str">
        <f>IFERROR(__xludf.DUMMYFUNCTION("""COMPUTED_VALUE"""),"Zähringerstr. 41")</f>
        <v>Zähringerstr. 41</v>
      </c>
      <c r="F34" s="6">
        <f>IFERROR(__xludf.DUMMYFUNCTION("""COMPUTED_VALUE"""),77652.0)</f>
        <v>77652</v>
      </c>
      <c r="G34" s="6" t="str">
        <f>IFERROR(__xludf.DUMMYFUNCTION("""COMPUTED_VALUE"""),"Offenburg")</f>
        <v>Offenburg</v>
      </c>
      <c r="H34" s="6" t="str">
        <f>IFERROR(__xludf.DUMMYFUNCTION("""COMPUTED_VALUE"""),"0781/ 805-8200")</f>
        <v>0781/ 805-8200</v>
      </c>
      <c r="I34" s="6" t="str">
        <f>IFERROR(__xludf.DUMMYFUNCTION("""COMPUTED_VALUE"""),"... Diese E-Mail-Adresse ist geschützt. Javascript muss im Browser 
aktiviert sein, um die Mailadresse zu sehen ")</f>
        <v>... Diese E-Mail-Adresse ist geschützt. Javascript muss im Browser 
aktiviert sein, um die Mailadresse zu sehen </v>
      </c>
    </row>
    <row r="35">
      <c r="B35" s="6"/>
      <c r="C35" s="6" t="str">
        <f>IFERROR(__xludf.DUMMYFUNCTION("""COMPUTED_VALUE"""),"HWI pharma services GmbH")</f>
        <v>HWI pharma services GmbH</v>
      </c>
      <c r="D35" s="7" t="str">
        <f>IFERROR(__xludf.DUMMYFUNCTION("""COMPUTED_VALUE"""),"www.hwi-group.de")</f>
        <v>www.hwi-group.de</v>
      </c>
      <c r="E35" s="6" t="str">
        <f>IFERROR(__xludf.DUMMYFUNCTION("""COMPUTED_VALUE"""),"Rheinzaberner Str. 8")</f>
        <v>Rheinzaberner Str. 8</v>
      </c>
      <c r="F35" s="6">
        <f>IFERROR(__xludf.DUMMYFUNCTION("""COMPUTED_VALUE"""),76761.0)</f>
        <v>76761</v>
      </c>
      <c r="G35" s="6" t="str">
        <f>IFERROR(__xludf.DUMMYFUNCTION("""COMPUTED_VALUE"""),"Rülzheim")</f>
        <v>Rülzheim</v>
      </c>
      <c r="H35" s="6" t="str">
        <f>IFERROR(__xludf.DUMMYFUNCTION("""COMPUTED_VALUE"""),"07272 7767 0")</f>
        <v>07272 7767 0</v>
      </c>
      <c r="I35" s="6" t="str">
        <f>IFERROR(__xludf.DUMMYFUNCTION("""COMPUTED_VALUE"""),"... Diese E-Mail-Adresse ist geschützt. Javascript muss im Browser 
aktiviert sein, um die Mailadresse zu sehen ")</f>
        <v>... Diese E-Mail-Adresse ist geschützt. Javascript muss im Browser 
aktiviert sein, um die Mailadresse zu sehen </v>
      </c>
    </row>
  </sheetData>
  <hyperlinks>
    <hyperlink r:id="rId1" ref="B3"/>
    <hyperlink r:id="rId2" ref="D6"/>
    <hyperlink r:id="rId3" ref="D7"/>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8"/>
    <hyperlink r:id="rId24" ref="D29"/>
    <hyperlink r:id="rId25" ref="D30"/>
    <hyperlink r:id="rId26" ref="D31"/>
    <hyperlink r:id="rId27" ref="D32"/>
    <hyperlink r:id="rId28" ref="D33"/>
    <hyperlink r:id="rId29" ref="D34"/>
    <hyperlink r:id="rId30" ref="D35"/>
  </hyperlinks>
  <drawing r:id="rId3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86</v>
      </c>
      <c r="B1" s="2" t="s">
        <v>87</v>
      </c>
      <c r="C1" s="2" t="s">
        <v>88</v>
      </c>
      <c r="D1" s="19" t="s">
        <v>89</v>
      </c>
      <c r="E1" s="2" t="s">
        <v>90</v>
      </c>
      <c r="F1" s="2" t="s">
        <v>91</v>
      </c>
      <c r="G1" s="2" t="s">
        <v>92</v>
      </c>
      <c r="H1" s="2" t="s">
        <v>93</v>
      </c>
      <c r="I1" s="2" t="s">
        <v>94</v>
      </c>
      <c r="J1" s="2" t="s">
        <v>95</v>
      </c>
    </row>
    <row r="2">
      <c r="A2" s="2" t="s">
        <v>96</v>
      </c>
      <c r="B2" s="2" t="s">
        <v>97</v>
      </c>
      <c r="C2" s="2" t="s">
        <v>98</v>
      </c>
      <c r="D2" s="20" t="s">
        <v>99</v>
      </c>
      <c r="E2" s="2">
        <v>2013.0</v>
      </c>
      <c r="F2" s="2" t="s">
        <v>100</v>
      </c>
      <c r="G2" s="2" t="s">
        <v>101</v>
      </c>
      <c r="H2" s="1" t="s">
        <v>102</v>
      </c>
      <c r="I2" s="2" t="s">
        <v>103</v>
      </c>
      <c r="J2" s="2" t="s">
        <v>104</v>
      </c>
    </row>
    <row r="3">
      <c r="A3" s="2" t="s">
        <v>105</v>
      </c>
      <c r="B3" s="2" t="s">
        <v>106</v>
      </c>
      <c r="D3" s="20" t="s">
        <v>99</v>
      </c>
      <c r="E3" s="2">
        <v>2020.0</v>
      </c>
      <c r="F3" s="2" t="s">
        <v>107</v>
      </c>
      <c r="H3" s="1" t="s">
        <v>108</v>
      </c>
      <c r="I3" s="2" t="s">
        <v>103</v>
      </c>
      <c r="J3" s="2" t="s">
        <v>109</v>
      </c>
    </row>
    <row r="4">
      <c r="A4" s="2" t="s">
        <v>110</v>
      </c>
      <c r="B4" s="2" t="s">
        <v>111</v>
      </c>
      <c r="D4" s="20" t="s">
        <v>99</v>
      </c>
      <c r="E4" s="2">
        <v>2022.0</v>
      </c>
      <c r="F4" s="2" t="s">
        <v>112</v>
      </c>
      <c r="H4" s="1" t="s">
        <v>113</v>
      </c>
      <c r="I4" s="2" t="s">
        <v>103</v>
      </c>
    </row>
    <row r="5">
      <c r="A5" s="2" t="s">
        <v>114</v>
      </c>
      <c r="B5" s="2" t="s">
        <v>115</v>
      </c>
      <c r="C5" s="2" t="s">
        <v>116</v>
      </c>
      <c r="D5" s="20" t="s">
        <v>117</v>
      </c>
      <c r="E5" s="2">
        <v>2007.0</v>
      </c>
      <c r="F5" s="2" t="s">
        <v>118</v>
      </c>
      <c r="G5" s="2" t="s">
        <v>119</v>
      </c>
      <c r="H5" s="1" t="s">
        <v>120</v>
      </c>
      <c r="I5" s="2" t="s">
        <v>103</v>
      </c>
      <c r="J5" s="2" t="s">
        <v>121</v>
      </c>
    </row>
    <row r="6">
      <c r="A6" s="2" t="s">
        <v>122</v>
      </c>
      <c r="B6" s="2" t="s">
        <v>123</v>
      </c>
      <c r="C6" s="2" t="s">
        <v>124</v>
      </c>
      <c r="D6" s="20" t="s">
        <v>125</v>
      </c>
      <c r="E6" s="2">
        <v>2016.0</v>
      </c>
      <c r="F6" s="2" t="s">
        <v>126</v>
      </c>
      <c r="G6" s="2" t="s">
        <v>127</v>
      </c>
      <c r="H6" s="1" t="s">
        <v>128</v>
      </c>
      <c r="I6" s="2" t="s">
        <v>103</v>
      </c>
      <c r="J6" s="2" t="s">
        <v>109</v>
      </c>
    </row>
    <row r="7">
      <c r="A7" s="2" t="s">
        <v>129</v>
      </c>
      <c r="B7" s="2" t="s">
        <v>130</v>
      </c>
      <c r="C7" s="2" t="s">
        <v>131</v>
      </c>
      <c r="D7" s="20" t="s">
        <v>132</v>
      </c>
      <c r="E7" s="2">
        <v>2018.0</v>
      </c>
      <c r="F7" s="2" t="s">
        <v>133</v>
      </c>
      <c r="G7" s="2" t="s">
        <v>134</v>
      </c>
      <c r="H7" s="1" t="s">
        <v>135</v>
      </c>
      <c r="I7" s="2" t="s">
        <v>103</v>
      </c>
      <c r="J7" s="2" t="s">
        <v>109</v>
      </c>
    </row>
    <row r="8">
      <c r="A8" s="2" t="s">
        <v>136</v>
      </c>
      <c r="B8" s="2" t="s">
        <v>137</v>
      </c>
      <c r="C8" s="2" t="s">
        <v>138</v>
      </c>
      <c r="D8" s="20" t="s">
        <v>99</v>
      </c>
      <c r="E8" s="2">
        <v>2018.0</v>
      </c>
      <c r="F8" s="2" t="s">
        <v>139</v>
      </c>
      <c r="G8" s="2" t="s">
        <v>140</v>
      </c>
      <c r="H8" s="1" t="s">
        <v>141</v>
      </c>
      <c r="I8" s="2" t="s">
        <v>103</v>
      </c>
      <c r="J8" s="2" t="s">
        <v>142</v>
      </c>
    </row>
    <row r="9">
      <c r="A9" s="2" t="s">
        <v>143</v>
      </c>
      <c r="B9" s="2" t="s">
        <v>144</v>
      </c>
      <c r="C9" s="2"/>
      <c r="D9" s="20" t="s">
        <v>99</v>
      </c>
      <c r="E9" s="2">
        <v>2017.0</v>
      </c>
      <c r="F9" s="2" t="s">
        <v>145</v>
      </c>
      <c r="G9" s="2"/>
      <c r="H9" s="1" t="s">
        <v>146</v>
      </c>
      <c r="I9" s="2" t="s">
        <v>103</v>
      </c>
      <c r="J9" s="2" t="s">
        <v>147</v>
      </c>
    </row>
    <row r="10">
      <c r="A10" s="2" t="s">
        <v>148</v>
      </c>
      <c r="B10" s="2" t="s">
        <v>149</v>
      </c>
      <c r="C10" s="2" t="s">
        <v>150</v>
      </c>
      <c r="D10" s="20" t="s">
        <v>151</v>
      </c>
      <c r="E10" s="2">
        <v>2014.0</v>
      </c>
      <c r="F10" s="2" t="s">
        <v>152</v>
      </c>
      <c r="G10" s="2" t="s">
        <v>153</v>
      </c>
      <c r="H10" s="1" t="s">
        <v>154</v>
      </c>
      <c r="I10" s="2" t="s">
        <v>103</v>
      </c>
      <c r="J10" s="2" t="s">
        <v>155</v>
      </c>
    </row>
    <row r="11">
      <c r="A11" s="2" t="s">
        <v>156</v>
      </c>
      <c r="B11" s="2" t="s">
        <v>157</v>
      </c>
      <c r="C11" s="2"/>
      <c r="D11" s="20" t="s">
        <v>99</v>
      </c>
      <c r="E11" s="2">
        <v>2019.0</v>
      </c>
      <c r="F11" s="2" t="s">
        <v>158</v>
      </c>
      <c r="G11" s="2"/>
      <c r="H11" s="1" t="s">
        <v>159</v>
      </c>
      <c r="I11" s="2" t="s">
        <v>103</v>
      </c>
      <c r="J11" s="2" t="s">
        <v>155</v>
      </c>
    </row>
    <row r="12">
      <c r="A12" s="2" t="s">
        <v>160</v>
      </c>
      <c r="B12" s="2" t="s">
        <v>161</v>
      </c>
      <c r="C12" s="2" t="s">
        <v>162</v>
      </c>
      <c r="D12" s="20" t="s">
        <v>99</v>
      </c>
      <c r="E12" s="2">
        <v>2019.0</v>
      </c>
      <c r="F12" s="2" t="s">
        <v>163</v>
      </c>
      <c r="G12" s="2" t="s">
        <v>164</v>
      </c>
      <c r="H12" s="2"/>
      <c r="I12" s="2" t="s">
        <v>103</v>
      </c>
      <c r="J12" s="2" t="s">
        <v>147</v>
      </c>
    </row>
    <row r="13">
      <c r="A13" s="2" t="s">
        <v>165</v>
      </c>
      <c r="B13" s="2" t="s">
        <v>166</v>
      </c>
      <c r="C13" s="2" t="s">
        <v>167</v>
      </c>
      <c r="D13" s="20" t="s">
        <v>99</v>
      </c>
      <c r="E13" s="2">
        <v>2019.0</v>
      </c>
      <c r="F13" s="2" t="s">
        <v>168</v>
      </c>
      <c r="G13" s="2" t="s">
        <v>169</v>
      </c>
      <c r="H13" s="1" t="s">
        <v>170</v>
      </c>
      <c r="I13" s="2" t="s">
        <v>103</v>
      </c>
      <c r="J13" s="2" t="s">
        <v>147</v>
      </c>
    </row>
    <row r="14">
      <c r="A14" s="2" t="s">
        <v>171</v>
      </c>
      <c r="B14" s="2" t="s">
        <v>172</v>
      </c>
      <c r="C14" s="2"/>
      <c r="D14" s="20" t="s">
        <v>173</v>
      </c>
      <c r="E14" s="2">
        <v>2015.0</v>
      </c>
      <c r="F14" s="2" t="s">
        <v>174</v>
      </c>
      <c r="G14" s="2"/>
      <c r="H14" s="1" t="s">
        <v>175</v>
      </c>
      <c r="I14" s="2" t="s">
        <v>103</v>
      </c>
      <c r="J14" s="2" t="s">
        <v>176</v>
      </c>
    </row>
    <row r="15">
      <c r="A15" s="2" t="s">
        <v>177</v>
      </c>
      <c r="B15" s="2" t="s">
        <v>178</v>
      </c>
      <c r="C15" s="2" t="s">
        <v>179</v>
      </c>
      <c r="D15" s="20" t="s">
        <v>99</v>
      </c>
      <c r="E15" s="2">
        <v>2017.0</v>
      </c>
      <c r="F15" s="2" t="s">
        <v>180</v>
      </c>
      <c r="G15" s="2" t="s">
        <v>181</v>
      </c>
      <c r="H15" s="1" t="s">
        <v>182</v>
      </c>
      <c r="I15" s="2" t="s">
        <v>103</v>
      </c>
      <c r="J15" s="2" t="s">
        <v>155</v>
      </c>
    </row>
    <row r="16">
      <c r="A16" s="2" t="s">
        <v>183</v>
      </c>
      <c r="B16" s="2" t="s">
        <v>184</v>
      </c>
      <c r="C16" s="2" t="s">
        <v>185</v>
      </c>
      <c r="D16" s="20" t="s">
        <v>99</v>
      </c>
      <c r="E16" s="2">
        <v>2016.0</v>
      </c>
      <c r="F16" s="2" t="s">
        <v>186</v>
      </c>
      <c r="G16" s="2" t="s">
        <v>187</v>
      </c>
      <c r="H16" s="1" t="s">
        <v>188</v>
      </c>
      <c r="I16" s="2" t="s">
        <v>103</v>
      </c>
      <c r="J16" s="2" t="s">
        <v>189</v>
      </c>
    </row>
    <row r="17">
      <c r="A17" s="2" t="s">
        <v>190</v>
      </c>
      <c r="B17" s="2" t="s">
        <v>191</v>
      </c>
      <c r="C17" s="2" t="s">
        <v>192</v>
      </c>
      <c r="D17" s="20" t="s">
        <v>193</v>
      </c>
      <c r="E17" s="2">
        <v>2005.0</v>
      </c>
      <c r="F17" s="2" t="s">
        <v>194</v>
      </c>
      <c r="G17" s="2" t="s">
        <v>195</v>
      </c>
      <c r="H17" s="1" t="s">
        <v>196</v>
      </c>
      <c r="I17" s="2" t="s">
        <v>103</v>
      </c>
      <c r="J17" s="2" t="s">
        <v>121</v>
      </c>
    </row>
    <row r="18">
      <c r="A18" s="2" t="s">
        <v>197</v>
      </c>
      <c r="B18" s="2" t="s">
        <v>198</v>
      </c>
      <c r="C18" s="2" t="s">
        <v>199</v>
      </c>
      <c r="D18" s="20" t="s">
        <v>99</v>
      </c>
      <c r="E18" s="2">
        <v>2011.0</v>
      </c>
      <c r="F18" s="2" t="s">
        <v>200</v>
      </c>
      <c r="G18" s="2" t="s">
        <v>201</v>
      </c>
      <c r="H18" s="1" t="s">
        <v>202</v>
      </c>
      <c r="I18" s="2" t="s">
        <v>103</v>
      </c>
      <c r="J18" s="2" t="s">
        <v>155</v>
      </c>
    </row>
    <row r="19">
      <c r="A19" s="2" t="s">
        <v>203</v>
      </c>
      <c r="B19" s="2" t="s">
        <v>204</v>
      </c>
      <c r="C19" s="2" t="s">
        <v>205</v>
      </c>
      <c r="D19" s="20" t="s">
        <v>206</v>
      </c>
      <c r="E19" s="2">
        <v>2017.0</v>
      </c>
      <c r="F19" s="2" t="s">
        <v>207</v>
      </c>
      <c r="G19" s="2" t="s">
        <v>208</v>
      </c>
      <c r="H19" s="1" t="s">
        <v>209</v>
      </c>
      <c r="I19" s="2" t="s">
        <v>103</v>
      </c>
      <c r="J19" s="2" t="s">
        <v>109</v>
      </c>
    </row>
    <row r="20">
      <c r="A20" s="2" t="s">
        <v>210</v>
      </c>
      <c r="B20" s="2" t="s">
        <v>211</v>
      </c>
      <c r="C20" s="2" t="s">
        <v>212</v>
      </c>
      <c r="D20" s="20" t="s">
        <v>213</v>
      </c>
      <c r="E20" s="2">
        <v>2013.0</v>
      </c>
      <c r="F20" s="2" t="s">
        <v>214</v>
      </c>
      <c r="G20" s="2" t="s">
        <v>215</v>
      </c>
      <c r="H20" s="1" t="s">
        <v>216</v>
      </c>
      <c r="I20" s="2" t="s">
        <v>103</v>
      </c>
      <c r="J20" s="2" t="s">
        <v>155</v>
      </c>
    </row>
    <row r="21">
      <c r="A21" s="2" t="s">
        <v>217</v>
      </c>
      <c r="B21" s="2" t="s">
        <v>218</v>
      </c>
      <c r="C21" s="2" t="s">
        <v>219</v>
      </c>
      <c r="D21" s="20" t="s">
        <v>220</v>
      </c>
      <c r="E21" s="2">
        <v>2014.0</v>
      </c>
      <c r="F21" s="2" t="s">
        <v>221</v>
      </c>
      <c r="G21" s="2" t="s">
        <v>222</v>
      </c>
      <c r="H21" s="1" t="s">
        <v>223</v>
      </c>
      <c r="I21" s="2" t="s">
        <v>103</v>
      </c>
      <c r="J21" s="2" t="s">
        <v>109</v>
      </c>
    </row>
    <row r="22">
      <c r="A22" s="2" t="s">
        <v>224</v>
      </c>
      <c r="B22" s="2" t="s">
        <v>225</v>
      </c>
      <c r="C22" s="2" t="s">
        <v>226</v>
      </c>
      <c r="D22" s="20" t="s">
        <v>227</v>
      </c>
      <c r="E22" s="2">
        <v>2016.0</v>
      </c>
      <c r="F22" s="2" t="s">
        <v>228</v>
      </c>
      <c r="G22" s="2" t="s">
        <v>229</v>
      </c>
      <c r="H22" s="1" t="s">
        <v>230</v>
      </c>
      <c r="I22" s="2" t="s">
        <v>103</v>
      </c>
      <c r="J22" s="2" t="s">
        <v>231</v>
      </c>
    </row>
    <row r="23">
      <c r="A23" s="2" t="s">
        <v>232</v>
      </c>
      <c r="B23" s="2" t="s">
        <v>233</v>
      </c>
      <c r="C23" s="2"/>
      <c r="D23" s="20" t="s">
        <v>99</v>
      </c>
      <c r="E23" s="2">
        <v>2015.0</v>
      </c>
      <c r="F23" s="2" t="s">
        <v>234</v>
      </c>
      <c r="G23" s="2"/>
      <c r="H23" s="1" t="s">
        <v>235</v>
      </c>
      <c r="I23" s="2" t="s">
        <v>103</v>
      </c>
      <c r="J23" s="2" t="s">
        <v>231</v>
      </c>
    </row>
    <row r="24">
      <c r="A24" s="2" t="s">
        <v>236</v>
      </c>
      <c r="B24" s="2"/>
      <c r="C24" s="2"/>
      <c r="D24" s="20" t="s">
        <v>99</v>
      </c>
      <c r="E24" s="2">
        <v>2021.0</v>
      </c>
      <c r="F24" s="2" t="s">
        <v>237</v>
      </c>
      <c r="G24" s="2"/>
      <c r="H24" s="2"/>
      <c r="I24" s="2" t="s">
        <v>103</v>
      </c>
      <c r="J24" s="2" t="s">
        <v>142</v>
      </c>
    </row>
    <row r="25">
      <c r="A25" s="2" t="s">
        <v>238</v>
      </c>
      <c r="B25" s="2"/>
      <c r="C25" s="2"/>
      <c r="D25" s="20" t="s">
        <v>99</v>
      </c>
      <c r="E25" s="2">
        <v>2017.0</v>
      </c>
      <c r="F25" s="2" t="s">
        <v>239</v>
      </c>
      <c r="G25" s="2"/>
      <c r="H25" s="1" t="s">
        <v>240</v>
      </c>
      <c r="I25" s="2" t="s">
        <v>103</v>
      </c>
      <c r="J25" s="2" t="s">
        <v>231</v>
      </c>
    </row>
    <row r="26">
      <c r="A26" s="2" t="s">
        <v>241</v>
      </c>
      <c r="B26" s="2" t="s">
        <v>242</v>
      </c>
      <c r="C26" s="2"/>
      <c r="D26" s="20" t="s">
        <v>243</v>
      </c>
      <c r="E26" s="2">
        <v>2010.0</v>
      </c>
      <c r="F26" s="2" t="s">
        <v>244</v>
      </c>
      <c r="G26" s="2" t="s">
        <v>245</v>
      </c>
      <c r="H26" s="1" t="s">
        <v>246</v>
      </c>
      <c r="I26" s="2" t="s">
        <v>103</v>
      </c>
      <c r="J26" s="2" t="s">
        <v>189</v>
      </c>
    </row>
    <row r="27">
      <c r="A27" s="2" t="s">
        <v>247</v>
      </c>
      <c r="B27" s="2" t="s">
        <v>248</v>
      </c>
      <c r="C27" s="2" t="s">
        <v>249</v>
      </c>
      <c r="D27" s="20" t="s">
        <v>250</v>
      </c>
      <c r="E27" s="2">
        <v>2007.0</v>
      </c>
      <c r="F27" s="2" t="s">
        <v>251</v>
      </c>
      <c r="G27" s="2" t="s">
        <v>252</v>
      </c>
      <c r="H27" s="1" t="s">
        <v>253</v>
      </c>
      <c r="I27" s="2" t="s">
        <v>103</v>
      </c>
      <c r="J27" s="2" t="s">
        <v>189</v>
      </c>
    </row>
    <row r="28">
      <c r="A28" s="2" t="s">
        <v>254</v>
      </c>
      <c r="B28" s="2" t="s">
        <v>255</v>
      </c>
      <c r="C28" s="2" t="s">
        <v>256</v>
      </c>
      <c r="D28" s="20" t="s">
        <v>257</v>
      </c>
      <c r="E28" s="2">
        <v>2008.0</v>
      </c>
      <c r="F28" s="2" t="s">
        <v>258</v>
      </c>
      <c r="G28" s="2" t="s">
        <v>259</v>
      </c>
      <c r="H28" s="1" t="s">
        <v>260</v>
      </c>
      <c r="I28" s="2" t="s">
        <v>103</v>
      </c>
      <c r="J28" s="2" t="s">
        <v>121</v>
      </c>
    </row>
    <row r="29">
      <c r="A29" s="2" t="s">
        <v>261</v>
      </c>
      <c r="B29" s="2" t="s">
        <v>262</v>
      </c>
      <c r="C29" s="2" t="s">
        <v>263</v>
      </c>
      <c r="D29" s="20" t="s">
        <v>99</v>
      </c>
      <c r="E29" s="2">
        <v>2016.0</v>
      </c>
      <c r="F29" s="2" t="s">
        <v>264</v>
      </c>
      <c r="G29" s="2" t="s">
        <v>265</v>
      </c>
      <c r="H29" s="1" t="s">
        <v>266</v>
      </c>
      <c r="I29" s="2" t="s">
        <v>103</v>
      </c>
      <c r="J29" s="2" t="s">
        <v>121</v>
      </c>
    </row>
    <row r="30">
      <c r="A30" s="2" t="s">
        <v>267</v>
      </c>
      <c r="B30" s="2" t="s">
        <v>268</v>
      </c>
      <c r="C30" s="2" t="s">
        <v>269</v>
      </c>
      <c r="D30" s="20" t="s">
        <v>270</v>
      </c>
      <c r="E30" s="2">
        <v>2016.0</v>
      </c>
      <c r="F30" s="2" t="s">
        <v>271</v>
      </c>
      <c r="G30" s="2" t="s">
        <v>272</v>
      </c>
      <c r="H30" s="1" t="s">
        <v>273</v>
      </c>
      <c r="I30" s="2" t="s">
        <v>103</v>
      </c>
      <c r="J30" s="2" t="s">
        <v>274</v>
      </c>
    </row>
    <row r="31">
      <c r="A31" s="2" t="s">
        <v>275</v>
      </c>
      <c r="B31" s="2" t="s">
        <v>276</v>
      </c>
      <c r="C31" s="2" t="s">
        <v>277</v>
      </c>
      <c r="D31" s="20" t="s">
        <v>278</v>
      </c>
      <c r="E31" s="2">
        <v>2014.0</v>
      </c>
      <c r="F31" s="2" t="s">
        <v>279</v>
      </c>
      <c r="G31" s="2" t="s">
        <v>280</v>
      </c>
      <c r="H31" s="1" t="s">
        <v>281</v>
      </c>
      <c r="I31" s="2" t="s">
        <v>103</v>
      </c>
      <c r="J31" s="2" t="s">
        <v>121</v>
      </c>
    </row>
    <row r="32">
      <c r="A32" s="2" t="s">
        <v>282</v>
      </c>
      <c r="B32" s="2" t="s">
        <v>283</v>
      </c>
      <c r="C32" s="2" t="s">
        <v>284</v>
      </c>
      <c r="D32" s="20" t="s">
        <v>285</v>
      </c>
      <c r="E32" s="2">
        <v>2013.0</v>
      </c>
      <c r="F32" s="2" t="s">
        <v>286</v>
      </c>
      <c r="G32" s="2" t="s">
        <v>287</v>
      </c>
      <c r="H32" s="1" t="s">
        <v>288</v>
      </c>
      <c r="I32" s="2" t="s">
        <v>103</v>
      </c>
      <c r="J32" s="2" t="s">
        <v>142</v>
      </c>
    </row>
    <row r="33">
      <c r="A33" s="2" t="s">
        <v>289</v>
      </c>
      <c r="B33" s="2" t="s">
        <v>290</v>
      </c>
      <c r="C33" s="2" t="s">
        <v>291</v>
      </c>
      <c r="D33" s="20" t="s">
        <v>292</v>
      </c>
      <c r="E33" s="2">
        <v>2015.0</v>
      </c>
      <c r="F33" s="2" t="s">
        <v>293</v>
      </c>
      <c r="G33" s="2" t="s">
        <v>294</v>
      </c>
      <c r="H33" s="1" t="s">
        <v>295</v>
      </c>
      <c r="I33" s="2" t="s">
        <v>103</v>
      </c>
      <c r="J33" s="2" t="s">
        <v>274</v>
      </c>
    </row>
    <row r="34">
      <c r="A34" s="2" t="s">
        <v>296</v>
      </c>
      <c r="B34" s="2" t="s">
        <v>297</v>
      </c>
      <c r="C34" s="2" t="s">
        <v>298</v>
      </c>
      <c r="D34" s="20" t="s">
        <v>99</v>
      </c>
      <c r="E34" s="2">
        <v>2014.0</v>
      </c>
      <c r="F34" s="2" t="s">
        <v>299</v>
      </c>
      <c r="G34" s="2" t="s">
        <v>300</v>
      </c>
      <c r="H34" s="1" t="s">
        <v>301</v>
      </c>
      <c r="I34" s="2" t="s">
        <v>103</v>
      </c>
      <c r="J34" s="2" t="s">
        <v>109</v>
      </c>
    </row>
    <row r="35">
      <c r="A35" s="2" t="s">
        <v>302</v>
      </c>
      <c r="B35" s="2" t="s">
        <v>303</v>
      </c>
      <c r="C35" s="2"/>
      <c r="D35" s="20" t="s">
        <v>99</v>
      </c>
      <c r="E35" s="2">
        <v>2018.0</v>
      </c>
      <c r="F35" s="2" t="s">
        <v>304</v>
      </c>
      <c r="G35" s="2"/>
      <c r="H35" s="1" t="s">
        <v>305</v>
      </c>
      <c r="I35" s="2" t="s">
        <v>103</v>
      </c>
      <c r="J35" s="2" t="s">
        <v>104</v>
      </c>
    </row>
    <row r="36">
      <c r="A36" s="2" t="s">
        <v>306</v>
      </c>
      <c r="B36" s="2" t="s">
        <v>307</v>
      </c>
      <c r="C36" s="2" t="s">
        <v>308</v>
      </c>
      <c r="D36" s="20" t="s">
        <v>309</v>
      </c>
      <c r="E36" s="2">
        <v>2013.0</v>
      </c>
      <c r="F36" s="2" t="s">
        <v>310</v>
      </c>
      <c r="G36" s="2" t="s">
        <v>311</v>
      </c>
      <c r="H36" s="1" t="s">
        <v>312</v>
      </c>
      <c r="I36" s="2" t="s">
        <v>103</v>
      </c>
      <c r="J36" s="2" t="s">
        <v>189</v>
      </c>
    </row>
    <row r="37">
      <c r="A37" s="2" t="s">
        <v>313</v>
      </c>
      <c r="B37" s="2" t="s">
        <v>314</v>
      </c>
      <c r="C37" s="2"/>
      <c r="D37" s="20" t="s">
        <v>99</v>
      </c>
      <c r="E37" s="2">
        <v>2018.0</v>
      </c>
      <c r="F37" s="2"/>
      <c r="G37" s="2"/>
      <c r="H37" s="1" t="s">
        <v>315</v>
      </c>
      <c r="I37" s="2" t="s">
        <v>103</v>
      </c>
      <c r="J37" s="2" t="s">
        <v>176</v>
      </c>
    </row>
    <row r="38">
      <c r="A38" s="2" t="s">
        <v>316</v>
      </c>
      <c r="B38" s="2" t="s">
        <v>317</v>
      </c>
      <c r="C38" s="2" t="s">
        <v>318</v>
      </c>
      <c r="D38" s="20" t="s">
        <v>319</v>
      </c>
      <c r="E38" s="2">
        <v>2015.0</v>
      </c>
      <c r="F38" s="2" t="s">
        <v>320</v>
      </c>
      <c r="G38" s="2" t="s">
        <v>321</v>
      </c>
      <c r="H38" s="1" t="s">
        <v>322</v>
      </c>
      <c r="I38" s="2" t="s">
        <v>103</v>
      </c>
      <c r="J38" s="2" t="s">
        <v>147</v>
      </c>
    </row>
    <row r="39">
      <c r="A39" s="2" t="s">
        <v>323</v>
      </c>
      <c r="B39" s="2" t="s">
        <v>324</v>
      </c>
      <c r="C39" s="2"/>
      <c r="D39" s="20" t="s">
        <v>99</v>
      </c>
      <c r="E39" s="2">
        <v>2017.0</v>
      </c>
      <c r="F39" s="2" t="s">
        <v>325</v>
      </c>
      <c r="G39" s="2"/>
      <c r="H39" s="1" t="s">
        <v>326</v>
      </c>
      <c r="I39" s="2" t="s">
        <v>103</v>
      </c>
      <c r="J39" s="2" t="s">
        <v>121</v>
      </c>
    </row>
    <row r="40">
      <c r="A40" s="2" t="s">
        <v>327</v>
      </c>
      <c r="B40" s="2" t="s">
        <v>328</v>
      </c>
      <c r="C40" s="2" t="s">
        <v>329</v>
      </c>
      <c r="D40" s="20" t="s">
        <v>99</v>
      </c>
      <c r="E40" s="2">
        <v>2016.0</v>
      </c>
      <c r="F40" s="2" t="s">
        <v>330</v>
      </c>
      <c r="G40" s="2" t="s">
        <v>331</v>
      </c>
      <c r="H40" s="1" t="s">
        <v>332</v>
      </c>
      <c r="I40" s="2" t="s">
        <v>103</v>
      </c>
      <c r="J40" s="2" t="s">
        <v>155</v>
      </c>
    </row>
    <row r="41">
      <c r="A41" s="1" t="s">
        <v>333</v>
      </c>
      <c r="B41" s="2" t="s">
        <v>334</v>
      </c>
      <c r="C41" s="2" t="s">
        <v>335</v>
      </c>
      <c r="D41" s="20" t="s">
        <v>99</v>
      </c>
      <c r="E41" s="2">
        <v>2013.0</v>
      </c>
      <c r="F41" s="2" t="s">
        <v>336</v>
      </c>
      <c r="G41" s="2" t="s">
        <v>337</v>
      </c>
      <c r="H41" s="1" t="s">
        <v>338</v>
      </c>
      <c r="I41" s="2" t="s">
        <v>103</v>
      </c>
      <c r="J41" s="2" t="s">
        <v>104</v>
      </c>
    </row>
    <row r="42">
      <c r="A42" s="2" t="s">
        <v>339</v>
      </c>
      <c r="B42" s="2" t="s">
        <v>340</v>
      </c>
      <c r="C42" s="2" t="s">
        <v>341</v>
      </c>
      <c r="D42" s="20" t="s">
        <v>342</v>
      </c>
      <c r="E42" s="2">
        <v>2012.0</v>
      </c>
      <c r="F42" s="2" t="s">
        <v>343</v>
      </c>
      <c r="G42" s="2" t="s">
        <v>344</v>
      </c>
      <c r="H42" s="1" t="s">
        <v>345</v>
      </c>
      <c r="I42" s="2" t="s">
        <v>103</v>
      </c>
      <c r="J42" s="2" t="s">
        <v>147</v>
      </c>
    </row>
    <row r="43">
      <c r="A43" s="2" t="s">
        <v>346</v>
      </c>
      <c r="B43" s="2" t="s">
        <v>347</v>
      </c>
      <c r="C43" s="2" t="s">
        <v>348</v>
      </c>
      <c r="D43" s="20" t="s">
        <v>349</v>
      </c>
      <c r="E43" s="2">
        <v>2011.0</v>
      </c>
      <c r="F43" s="2" t="s">
        <v>350</v>
      </c>
      <c r="G43" s="2" t="s">
        <v>351</v>
      </c>
      <c r="H43" s="1" t="s">
        <v>352</v>
      </c>
      <c r="I43" s="2" t="s">
        <v>103</v>
      </c>
      <c r="J43" s="2" t="s">
        <v>353</v>
      </c>
    </row>
    <row r="44">
      <c r="A44" s="2" t="s">
        <v>354</v>
      </c>
      <c r="B44" s="2" t="s">
        <v>355</v>
      </c>
      <c r="C44" s="2" t="s">
        <v>356</v>
      </c>
      <c r="D44" s="20" t="s">
        <v>99</v>
      </c>
      <c r="E44" s="2">
        <v>2018.0</v>
      </c>
      <c r="F44" s="2" t="s">
        <v>357</v>
      </c>
      <c r="G44" s="2" t="s">
        <v>358</v>
      </c>
      <c r="H44" s="1" t="s">
        <v>359</v>
      </c>
      <c r="I44" s="2" t="s">
        <v>103</v>
      </c>
      <c r="J44" s="2" t="s">
        <v>274</v>
      </c>
    </row>
    <row r="45">
      <c r="A45" s="2" t="s">
        <v>360</v>
      </c>
      <c r="B45" s="2" t="s">
        <v>361</v>
      </c>
      <c r="C45" s="2" t="s">
        <v>362</v>
      </c>
      <c r="D45" s="20" t="s">
        <v>99</v>
      </c>
      <c r="E45" s="2">
        <v>2016.0</v>
      </c>
      <c r="F45" s="2" t="s">
        <v>363</v>
      </c>
      <c r="G45" s="2" t="s">
        <v>364</v>
      </c>
      <c r="H45" s="1" t="s">
        <v>365</v>
      </c>
      <c r="I45" s="2" t="s">
        <v>103</v>
      </c>
      <c r="J45" s="2" t="s">
        <v>189</v>
      </c>
    </row>
    <row r="46">
      <c r="A46" s="2" t="s">
        <v>366</v>
      </c>
      <c r="B46" s="2" t="s">
        <v>367</v>
      </c>
      <c r="C46" s="2" t="s">
        <v>368</v>
      </c>
      <c r="D46" s="20" t="s">
        <v>99</v>
      </c>
      <c r="E46" s="2">
        <v>2016.0</v>
      </c>
      <c r="F46" s="2" t="s">
        <v>369</v>
      </c>
      <c r="G46" s="2" t="s">
        <v>370</v>
      </c>
      <c r="H46" s="1" t="s">
        <v>371</v>
      </c>
      <c r="I46" s="2" t="s">
        <v>103</v>
      </c>
      <c r="J46" s="2" t="s">
        <v>189</v>
      </c>
    </row>
    <row r="47">
      <c r="A47" s="2" t="s">
        <v>372</v>
      </c>
      <c r="B47" s="2" t="s">
        <v>373</v>
      </c>
      <c r="C47" s="2" t="s">
        <v>374</v>
      </c>
      <c r="D47" s="20" t="s">
        <v>99</v>
      </c>
      <c r="E47" s="2">
        <v>2010.0</v>
      </c>
      <c r="F47" s="2" t="s">
        <v>375</v>
      </c>
      <c r="G47" s="2" t="s">
        <v>376</v>
      </c>
      <c r="H47" s="1" t="s">
        <v>377</v>
      </c>
      <c r="I47" s="2" t="s">
        <v>103</v>
      </c>
      <c r="J47" s="2" t="s">
        <v>155</v>
      </c>
    </row>
    <row r="48">
      <c r="A48" s="2" t="s">
        <v>378</v>
      </c>
      <c r="B48" s="2" t="s">
        <v>379</v>
      </c>
      <c r="C48" s="2" t="s">
        <v>380</v>
      </c>
      <c r="D48" s="20" t="s">
        <v>99</v>
      </c>
      <c r="E48" s="2">
        <v>2017.0</v>
      </c>
      <c r="F48" s="2" t="s">
        <v>381</v>
      </c>
      <c r="G48" s="2" t="s">
        <v>382</v>
      </c>
      <c r="H48" s="1" t="s">
        <v>383</v>
      </c>
      <c r="I48" s="2" t="s">
        <v>103</v>
      </c>
      <c r="J48" s="2" t="s">
        <v>155</v>
      </c>
    </row>
    <row r="49">
      <c r="A49" s="2" t="s">
        <v>384</v>
      </c>
      <c r="B49" s="2" t="s">
        <v>385</v>
      </c>
      <c r="C49" s="2" t="s">
        <v>386</v>
      </c>
      <c r="D49" s="20" t="s">
        <v>387</v>
      </c>
      <c r="E49" s="2">
        <v>2015.0</v>
      </c>
      <c r="F49" s="2" t="s">
        <v>388</v>
      </c>
      <c r="G49" s="2" t="s">
        <v>389</v>
      </c>
      <c r="H49" s="1" t="s">
        <v>390</v>
      </c>
      <c r="I49" s="2" t="s">
        <v>103</v>
      </c>
      <c r="J49" s="2" t="s">
        <v>353</v>
      </c>
    </row>
    <row r="50">
      <c r="A50" s="2" t="s">
        <v>391</v>
      </c>
      <c r="B50" s="2" t="s">
        <v>392</v>
      </c>
      <c r="C50" s="2" t="s">
        <v>393</v>
      </c>
      <c r="D50" s="20" t="s">
        <v>394</v>
      </c>
      <c r="E50" s="2">
        <v>2017.0</v>
      </c>
      <c r="F50" s="2" t="s">
        <v>395</v>
      </c>
      <c r="G50" s="2" t="s">
        <v>396</v>
      </c>
      <c r="H50" s="1" t="s">
        <v>397</v>
      </c>
      <c r="I50" s="2" t="s">
        <v>103</v>
      </c>
      <c r="J50" s="2" t="s">
        <v>189</v>
      </c>
    </row>
    <row r="51">
      <c r="A51" s="2" t="s">
        <v>398</v>
      </c>
      <c r="B51" s="2" t="s">
        <v>399</v>
      </c>
      <c r="C51" s="2"/>
      <c r="D51" s="20" t="s">
        <v>99</v>
      </c>
      <c r="E51" s="2">
        <v>2020.0</v>
      </c>
      <c r="F51" s="2" t="s">
        <v>400</v>
      </c>
      <c r="G51" s="2"/>
      <c r="H51" s="1" t="s">
        <v>401</v>
      </c>
      <c r="I51" s="2" t="s">
        <v>103</v>
      </c>
      <c r="J51" s="2" t="s">
        <v>147</v>
      </c>
    </row>
    <row r="52">
      <c r="A52" s="2" t="s">
        <v>402</v>
      </c>
      <c r="B52" s="2" t="s">
        <v>403</v>
      </c>
      <c r="C52" s="2" t="s">
        <v>404</v>
      </c>
      <c r="D52" s="20" t="s">
        <v>405</v>
      </c>
      <c r="E52" s="2">
        <v>2018.0</v>
      </c>
      <c r="F52" s="2" t="s">
        <v>406</v>
      </c>
      <c r="G52" s="2" t="s">
        <v>407</v>
      </c>
      <c r="H52" s="1" t="s">
        <v>408</v>
      </c>
      <c r="I52" s="2" t="s">
        <v>103</v>
      </c>
      <c r="J52" s="2" t="s">
        <v>409</v>
      </c>
    </row>
    <row r="53">
      <c r="A53" s="2" t="s">
        <v>410</v>
      </c>
      <c r="B53" s="2" t="s">
        <v>411</v>
      </c>
      <c r="C53" s="2" t="s">
        <v>412</v>
      </c>
      <c r="D53" s="20" t="s">
        <v>99</v>
      </c>
      <c r="E53" s="2">
        <v>2013.0</v>
      </c>
      <c r="F53" s="2" t="s">
        <v>413</v>
      </c>
      <c r="G53" s="2" t="s">
        <v>414</v>
      </c>
      <c r="H53" s="1" t="s">
        <v>415</v>
      </c>
      <c r="I53" s="2" t="s">
        <v>103</v>
      </c>
      <c r="J53" s="2" t="s">
        <v>155</v>
      </c>
    </row>
    <row r="54">
      <c r="A54" s="2" t="s">
        <v>416</v>
      </c>
      <c r="B54" s="2" t="s">
        <v>417</v>
      </c>
      <c r="C54" s="2" t="s">
        <v>418</v>
      </c>
      <c r="D54" s="20" t="s">
        <v>419</v>
      </c>
      <c r="E54" s="2">
        <v>2018.0</v>
      </c>
      <c r="F54" s="2" t="s">
        <v>420</v>
      </c>
      <c r="G54" s="2" t="s">
        <v>421</v>
      </c>
      <c r="H54" s="1" t="s">
        <v>422</v>
      </c>
      <c r="I54" s="2" t="s">
        <v>103</v>
      </c>
      <c r="J54" s="2" t="s">
        <v>409</v>
      </c>
    </row>
    <row r="55">
      <c r="A55" s="2" t="s">
        <v>423</v>
      </c>
      <c r="B55" s="2" t="s">
        <v>424</v>
      </c>
      <c r="C55" s="2" t="s">
        <v>425</v>
      </c>
      <c r="D55" s="20" t="s">
        <v>426</v>
      </c>
      <c r="E55" s="2">
        <v>2014.0</v>
      </c>
      <c r="F55" s="2" t="s">
        <v>427</v>
      </c>
      <c r="G55" s="2" t="s">
        <v>428</v>
      </c>
      <c r="H55" s="1" t="s">
        <v>429</v>
      </c>
      <c r="I55" s="2" t="s">
        <v>103</v>
      </c>
      <c r="J55" s="2" t="s">
        <v>176</v>
      </c>
    </row>
    <row r="56">
      <c r="A56" s="2" t="s">
        <v>430</v>
      </c>
      <c r="B56" s="2" t="s">
        <v>233</v>
      </c>
      <c r="C56" s="2" t="s">
        <v>431</v>
      </c>
      <c r="D56" s="20" t="s">
        <v>432</v>
      </c>
      <c r="E56" s="2">
        <v>2021.0</v>
      </c>
      <c r="F56" s="2" t="s">
        <v>433</v>
      </c>
      <c r="G56" s="2" t="s">
        <v>434</v>
      </c>
      <c r="H56" s="1" t="s">
        <v>435</v>
      </c>
      <c r="I56" s="2" t="s">
        <v>103</v>
      </c>
      <c r="J56" s="2" t="s">
        <v>147</v>
      </c>
    </row>
    <row r="57">
      <c r="A57" s="2" t="s">
        <v>436</v>
      </c>
      <c r="B57" s="2" t="s">
        <v>437</v>
      </c>
      <c r="C57" s="2"/>
      <c r="D57" s="20" t="s">
        <v>438</v>
      </c>
      <c r="E57" s="2">
        <v>2002.0</v>
      </c>
      <c r="F57" s="2" t="s">
        <v>439</v>
      </c>
      <c r="G57" s="2"/>
      <c r="H57" s="1" t="s">
        <v>440</v>
      </c>
      <c r="I57" s="2" t="s">
        <v>103</v>
      </c>
      <c r="J57" s="2" t="s">
        <v>353</v>
      </c>
    </row>
    <row r="58">
      <c r="A58" s="2" t="s">
        <v>441</v>
      </c>
      <c r="B58" s="2" t="s">
        <v>442</v>
      </c>
      <c r="C58" s="2" t="s">
        <v>443</v>
      </c>
      <c r="D58" s="20" t="s">
        <v>444</v>
      </c>
      <c r="E58" s="2">
        <v>2012.0</v>
      </c>
      <c r="F58" s="2" t="s">
        <v>445</v>
      </c>
      <c r="G58" s="2" t="s">
        <v>446</v>
      </c>
      <c r="H58" s="1" t="s">
        <v>447</v>
      </c>
      <c r="I58" s="2" t="s">
        <v>103</v>
      </c>
      <c r="J58" s="2" t="s">
        <v>409</v>
      </c>
    </row>
    <row r="59">
      <c r="A59" s="2" t="s">
        <v>448</v>
      </c>
      <c r="B59" s="2" t="s">
        <v>449</v>
      </c>
      <c r="C59" s="2" t="s">
        <v>450</v>
      </c>
      <c r="D59" s="20" t="s">
        <v>451</v>
      </c>
      <c r="E59" s="2">
        <v>2015.0</v>
      </c>
      <c r="F59" s="2" t="s">
        <v>452</v>
      </c>
      <c r="G59" s="2" t="s">
        <v>453</v>
      </c>
      <c r="H59" s="1" t="s">
        <v>454</v>
      </c>
      <c r="I59" s="2" t="s">
        <v>103</v>
      </c>
      <c r="J59" s="2" t="s">
        <v>189</v>
      </c>
    </row>
    <row r="60">
      <c r="A60" s="2" t="s">
        <v>455</v>
      </c>
      <c r="B60" s="2" t="s">
        <v>456</v>
      </c>
      <c r="C60" s="2" t="s">
        <v>457</v>
      </c>
      <c r="D60" s="20" t="s">
        <v>458</v>
      </c>
      <c r="E60" s="2">
        <v>2021.0</v>
      </c>
      <c r="F60" s="2" t="s">
        <v>459</v>
      </c>
      <c r="G60" s="2" t="s">
        <v>460</v>
      </c>
      <c r="H60" s="1" t="s">
        <v>461</v>
      </c>
      <c r="I60" s="2" t="s">
        <v>103</v>
      </c>
      <c r="J60" s="2" t="s">
        <v>104</v>
      </c>
    </row>
    <row r="61">
      <c r="A61" s="2" t="s">
        <v>462</v>
      </c>
      <c r="B61" s="2" t="s">
        <v>463</v>
      </c>
      <c r="C61" s="2" t="s">
        <v>464</v>
      </c>
      <c r="D61" s="20" t="s">
        <v>465</v>
      </c>
      <c r="E61" s="2">
        <v>2019.0</v>
      </c>
      <c r="F61" s="2" t="s">
        <v>466</v>
      </c>
      <c r="G61" s="2" t="s">
        <v>467</v>
      </c>
      <c r="H61" s="1" t="s">
        <v>468</v>
      </c>
      <c r="I61" s="2" t="s">
        <v>103</v>
      </c>
      <c r="J61" s="2" t="s">
        <v>155</v>
      </c>
    </row>
    <row r="62">
      <c r="A62" s="2" t="s">
        <v>469</v>
      </c>
      <c r="B62" s="2" t="s">
        <v>470</v>
      </c>
      <c r="C62" s="2" t="s">
        <v>471</v>
      </c>
      <c r="D62" s="20" t="s">
        <v>99</v>
      </c>
      <c r="E62" s="2">
        <v>2020.0</v>
      </c>
      <c r="F62" s="2" t="s">
        <v>472</v>
      </c>
      <c r="G62" s="2"/>
      <c r="H62" s="1" t="s">
        <v>473</v>
      </c>
      <c r="I62" s="2" t="s">
        <v>103</v>
      </c>
      <c r="J62" s="2" t="s">
        <v>176</v>
      </c>
    </row>
    <row r="63">
      <c r="A63" s="2" t="s">
        <v>474</v>
      </c>
      <c r="B63" s="2" t="s">
        <v>475</v>
      </c>
      <c r="C63" s="2" t="s">
        <v>476</v>
      </c>
      <c r="D63" s="20" t="s">
        <v>99</v>
      </c>
      <c r="E63" s="2">
        <v>2017.0</v>
      </c>
      <c r="F63" s="2" t="s">
        <v>477</v>
      </c>
      <c r="G63" s="2" t="s">
        <v>478</v>
      </c>
      <c r="H63" s="1" t="s">
        <v>479</v>
      </c>
      <c r="I63" s="2" t="s">
        <v>103</v>
      </c>
      <c r="J63" s="2" t="s">
        <v>109</v>
      </c>
    </row>
    <row r="64">
      <c r="A64" s="2" t="s">
        <v>480</v>
      </c>
      <c r="B64" s="2" t="s">
        <v>481</v>
      </c>
      <c r="D64" s="20" t="s">
        <v>99</v>
      </c>
      <c r="E64" s="2">
        <v>2012.0</v>
      </c>
      <c r="F64" s="2" t="s">
        <v>482</v>
      </c>
      <c r="H64" s="1" t="s">
        <v>483</v>
      </c>
      <c r="I64" s="2" t="s">
        <v>103</v>
      </c>
      <c r="J64" s="2" t="s">
        <v>147</v>
      </c>
    </row>
    <row r="65">
      <c r="A65" s="2" t="s">
        <v>484</v>
      </c>
      <c r="B65" s="2" t="s">
        <v>485</v>
      </c>
      <c r="C65" s="2" t="s">
        <v>486</v>
      </c>
      <c r="D65" s="20" t="s">
        <v>99</v>
      </c>
      <c r="E65" s="2">
        <v>2015.0</v>
      </c>
      <c r="F65" s="2" t="s">
        <v>487</v>
      </c>
      <c r="G65" s="2" t="s">
        <v>488</v>
      </c>
      <c r="H65" s="1" t="s">
        <v>489</v>
      </c>
      <c r="I65" s="2" t="s">
        <v>103</v>
      </c>
      <c r="J65" s="2" t="s">
        <v>231</v>
      </c>
    </row>
    <row r="66">
      <c r="A66" s="2" t="s">
        <v>490</v>
      </c>
      <c r="B66" s="2" t="s">
        <v>491</v>
      </c>
      <c r="C66" s="2" t="s">
        <v>492</v>
      </c>
      <c r="D66" s="20" t="s">
        <v>99</v>
      </c>
      <c r="E66" s="2">
        <v>2015.0</v>
      </c>
      <c r="F66" s="2" t="s">
        <v>493</v>
      </c>
      <c r="G66" s="2" t="s">
        <v>494</v>
      </c>
      <c r="H66" s="1" t="s">
        <v>495</v>
      </c>
      <c r="I66" s="2" t="s">
        <v>103</v>
      </c>
      <c r="J66" s="2" t="s">
        <v>155</v>
      </c>
    </row>
    <row r="67">
      <c r="A67" s="2" t="s">
        <v>496</v>
      </c>
      <c r="B67" s="2" t="s">
        <v>233</v>
      </c>
      <c r="C67" s="2"/>
      <c r="D67" s="20" t="s">
        <v>99</v>
      </c>
      <c r="E67" s="2">
        <v>2019.0</v>
      </c>
      <c r="F67" s="2" t="s">
        <v>497</v>
      </c>
      <c r="G67" s="2"/>
      <c r="H67" s="1" t="s">
        <v>498</v>
      </c>
      <c r="I67" s="2" t="s">
        <v>103</v>
      </c>
      <c r="J67" s="2" t="s">
        <v>176</v>
      </c>
    </row>
    <row r="68">
      <c r="A68" s="2" t="s">
        <v>499</v>
      </c>
      <c r="B68" s="2" t="s">
        <v>500</v>
      </c>
      <c r="D68" s="20" t="s">
        <v>99</v>
      </c>
      <c r="E68" s="2">
        <v>2019.0</v>
      </c>
      <c r="F68" s="2" t="s">
        <v>501</v>
      </c>
      <c r="H68" s="1" t="s">
        <v>502</v>
      </c>
      <c r="I68" s="2" t="s">
        <v>103</v>
      </c>
      <c r="J68" s="2" t="s">
        <v>503</v>
      </c>
    </row>
    <row r="69">
      <c r="A69" s="2" t="s">
        <v>504</v>
      </c>
      <c r="B69" s="2" t="s">
        <v>505</v>
      </c>
      <c r="C69" s="2" t="s">
        <v>506</v>
      </c>
      <c r="D69" s="20" t="s">
        <v>99</v>
      </c>
      <c r="E69" s="2">
        <v>2019.0</v>
      </c>
      <c r="F69" s="2" t="s">
        <v>507</v>
      </c>
      <c r="G69" s="2" t="s">
        <v>508</v>
      </c>
      <c r="H69" s="1" t="s">
        <v>509</v>
      </c>
      <c r="I69" s="2" t="s">
        <v>103</v>
      </c>
      <c r="J69" s="2" t="s">
        <v>155</v>
      </c>
    </row>
    <row r="70">
      <c r="A70" s="2" t="s">
        <v>510</v>
      </c>
      <c r="B70" s="2" t="s">
        <v>511</v>
      </c>
      <c r="C70" s="2"/>
      <c r="D70" s="20" t="s">
        <v>99</v>
      </c>
      <c r="E70" s="2">
        <v>2018.0</v>
      </c>
      <c r="F70" s="2" t="s">
        <v>512</v>
      </c>
      <c r="G70" s="2"/>
      <c r="H70" s="1" t="s">
        <v>513</v>
      </c>
      <c r="I70" s="2" t="s">
        <v>103</v>
      </c>
      <c r="J70" s="2" t="s">
        <v>155</v>
      </c>
    </row>
    <row r="71">
      <c r="A71" s="2" t="s">
        <v>514</v>
      </c>
      <c r="B71" s="2" t="s">
        <v>515</v>
      </c>
      <c r="D71" s="20" t="s">
        <v>99</v>
      </c>
      <c r="E71" s="2">
        <v>2021.0</v>
      </c>
      <c r="F71" s="2" t="s">
        <v>516</v>
      </c>
      <c r="H71" s="1" t="s">
        <v>517</v>
      </c>
      <c r="I71" s="2" t="s">
        <v>103</v>
      </c>
      <c r="J71" s="2" t="s">
        <v>503</v>
      </c>
    </row>
    <row r="72">
      <c r="A72" s="2" t="s">
        <v>518</v>
      </c>
      <c r="B72" s="2" t="s">
        <v>519</v>
      </c>
      <c r="C72" s="2" t="s">
        <v>520</v>
      </c>
      <c r="D72" s="20" t="s">
        <v>521</v>
      </c>
      <c r="E72" s="2">
        <v>2021.0</v>
      </c>
      <c r="F72" s="2" t="s">
        <v>522</v>
      </c>
      <c r="G72" s="2" t="s">
        <v>523</v>
      </c>
      <c r="H72" s="1" t="s">
        <v>524</v>
      </c>
      <c r="I72" s="2" t="s">
        <v>103</v>
      </c>
      <c r="J72" s="2" t="s">
        <v>147</v>
      </c>
    </row>
    <row r="73">
      <c r="A73" s="2" t="s">
        <v>525</v>
      </c>
      <c r="B73" s="2" t="s">
        <v>526</v>
      </c>
      <c r="C73" s="2" t="s">
        <v>527</v>
      </c>
      <c r="D73" s="20" t="s">
        <v>99</v>
      </c>
      <c r="E73" s="2">
        <v>2016.0</v>
      </c>
      <c r="F73" s="2" t="s">
        <v>528</v>
      </c>
      <c r="G73" s="2" t="s">
        <v>529</v>
      </c>
      <c r="H73" s="1" t="s">
        <v>530</v>
      </c>
      <c r="I73" s="2" t="s">
        <v>103</v>
      </c>
      <c r="J73" s="2" t="s">
        <v>109</v>
      </c>
    </row>
    <row r="74">
      <c r="A74" s="2" t="s">
        <v>531</v>
      </c>
      <c r="B74" s="2" t="s">
        <v>532</v>
      </c>
      <c r="C74" s="2"/>
      <c r="D74" s="20" t="s">
        <v>99</v>
      </c>
      <c r="E74" s="2">
        <v>2020.0</v>
      </c>
      <c r="F74" s="2" t="s">
        <v>533</v>
      </c>
      <c r="G74" s="2"/>
      <c r="H74" s="1" t="s">
        <v>534</v>
      </c>
      <c r="I74" s="2" t="s">
        <v>103</v>
      </c>
      <c r="J74" s="2" t="s">
        <v>176</v>
      </c>
    </row>
    <row r="75">
      <c r="A75" s="2" t="s">
        <v>535</v>
      </c>
      <c r="B75" s="2" t="s">
        <v>536</v>
      </c>
      <c r="C75" s="2" t="s">
        <v>537</v>
      </c>
      <c r="D75" s="20" t="s">
        <v>99</v>
      </c>
      <c r="E75" s="2">
        <v>2015.0</v>
      </c>
      <c r="F75" s="2" t="s">
        <v>538</v>
      </c>
      <c r="G75" s="2" t="s">
        <v>539</v>
      </c>
      <c r="H75" s="1" t="s">
        <v>540</v>
      </c>
      <c r="I75" s="2" t="s">
        <v>103</v>
      </c>
      <c r="J75" s="2" t="s">
        <v>142</v>
      </c>
    </row>
    <row r="76">
      <c r="A76" s="2" t="s">
        <v>541</v>
      </c>
      <c r="B76" s="2" t="s">
        <v>542</v>
      </c>
      <c r="C76" s="2" t="s">
        <v>543</v>
      </c>
      <c r="D76" s="20" t="s">
        <v>544</v>
      </c>
      <c r="E76" s="2">
        <v>2015.0</v>
      </c>
      <c r="F76" s="2" t="s">
        <v>545</v>
      </c>
      <c r="G76" s="2" t="s">
        <v>546</v>
      </c>
      <c r="H76" s="1" t="s">
        <v>547</v>
      </c>
      <c r="I76" s="2" t="s">
        <v>103</v>
      </c>
      <c r="J76" s="2" t="s">
        <v>189</v>
      </c>
    </row>
    <row r="77">
      <c r="A77" s="2" t="s">
        <v>548</v>
      </c>
      <c r="B77" s="2" t="s">
        <v>549</v>
      </c>
      <c r="C77" s="2"/>
      <c r="D77" s="20" t="s">
        <v>99</v>
      </c>
      <c r="E77" s="2">
        <v>2018.0</v>
      </c>
      <c r="F77" s="2" t="s">
        <v>550</v>
      </c>
      <c r="G77" s="2"/>
      <c r="H77" s="1" t="s">
        <v>551</v>
      </c>
      <c r="I77" s="2" t="s">
        <v>103</v>
      </c>
      <c r="J77" s="2" t="s">
        <v>176</v>
      </c>
    </row>
    <row r="78">
      <c r="A78" s="2" t="s">
        <v>552</v>
      </c>
      <c r="B78" s="2" t="s">
        <v>553</v>
      </c>
      <c r="C78" s="2"/>
      <c r="D78" s="20" t="s">
        <v>99</v>
      </c>
      <c r="E78" s="2">
        <v>2020.0</v>
      </c>
      <c r="F78" s="2" t="s">
        <v>554</v>
      </c>
      <c r="G78" s="2"/>
      <c r="H78" s="1" t="s">
        <v>555</v>
      </c>
      <c r="I78" s="2" t="s">
        <v>103</v>
      </c>
      <c r="J78" s="2" t="s">
        <v>109</v>
      </c>
    </row>
    <row r="79">
      <c r="A79" s="2" t="s">
        <v>556</v>
      </c>
      <c r="B79" s="2" t="s">
        <v>557</v>
      </c>
      <c r="C79" s="2" t="s">
        <v>558</v>
      </c>
      <c r="D79" s="20" t="s">
        <v>99</v>
      </c>
      <c r="E79" s="2">
        <v>2013.0</v>
      </c>
      <c r="F79" s="2" t="s">
        <v>559</v>
      </c>
      <c r="G79" s="2" t="s">
        <v>560</v>
      </c>
      <c r="H79" s="1" t="s">
        <v>561</v>
      </c>
      <c r="I79" s="2" t="s">
        <v>103</v>
      </c>
      <c r="J79" s="2" t="s">
        <v>121</v>
      </c>
    </row>
    <row r="80">
      <c r="A80" s="2" t="s">
        <v>562</v>
      </c>
      <c r="B80" s="2" t="s">
        <v>563</v>
      </c>
      <c r="C80" s="2" t="s">
        <v>564</v>
      </c>
      <c r="D80" s="20" t="s">
        <v>99</v>
      </c>
      <c r="E80" s="2">
        <v>2014.0</v>
      </c>
      <c r="F80" s="2" t="s">
        <v>565</v>
      </c>
      <c r="G80" s="2" t="s">
        <v>566</v>
      </c>
      <c r="H80" s="1" t="s">
        <v>567</v>
      </c>
      <c r="I80" s="2" t="s">
        <v>103</v>
      </c>
      <c r="J80" s="2" t="s">
        <v>568</v>
      </c>
    </row>
    <row r="81">
      <c r="A81" s="2" t="s">
        <v>569</v>
      </c>
      <c r="B81" s="2" t="s">
        <v>570</v>
      </c>
      <c r="C81" s="2" t="s">
        <v>571</v>
      </c>
      <c r="D81" s="20" t="s">
        <v>572</v>
      </c>
      <c r="E81" s="2">
        <v>2012.0</v>
      </c>
      <c r="F81" s="2" t="s">
        <v>573</v>
      </c>
      <c r="G81" s="2" t="s">
        <v>574</v>
      </c>
      <c r="H81" s="1" t="s">
        <v>575</v>
      </c>
      <c r="I81" s="2" t="s">
        <v>103</v>
      </c>
      <c r="J81" s="2" t="s">
        <v>189</v>
      </c>
    </row>
    <row r="82">
      <c r="A82" s="2" t="s">
        <v>576</v>
      </c>
      <c r="B82" s="2" t="s">
        <v>577</v>
      </c>
      <c r="C82" s="2"/>
      <c r="D82" s="20" t="s">
        <v>578</v>
      </c>
      <c r="E82" s="2">
        <v>2021.0</v>
      </c>
      <c r="F82" s="2" t="s">
        <v>579</v>
      </c>
      <c r="G82" s="2"/>
      <c r="H82" s="1" t="s">
        <v>580</v>
      </c>
      <c r="I82" s="2" t="s">
        <v>103</v>
      </c>
      <c r="J82" s="2"/>
    </row>
    <row r="83">
      <c r="A83" s="2" t="s">
        <v>581</v>
      </c>
      <c r="B83" s="2" t="s">
        <v>582</v>
      </c>
      <c r="C83" s="2" t="s">
        <v>583</v>
      </c>
      <c r="D83" s="20" t="s">
        <v>584</v>
      </c>
      <c r="E83" s="2">
        <v>2016.0</v>
      </c>
      <c r="F83" s="2" t="s">
        <v>585</v>
      </c>
      <c r="G83" s="2" t="s">
        <v>586</v>
      </c>
      <c r="H83" s="1" t="s">
        <v>587</v>
      </c>
      <c r="I83" s="2" t="s">
        <v>103</v>
      </c>
      <c r="J83" s="2" t="s">
        <v>155</v>
      </c>
    </row>
    <row r="84">
      <c r="A84" s="2" t="s">
        <v>588</v>
      </c>
      <c r="B84" s="2" t="s">
        <v>589</v>
      </c>
      <c r="C84" s="2" t="s">
        <v>590</v>
      </c>
      <c r="D84" s="20" t="s">
        <v>584</v>
      </c>
      <c r="E84" s="2">
        <v>2016.0</v>
      </c>
      <c r="F84" s="2" t="s">
        <v>591</v>
      </c>
      <c r="G84" s="2" t="s">
        <v>592</v>
      </c>
      <c r="H84" s="1" t="s">
        <v>593</v>
      </c>
      <c r="I84" s="2" t="s">
        <v>103</v>
      </c>
      <c r="J84" s="2" t="s">
        <v>189</v>
      </c>
    </row>
    <row r="85">
      <c r="A85" s="2" t="s">
        <v>594</v>
      </c>
      <c r="B85" s="2" t="s">
        <v>595</v>
      </c>
      <c r="C85" s="2" t="s">
        <v>596</v>
      </c>
      <c r="D85" s="20" t="s">
        <v>99</v>
      </c>
      <c r="E85" s="2">
        <v>2013.0</v>
      </c>
      <c r="F85" s="2" t="s">
        <v>597</v>
      </c>
      <c r="G85" s="2" t="s">
        <v>598</v>
      </c>
      <c r="H85" s="1" t="s">
        <v>599</v>
      </c>
      <c r="I85" s="2" t="s">
        <v>103</v>
      </c>
      <c r="J85" s="2" t="s">
        <v>155</v>
      </c>
    </row>
    <row r="86">
      <c r="A86" s="2" t="s">
        <v>600</v>
      </c>
      <c r="B86" s="2" t="s">
        <v>255</v>
      </c>
      <c r="C86" s="2" t="s">
        <v>601</v>
      </c>
      <c r="D86" s="20" t="s">
        <v>99</v>
      </c>
      <c r="E86" s="2">
        <v>2021.0</v>
      </c>
      <c r="F86" s="2" t="s">
        <v>602</v>
      </c>
      <c r="G86" s="2"/>
      <c r="H86" s="1" t="s">
        <v>603</v>
      </c>
      <c r="I86" s="2" t="s">
        <v>103</v>
      </c>
      <c r="J86" s="2"/>
    </row>
    <row r="87">
      <c r="A87" s="2" t="s">
        <v>604</v>
      </c>
      <c r="B87" s="2" t="s">
        <v>605</v>
      </c>
      <c r="C87" s="2" t="s">
        <v>606</v>
      </c>
      <c r="D87" s="20" t="s">
        <v>607</v>
      </c>
      <c r="E87" s="2">
        <v>2013.0</v>
      </c>
      <c r="F87" s="2" t="s">
        <v>608</v>
      </c>
      <c r="G87" s="2" t="s">
        <v>609</v>
      </c>
      <c r="H87" s="1" t="s">
        <v>610</v>
      </c>
      <c r="I87" s="2" t="s">
        <v>103</v>
      </c>
      <c r="J87" s="2" t="s">
        <v>155</v>
      </c>
    </row>
    <row r="88">
      <c r="A88" s="2" t="s">
        <v>611</v>
      </c>
      <c r="B88" s="2" t="s">
        <v>612</v>
      </c>
      <c r="C88" s="2" t="s">
        <v>613</v>
      </c>
      <c r="D88" s="20" t="s">
        <v>99</v>
      </c>
      <c r="E88" s="2">
        <v>2015.0</v>
      </c>
      <c r="F88" s="2"/>
      <c r="G88" s="2" t="s">
        <v>614</v>
      </c>
      <c r="H88" s="1" t="s">
        <v>615</v>
      </c>
      <c r="I88" s="2" t="s">
        <v>103</v>
      </c>
      <c r="J88" s="2" t="s">
        <v>568</v>
      </c>
    </row>
    <row r="89">
      <c r="A89" s="2" t="s">
        <v>616</v>
      </c>
      <c r="B89" s="2" t="s">
        <v>617</v>
      </c>
      <c r="C89" s="2" t="s">
        <v>618</v>
      </c>
      <c r="D89" s="20" t="s">
        <v>99</v>
      </c>
      <c r="E89" s="2">
        <v>2018.0</v>
      </c>
      <c r="F89" s="2" t="s">
        <v>619</v>
      </c>
      <c r="G89" s="2" t="s">
        <v>620</v>
      </c>
      <c r="H89" s="1" t="s">
        <v>621</v>
      </c>
      <c r="I89" s="2" t="s">
        <v>103</v>
      </c>
      <c r="J89" s="2" t="s">
        <v>104</v>
      </c>
    </row>
    <row r="90">
      <c r="A90" s="2" t="s">
        <v>622</v>
      </c>
      <c r="B90" s="2" t="s">
        <v>623</v>
      </c>
      <c r="C90" s="2" t="s">
        <v>624</v>
      </c>
      <c r="D90" s="20" t="s">
        <v>625</v>
      </c>
      <c r="E90" s="2">
        <v>2011.0</v>
      </c>
      <c r="F90" s="2" t="s">
        <v>626</v>
      </c>
      <c r="G90" s="2" t="s">
        <v>627</v>
      </c>
      <c r="H90" s="1" t="s">
        <v>628</v>
      </c>
      <c r="I90" s="2" t="s">
        <v>103</v>
      </c>
      <c r="J90" s="2" t="s">
        <v>147</v>
      </c>
    </row>
    <row r="91">
      <c r="A91" s="2" t="s">
        <v>629</v>
      </c>
      <c r="B91" s="2" t="s">
        <v>630</v>
      </c>
      <c r="C91" s="2" t="s">
        <v>631</v>
      </c>
      <c r="D91" s="20" t="s">
        <v>99</v>
      </c>
      <c r="E91" s="2">
        <v>2011.0</v>
      </c>
      <c r="F91" s="2" t="s">
        <v>632</v>
      </c>
      <c r="G91" s="2"/>
      <c r="H91" s="1" t="s">
        <v>633</v>
      </c>
      <c r="I91" s="2" t="s">
        <v>103</v>
      </c>
      <c r="J91" s="2" t="s">
        <v>189</v>
      </c>
    </row>
    <row r="92">
      <c r="A92" s="2" t="s">
        <v>634</v>
      </c>
      <c r="B92" s="2" t="s">
        <v>635</v>
      </c>
      <c r="C92" s="2"/>
      <c r="D92" s="20" t="s">
        <v>636</v>
      </c>
      <c r="E92" s="2">
        <v>2018.0</v>
      </c>
      <c r="F92" s="2" t="s">
        <v>637</v>
      </c>
      <c r="G92" s="2"/>
      <c r="H92" s="1" t="s">
        <v>638</v>
      </c>
      <c r="I92" s="2" t="s">
        <v>103</v>
      </c>
      <c r="J92" s="2" t="s">
        <v>176</v>
      </c>
    </row>
    <row r="93">
      <c r="A93" s="2" t="s">
        <v>639</v>
      </c>
      <c r="B93" s="2" t="s">
        <v>640</v>
      </c>
      <c r="C93" s="2" t="s">
        <v>641</v>
      </c>
      <c r="D93" s="20" t="s">
        <v>642</v>
      </c>
      <c r="E93" s="2">
        <v>2018.0</v>
      </c>
      <c r="F93" s="2" t="s">
        <v>643</v>
      </c>
      <c r="G93" s="2" t="s">
        <v>644</v>
      </c>
      <c r="H93" s="1" t="s">
        <v>645</v>
      </c>
      <c r="I93" s="2" t="s">
        <v>103</v>
      </c>
      <c r="J93" s="2" t="s">
        <v>109</v>
      </c>
    </row>
    <row r="94">
      <c r="A94" s="2" t="s">
        <v>646</v>
      </c>
      <c r="B94" s="2" t="s">
        <v>647</v>
      </c>
      <c r="C94" s="2" t="s">
        <v>648</v>
      </c>
      <c r="D94" s="20" t="s">
        <v>649</v>
      </c>
      <c r="E94" s="2">
        <v>2016.0</v>
      </c>
      <c r="F94" s="2" t="s">
        <v>650</v>
      </c>
      <c r="G94" s="2" t="s">
        <v>651</v>
      </c>
      <c r="H94" s="1" t="s">
        <v>652</v>
      </c>
      <c r="I94" s="2" t="s">
        <v>103</v>
      </c>
      <c r="J94" s="2" t="s">
        <v>189</v>
      </c>
    </row>
    <row r="95">
      <c r="A95" s="2" t="s">
        <v>653</v>
      </c>
      <c r="B95" s="2" t="s">
        <v>654</v>
      </c>
      <c r="C95" s="2" t="s">
        <v>655</v>
      </c>
      <c r="D95" s="20" t="s">
        <v>99</v>
      </c>
      <c r="E95" s="2">
        <v>2017.0</v>
      </c>
      <c r="F95" s="2" t="s">
        <v>656</v>
      </c>
      <c r="G95" s="2"/>
      <c r="H95" s="1" t="s">
        <v>657</v>
      </c>
      <c r="I95" s="2" t="s">
        <v>103</v>
      </c>
      <c r="J95" s="2" t="s">
        <v>155</v>
      </c>
    </row>
    <row r="96">
      <c r="A96" s="2" t="s">
        <v>658</v>
      </c>
      <c r="B96" s="2" t="s">
        <v>659</v>
      </c>
      <c r="C96" s="2" t="s">
        <v>660</v>
      </c>
      <c r="D96" s="20" t="s">
        <v>99</v>
      </c>
      <c r="E96" s="2">
        <v>2019.0</v>
      </c>
      <c r="F96" s="2" t="s">
        <v>661</v>
      </c>
      <c r="G96" s="2" t="s">
        <v>662</v>
      </c>
      <c r="H96" s="1" t="s">
        <v>663</v>
      </c>
      <c r="I96" s="2" t="s">
        <v>103</v>
      </c>
      <c r="J96" s="2" t="s">
        <v>274</v>
      </c>
    </row>
    <row r="97">
      <c r="A97" s="2" t="s">
        <v>664</v>
      </c>
      <c r="B97" s="2" t="s">
        <v>665</v>
      </c>
      <c r="C97" s="2" t="s">
        <v>666</v>
      </c>
      <c r="D97" s="20" t="s">
        <v>99</v>
      </c>
      <c r="E97" s="2">
        <v>2012.0</v>
      </c>
      <c r="F97" s="2" t="s">
        <v>667</v>
      </c>
      <c r="G97" s="2" t="s">
        <v>668</v>
      </c>
      <c r="H97" s="1" t="s">
        <v>669</v>
      </c>
      <c r="I97" s="2" t="s">
        <v>103</v>
      </c>
      <c r="J97" s="2" t="s">
        <v>121</v>
      </c>
    </row>
    <row r="98">
      <c r="A98" s="2" t="s">
        <v>670</v>
      </c>
      <c r="B98" s="2" t="s">
        <v>671</v>
      </c>
      <c r="D98" s="20" t="s">
        <v>99</v>
      </c>
      <c r="E98" s="2">
        <v>2020.0</v>
      </c>
      <c r="F98" s="2" t="s">
        <v>672</v>
      </c>
      <c r="H98" s="1" t="s">
        <v>673</v>
      </c>
      <c r="I98" s="2" t="s">
        <v>103</v>
      </c>
      <c r="J98" s="2" t="s">
        <v>147</v>
      </c>
    </row>
    <row r="99">
      <c r="A99" s="2" t="s">
        <v>674</v>
      </c>
      <c r="B99" s="2" t="s">
        <v>675</v>
      </c>
      <c r="C99" s="2" t="s">
        <v>676</v>
      </c>
      <c r="D99" s="20" t="s">
        <v>677</v>
      </c>
      <c r="E99" s="2">
        <v>1997.0</v>
      </c>
      <c r="F99" s="2" t="s">
        <v>678</v>
      </c>
      <c r="G99" s="2" t="s">
        <v>679</v>
      </c>
      <c r="H99" s="1" t="s">
        <v>680</v>
      </c>
      <c r="I99" s="2" t="s">
        <v>103</v>
      </c>
      <c r="J99" s="2" t="s">
        <v>121</v>
      </c>
    </row>
    <row r="100">
      <c r="A100" s="2" t="s">
        <v>681</v>
      </c>
      <c r="B100" s="2" t="s">
        <v>682</v>
      </c>
      <c r="C100" s="2" t="s">
        <v>683</v>
      </c>
      <c r="D100" s="20" t="s">
        <v>684</v>
      </c>
      <c r="E100" s="2">
        <v>2012.0</v>
      </c>
      <c r="F100" s="2" t="s">
        <v>685</v>
      </c>
      <c r="G100" s="2" t="s">
        <v>686</v>
      </c>
      <c r="H100" s="1" t="s">
        <v>687</v>
      </c>
      <c r="I100" s="2" t="s">
        <v>103</v>
      </c>
      <c r="J100" s="2" t="s">
        <v>231</v>
      </c>
    </row>
    <row r="101">
      <c r="A101" s="2" t="s">
        <v>688</v>
      </c>
      <c r="B101" s="2" t="s">
        <v>233</v>
      </c>
      <c r="C101" s="2" t="s">
        <v>689</v>
      </c>
      <c r="D101" s="20" t="s">
        <v>690</v>
      </c>
      <c r="E101" s="2">
        <v>2016.0</v>
      </c>
      <c r="F101" s="2" t="s">
        <v>691</v>
      </c>
      <c r="G101" s="2" t="s">
        <v>692</v>
      </c>
      <c r="H101" s="1" t="s">
        <v>693</v>
      </c>
      <c r="I101" s="2" t="s">
        <v>103</v>
      </c>
      <c r="J101" s="2" t="s">
        <v>121</v>
      </c>
    </row>
    <row r="102">
      <c r="A102" s="2" t="s">
        <v>694</v>
      </c>
      <c r="B102" s="2" t="s">
        <v>695</v>
      </c>
      <c r="C102" s="2" t="s">
        <v>696</v>
      </c>
      <c r="D102" s="20" t="s">
        <v>697</v>
      </c>
      <c r="E102" s="2">
        <v>2010.0</v>
      </c>
      <c r="F102" s="2" t="s">
        <v>698</v>
      </c>
      <c r="G102" s="2"/>
      <c r="H102" s="1" t="s">
        <v>699</v>
      </c>
      <c r="I102" s="2" t="s">
        <v>103</v>
      </c>
      <c r="J102" s="2" t="s">
        <v>700</v>
      </c>
    </row>
    <row r="103">
      <c r="A103" s="2" t="s">
        <v>701</v>
      </c>
      <c r="B103" s="2"/>
      <c r="C103" s="2" t="s">
        <v>702</v>
      </c>
      <c r="D103" s="20" t="s">
        <v>99</v>
      </c>
      <c r="E103" s="2">
        <v>2021.0</v>
      </c>
      <c r="F103" s="2" t="s">
        <v>703</v>
      </c>
      <c r="G103" s="2" t="s">
        <v>704</v>
      </c>
      <c r="H103" s="1" t="s">
        <v>705</v>
      </c>
      <c r="I103" s="2" t="s">
        <v>103</v>
      </c>
      <c r="J103" s="2" t="s">
        <v>104</v>
      </c>
    </row>
    <row r="104">
      <c r="A104" s="2" t="s">
        <v>706</v>
      </c>
      <c r="B104" s="2" t="s">
        <v>707</v>
      </c>
      <c r="C104" s="2" t="s">
        <v>708</v>
      </c>
      <c r="D104" s="20" t="s">
        <v>709</v>
      </c>
      <c r="E104" s="2">
        <v>2002.0</v>
      </c>
      <c r="F104" s="2" t="s">
        <v>710</v>
      </c>
      <c r="G104" s="2" t="s">
        <v>711</v>
      </c>
      <c r="H104" s="1" t="s">
        <v>712</v>
      </c>
      <c r="I104" s="2" t="s">
        <v>103</v>
      </c>
      <c r="J104" s="2" t="s">
        <v>189</v>
      </c>
    </row>
    <row r="105">
      <c r="A105" s="2" t="s">
        <v>713</v>
      </c>
      <c r="B105" s="2" t="s">
        <v>714</v>
      </c>
      <c r="C105" s="2" t="s">
        <v>715</v>
      </c>
      <c r="D105" s="20" t="s">
        <v>99</v>
      </c>
      <c r="E105" s="2">
        <v>2017.0</v>
      </c>
      <c r="F105" s="2" t="s">
        <v>716</v>
      </c>
      <c r="G105" s="2" t="s">
        <v>717</v>
      </c>
      <c r="H105" s="1" t="s">
        <v>718</v>
      </c>
      <c r="I105" s="2" t="s">
        <v>103</v>
      </c>
      <c r="J105" s="2" t="s">
        <v>147</v>
      </c>
    </row>
    <row r="106">
      <c r="A106" s="2" t="s">
        <v>719</v>
      </c>
      <c r="B106" s="2" t="s">
        <v>720</v>
      </c>
      <c r="C106" s="2"/>
      <c r="D106" s="20" t="s">
        <v>99</v>
      </c>
      <c r="E106" s="2">
        <v>2019.0</v>
      </c>
      <c r="F106" s="2" t="s">
        <v>721</v>
      </c>
      <c r="G106" s="2"/>
      <c r="H106" s="1" t="s">
        <v>722</v>
      </c>
      <c r="I106" s="2" t="s">
        <v>103</v>
      </c>
      <c r="J106" s="2" t="s">
        <v>568</v>
      </c>
    </row>
    <row r="107">
      <c r="A107" s="2" t="s">
        <v>723</v>
      </c>
      <c r="B107" s="2" t="s">
        <v>724</v>
      </c>
      <c r="C107" s="2" t="s">
        <v>725</v>
      </c>
      <c r="D107" s="20" t="s">
        <v>99</v>
      </c>
      <c r="E107" s="2">
        <v>2020.0</v>
      </c>
      <c r="F107" s="2" t="s">
        <v>726</v>
      </c>
      <c r="G107" s="2" t="s">
        <v>727</v>
      </c>
      <c r="H107" s="1" t="s">
        <v>728</v>
      </c>
      <c r="I107" s="2" t="s">
        <v>103</v>
      </c>
      <c r="J107" s="2" t="s">
        <v>176</v>
      </c>
    </row>
    <row r="108">
      <c r="A108" s="2" t="s">
        <v>729</v>
      </c>
      <c r="B108" s="2" t="s">
        <v>730</v>
      </c>
      <c r="C108" s="2"/>
      <c r="D108" s="20" t="s">
        <v>99</v>
      </c>
      <c r="E108" s="2">
        <v>2021.0</v>
      </c>
      <c r="F108" s="2" t="s">
        <v>731</v>
      </c>
      <c r="G108" s="2"/>
      <c r="H108" s="1" t="s">
        <v>732</v>
      </c>
      <c r="I108" s="2" t="s">
        <v>103</v>
      </c>
      <c r="J108" s="2" t="s">
        <v>142</v>
      </c>
    </row>
    <row r="109">
      <c r="A109" s="2" t="s">
        <v>733</v>
      </c>
      <c r="B109" s="2" t="s">
        <v>734</v>
      </c>
      <c r="C109" s="2" t="s">
        <v>735</v>
      </c>
      <c r="D109" s="20" t="s">
        <v>99</v>
      </c>
      <c r="E109" s="2">
        <v>2016.0</v>
      </c>
      <c r="F109" s="2" t="s">
        <v>736</v>
      </c>
      <c r="G109" s="2" t="s">
        <v>737</v>
      </c>
      <c r="H109" s="1" t="s">
        <v>738</v>
      </c>
      <c r="I109" s="2" t="s">
        <v>103</v>
      </c>
      <c r="J109" s="2" t="s">
        <v>155</v>
      </c>
    </row>
    <row r="110">
      <c r="A110" s="2" t="s">
        <v>739</v>
      </c>
      <c r="B110" s="2" t="s">
        <v>740</v>
      </c>
      <c r="C110" s="2" t="s">
        <v>741</v>
      </c>
      <c r="D110" s="20" t="s">
        <v>99</v>
      </c>
      <c r="E110" s="2">
        <v>2015.0</v>
      </c>
      <c r="F110" s="2" t="s">
        <v>742</v>
      </c>
      <c r="G110" s="2" t="s">
        <v>743</v>
      </c>
      <c r="H110" s="1" t="s">
        <v>744</v>
      </c>
      <c r="I110" s="2" t="s">
        <v>103</v>
      </c>
      <c r="J110" s="2" t="s">
        <v>147</v>
      </c>
    </row>
    <row r="111">
      <c r="A111" s="2" t="s">
        <v>745</v>
      </c>
      <c r="B111" s="2" t="s">
        <v>746</v>
      </c>
      <c r="C111" s="2" t="s">
        <v>747</v>
      </c>
      <c r="D111" s="20" t="s">
        <v>748</v>
      </c>
      <c r="E111" s="2">
        <v>2015.0</v>
      </c>
      <c r="F111" s="2" t="s">
        <v>749</v>
      </c>
      <c r="G111" s="2" t="s">
        <v>750</v>
      </c>
      <c r="H111" s="1" t="s">
        <v>751</v>
      </c>
      <c r="I111" s="2" t="s">
        <v>103</v>
      </c>
      <c r="J111" s="2" t="s">
        <v>176</v>
      </c>
    </row>
    <row r="112">
      <c r="A112" s="2" t="s">
        <v>752</v>
      </c>
      <c r="B112" s="2" t="s">
        <v>753</v>
      </c>
      <c r="C112" s="2" t="s">
        <v>754</v>
      </c>
      <c r="D112" s="20" t="s">
        <v>755</v>
      </c>
      <c r="E112" s="2">
        <v>2010.0</v>
      </c>
      <c r="F112" s="2" t="s">
        <v>756</v>
      </c>
      <c r="G112" s="2" t="s">
        <v>757</v>
      </c>
      <c r="H112" s="1" t="s">
        <v>758</v>
      </c>
      <c r="I112" s="2" t="s">
        <v>103</v>
      </c>
      <c r="J112" s="2" t="s">
        <v>409</v>
      </c>
    </row>
    <row r="113">
      <c r="A113" s="2" t="s">
        <v>759</v>
      </c>
      <c r="B113" s="2" t="s">
        <v>760</v>
      </c>
      <c r="C113" s="2" t="s">
        <v>761</v>
      </c>
      <c r="D113" s="20" t="s">
        <v>762</v>
      </c>
      <c r="E113" s="2">
        <v>2020.0</v>
      </c>
      <c r="F113" s="2" t="s">
        <v>763</v>
      </c>
      <c r="G113" s="2" t="s">
        <v>764</v>
      </c>
      <c r="H113" s="1" t="s">
        <v>765</v>
      </c>
      <c r="I113" s="2" t="s">
        <v>103</v>
      </c>
      <c r="J113" s="2" t="s">
        <v>231</v>
      </c>
    </row>
    <row r="114">
      <c r="A114" s="2" t="s">
        <v>766</v>
      </c>
      <c r="B114" s="2" t="s">
        <v>767</v>
      </c>
      <c r="C114" s="2"/>
      <c r="D114" s="20" t="s">
        <v>99</v>
      </c>
      <c r="E114" s="2">
        <v>2019.0</v>
      </c>
      <c r="F114" s="2" t="s">
        <v>768</v>
      </c>
      <c r="H114" s="1" t="s">
        <v>769</v>
      </c>
      <c r="I114" s="2" t="s">
        <v>103</v>
      </c>
      <c r="J114" s="2" t="s">
        <v>147</v>
      </c>
    </row>
    <row r="115">
      <c r="A115" s="2" t="s">
        <v>770</v>
      </c>
      <c r="B115" s="2" t="s">
        <v>771</v>
      </c>
      <c r="C115" s="2" t="s">
        <v>772</v>
      </c>
      <c r="D115" s="20" t="s">
        <v>99</v>
      </c>
      <c r="E115" s="2">
        <v>2014.0</v>
      </c>
      <c r="F115" s="2" t="s">
        <v>773</v>
      </c>
      <c r="G115" s="2" t="s">
        <v>774</v>
      </c>
      <c r="H115" s="1" t="s">
        <v>775</v>
      </c>
      <c r="I115" s="2" t="s">
        <v>103</v>
      </c>
      <c r="J115" s="2" t="s">
        <v>155</v>
      </c>
    </row>
    <row r="116">
      <c r="A116" s="2" t="s">
        <v>776</v>
      </c>
      <c r="B116" s="2" t="s">
        <v>777</v>
      </c>
      <c r="D116" s="20" t="s">
        <v>99</v>
      </c>
      <c r="E116" s="2">
        <v>2020.0</v>
      </c>
      <c r="F116" s="2" t="s">
        <v>778</v>
      </c>
      <c r="H116" s="1" t="s">
        <v>779</v>
      </c>
      <c r="I116" s="2" t="s">
        <v>103</v>
      </c>
      <c r="J116" s="2" t="s">
        <v>147</v>
      </c>
    </row>
    <row r="117">
      <c r="A117" s="2" t="s">
        <v>780</v>
      </c>
      <c r="B117" s="2" t="s">
        <v>781</v>
      </c>
      <c r="C117" s="2" t="s">
        <v>782</v>
      </c>
      <c r="D117" s="20" t="s">
        <v>99</v>
      </c>
      <c r="E117" s="2">
        <v>2019.0</v>
      </c>
      <c r="F117" s="2" t="s">
        <v>783</v>
      </c>
      <c r="G117" s="2" t="s">
        <v>784</v>
      </c>
      <c r="H117" s="1" t="s">
        <v>785</v>
      </c>
      <c r="I117" s="2" t="s">
        <v>103</v>
      </c>
      <c r="J117" s="2" t="s">
        <v>353</v>
      </c>
    </row>
    <row r="118">
      <c r="A118" s="2" t="s">
        <v>786</v>
      </c>
      <c r="B118" s="2" t="s">
        <v>787</v>
      </c>
      <c r="C118" s="2"/>
      <c r="D118" s="20" t="s">
        <v>99</v>
      </c>
      <c r="E118" s="2"/>
      <c r="F118" s="2" t="s">
        <v>788</v>
      </c>
      <c r="G118" s="2"/>
      <c r="H118" s="1" t="s">
        <v>789</v>
      </c>
      <c r="I118" s="2" t="s">
        <v>103</v>
      </c>
      <c r="J118" s="2" t="s">
        <v>109</v>
      </c>
    </row>
    <row r="119">
      <c r="A119" s="2" t="s">
        <v>790</v>
      </c>
      <c r="B119" s="2" t="s">
        <v>791</v>
      </c>
      <c r="C119" s="2" t="s">
        <v>792</v>
      </c>
      <c r="D119" s="20" t="s">
        <v>99</v>
      </c>
      <c r="E119" s="2">
        <v>2018.0</v>
      </c>
      <c r="F119" s="2" t="s">
        <v>793</v>
      </c>
      <c r="G119" s="2" t="s">
        <v>794</v>
      </c>
      <c r="H119" s="1" t="s">
        <v>795</v>
      </c>
      <c r="I119" s="2" t="s">
        <v>103</v>
      </c>
      <c r="J119" s="2" t="s">
        <v>121</v>
      </c>
    </row>
    <row r="120">
      <c r="A120" s="2" t="s">
        <v>796</v>
      </c>
      <c r="B120" s="2" t="s">
        <v>797</v>
      </c>
      <c r="C120" s="2"/>
      <c r="D120" s="20" t="s">
        <v>798</v>
      </c>
      <c r="E120" s="2">
        <v>2019.0</v>
      </c>
      <c r="F120" s="2" t="s">
        <v>799</v>
      </c>
      <c r="G120" s="2"/>
      <c r="H120" s="1" t="s">
        <v>800</v>
      </c>
      <c r="I120" s="2" t="s">
        <v>103</v>
      </c>
      <c r="J120" s="2" t="s">
        <v>121</v>
      </c>
    </row>
    <row r="121">
      <c r="A121" s="2" t="s">
        <v>801</v>
      </c>
      <c r="B121" s="2" t="s">
        <v>802</v>
      </c>
      <c r="C121" s="2" t="s">
        <v>803</v>
      </c>
      <c r="D121" s="20" t="s">
        <v>804</v>
      </c>
      <c r="E121" s="2">
        <v>2011.0</v>
      </c>
      <c r="F121" s="2" t="s">
        <v>805</v>
      </c>
      <c r="G121" s="2" t="s">
        <v>806</v>
      </c>
      <c r="H121" s="1" t="s">
        <v>807</v>
      </c>
      <c r="I121" s="2" t="s">
        <v>103</v>
      </c>
      <c r="J121" s="2" t="s">
        <v>176</v>
      </c>
    </row>
    <row r="122">
      <c r="A122" s="2" t="s">
        <v>808</v>
      </c>
      <c r="B122" s="2" t="s">
        <v>809</v>
      </c>
      <c r="C122" s="2" t="s">
        <v>810</v>
      </c>
      <c r="D122" s="20" t="s">
        <v>811</v>
      </c>
      <c r="E122" s="2">
        <v>2017.0</v>
      </c>
      <c r="F122" s="2" t="s">
        <v>812</v>
      </c>
      <c r="G122" s="2" t="s">
        <v>813</v>
      </c>
      <c r="H122" s="1" t="s">
        <v>814</v>
      </c>
      <c r="I122" s="2" t="s">
        <v>103</v>
      </c>
      <c r="J122" s="2" t="s">
        <v>353</v>
      </c>
    </row>
    <row r="123">
      <c r="A123" s="2" t="s">
        <v>815</v>
      </c>
      <c r="B123" s="2" t="s">
        <v>816</v>
      </c>
      <c r="C123" s="2" t="s">
        <v>817</v>
      </c>
      <c r="D123" s="20" t="s">
        <v>99</v>
      </c>
      <c r="E123" s="2">
        <v>2015.0</v>
      </c>
      <c r="F123" s="2" t="s">
        <v>818</v>
      </c>
      <c r="G123" s="2" t="s">
        <v>819</v>
      </c>
      <c r="H123" s="1" t="s">
        <v>820</v>
      </c>
      <c r="I123" s="2" t="s">
        <v>103</v>
      </c>
      <c r="J123" s="2" t="s">
        <v>109</v>
      </c>
    </row>
    <row r="124">
      <c r="A124" s="2" t="s">
        <v>821</v>
      </c>
      <c r="B124" s="2" t="s">
        <v>822</v>
      </c>
      <c r="C124" s="2" t="s">
        <v>823</v>
      </c>
      <c r="D124" s="20" t="s">
        <v>824</v>
      </c>
      <c r="E124" s="2">
        <v>2017.0</v>
      </c>
      <c r="F124" s="2" t="s">
        <v>825</v>
      </c>
      <c r="G124" s="2" t="s">
        <v>826</v>
      </c>
      <c r="H124" s="1" t="s">
        <v>827</v>
      </c>
      <c r="I124" s="2" t="s">
        <v>103</v>
      </c>
      <c r="J124" s="2" t="s">
        <v>121</v>
      </c>
    </row>
    <row r="125">
      <c r="A125" s="2" t="s">
        <v>828</v>
      </c>
      <c r="B125" s="2" t="s">
        <v>829</v>
      </c>
      <c r="C125" s="2"/>
      <c r="D125" s="20" t="s">
        <v>99</v>
      </c>
      <c r="E125" s="2">
        <v>2023.0</v>
      </c>
      <c r="F125" s="2" t="s">
        <v>830</v>
      </c>
      <c r="G125" s="2"/>
      <c r="H125" s="1" t="s">
        <v>831</v>
      </c>
      <c r="I125" s="2" t="s">
        <v>103</v>
      </c>
      <c r="J125" s="2" t="s">
        <v>274</v>
      </c>
    </row>
    <row r="126">
      <c r="A126" s="2" t="s">
        <v>832</v>
      </c>
      <c r="B126" s="2" t="s">
        <v>233</v>
      </c>
      <c r="C126" s="2" t="s">
        <v>833</v>
      </c>
      <c r="D126" s="20" t="s">
        <v>99</v>
      </c>
      <c r="E126" s="2">
        <v>2015.0</v>
      </c>
      <c r="F126" s="2" t="s">
        <v>834</v>
      </c>
      <c r="G126" s="2"/>
      <c r="H126" s="1" t="s">
        <v>835</v>
      </c>
      <c r="I126" s="2" t="s">
        <v>103</v>
      </c>
      <c r="J126" s="2" t="s">
        <v>176</v>
      </c>
    </row>
    <row r="127">
      <c r="A127" s="2" t="s">
        <v>836</v>
      </c>
      <c r="B127" s="2" t="s">
        <v>837</v>
      </c>
      <c r="C127" s="2" t="s">
        <v>838</v>
      </c>
      <c r="D127" s="20" t="s">
        <v>839</v>
      </c>
      <c r="E127" s="2">
        <v>2014.0</v>
      </c>
      <c r="F127" s="2" t="s">
        <v>840</v>
      </c>
      <c r="G127" s="2" t="s">
        <v>841</v>
      </c>
      <c r="H127" s="1" t="s">
        <v>842</v>
      </c>
      <c r="I127" s="2" t="s">
        <v>103</v>
      </c>
      <c r="J127" s="2" t="s">
        <v>155</v>
      </c>
    </row>
    <row r="128">
      <c r="A128" s="2" t="s">
        <v>843</v>
      </c>
      <c r="B128" s="2" t="s">
        <v>844</v>
      </c>
      <c r="C128" s="2" t="s">
        <v>845</v>
      </c>
      <c r="D128" s="20" t="s">
        <v>846</v>
      </c>
      <c r="E128" s="2">
        <v>2015.0</v>
      </c>
      <c r="F128" s="2" t="s">
        <v>847</v>
      </c>
      <c r="H128" s="1" t="s">
        <v>848</v>
      </c>
      <c r="I128" s="2" t="s">
        <v>103</v>
      </c>
      <c r="J128" s="2" t="s">
        <v>409</v>
      </c>
    </row>
    <row r="129">
      <c r="A129" s="2" t="s">
        <v>849</v>
      </c>
      <c r="B129" s="2" t="s">
        <v>850</v>
      </c>
      <c r="C129" s="2" t="s">
        <v>851</v>
      </c>
      <c r="D129" s="20" t="s">
        <v>99</v>
      </c>
      <c r="E129" s="2">
        <v>2017.0</v>
      </c>
      <c r="F129" s="2" t="s">
        <v>852</v>
      </c>
      <c r="G129" s="2" t="s">
        <v>853</v>
      </c>
      <c r="H129" s="1" t="s">
        <v>854</v>
      </c>
      <c r="I129" s="2" t="s">
        <v>103</v>
      </c>
      <c r="J129" s="2" t="s">
        <v>409</v>
      </c>
    </row>
    <row r="130">
      <c r="A130" s="2" t="s">
        <v>855</v>
      </c>
      <c r="B130" s="2" t="s">
        <v>856</v>
      </c>
      <c r="D130" s="20" t="s">
        <v>99</v>
      </c>
      <c r="E130" s="2">
        <v>2020.0</v>
      </c>
      <c r="F130" s="2" t="s">
        <v>857</v>
      </c>
      <c r="H130" s="1" t="s">
        <v>858</v>
      </c>
      <c r="I130" s="2" t="s">
        <v>103</v>
      </c>
      <c r="J130" s="2" t="s">
        <v>109</v>
      </c>
    </row>
    <row r="131">
      <c r="A131" s="2" t="s">
        <v>859</v>
      </c>
      <c r="B131" s="2" t="s">
        <v>860</v>
      </c>
      <c r="C131" s="2"/>
      <c r="D131" s="20" t="s">
        <v>99</v>
      </c>
      <c r="E131" s="2">
        <v>2020.0</v>
      </c>
      <c r="F131" s="2" t="s">
        <v>861</v>
      </c>
      <c r="G131" s="2"/>
      <c r="H131" s="1" t="s">
        <v>862</v>
      </c>
      <c r="I131" s="2" t="s">
        <v>103</v>
      </c>
      <c r="J131" s="2" t="s">
        <v>189</v>
      </c>
    </row>
    <row r="132">
      <c r="A132" s="2" t="s">
        <v>863</v>
      </c>
      <c r="B132" s="2" t="s">
        <v>864</v>
      </c>
      <c r="C132" s="2"/>
      <c r="D132" s="20" t="s">
        <v>865</v>
      </c>
      <c r="E132" s="2">
        <v>2020.0</v>
      </c>
      <c r="F132" s="2" t="s">
        <v>866</v>
      </c>
      <c r="G132" s="2"/>
      <c r="H132" s="1" t="s">
        <v>867</v>
      </c>
      <c r="I132" s="2" t="s">
        <v>103</v>
      </c>
      <c r="J132" s="2" t="s">
        <v>189</v>
      </c>
    </row>
    <row r="133">
      <c r="A133" s="2" t="s">
        <v>868</v>
      </c>
      <c r="B133" s="2" t="s">
        <v>869</v>
      </c>
      <c r="C133" s="2" t="s">
        <v>870</v>
      </c>
      <c r="D133" s="20" t="s">
        <v>99</v>
      </c>
      <c r="E133" s="2">
        <v>2016.0</v>
      </c>
      <c r="F133" s="2" t="s">
        <v>871</v>
      </c>
      <c r="G133" s="2" t="s">
        <v>872</v>
      </c>
      <c r="H133" s="1" t="s">
        <v>873</v>
      </c>
      <c r="I133" s="2" t="s">
        <v>103</v>
      </c>
      <c r="J133" s="2" t="s">
        <v>109</v>
      </c>
    </row>
    <row r="134">
      <c r="A134" s="2" t="s">
        <v>874</v>
      </c>
      <c r="B134" s="2" t="s">
        <v>875</v>
      </c>
      <c r="C134" s="2" t="s">
        <v>876</v>
      </c>
      <c r="D134" s="20" t="s">
        <v>99</v>
      </c>
      <c r="E134" s="2">
        <v>2018.0</v>
      </c>
      <c r="F134" s="2" t="s">
        <v>877</v>
      </c>
      <c r="G134" s="2" t="s">
        <v>878</v>
      </c>
      <c r="H134" s="1" t="s">
        <v>879</v>
      </c>
      <c r="I134" s="2" t="s">
        <v>103</v>
      </c>
      <c r="J134" s="2" t="s">
        <v>155</v>
      </c>
    </row>
    <row r="135">
      <c r="A135" s="2" t="s">
        <v>880</v>
      </c>
      <c r="B135" s="2" t="s">
        <v>881</v>
      </c>
      <c r="C135" s="2" t="s">
        <v>882</v>
      </c>
      <c r="D135" s="20" t="s">
        <v>883</v>
      </c>
      <c r="E135" s="2">
        <v>2013.0</v>
      </c>
      <c r="F135" s="2" t="s">
        <v>884</v>
      </c>
      <c r="G135" s="2" t="s">
        <v>885</v>
      </c>
      <c r="H135" s="1" t="s">
        <v>886</v>
      </c>
      <c r="I135" s="2" t="s">
        <v>103</v>
      </c>
      <c r="J135" s="2" t="s">
        <v>189</v>
      </c>
    </row>
    <row r="136">
      <c r="A136" s="2" t="s">
        <v>887</v>
      </c>
      <c r="B136" s="2" t="s">
        <v>888</v>
      </c>
      <c r="C136" s="2" t="s">
        <v>889</v>
      </c>
      <c r="D136" s="20" t="s">
        <v>99</v>
      </c>
      <c r="E136" s="2">
        <v>2018.0</v>
      </c>
      <c r="F136" s="2" t="s">
        <v>890</v>
      </c>
      <c r="G136" s="2" t="s">
        <v>891</v>
      </c>
      <c r="H136" s="1" t="s">
        <v>892</v>
      </c>
      <c r="I136" s="2" t="s">
        <v>103</v>
      </c>
      <c r="J136" s="2" t="s">
        <v>176</v>
      </c>
    </row>
    <row r="137">
      <c r="A137" s="2" t="s">
        <v>893</v>
      </c>
      <c r="B137" s="2" t="s">
        <v>894</v>
      </c>
      <c r="C137" s="2" t="s">
        <v>895</v>
      </c>
      <c r="D137" s="20" t="s">
        <v>99</v>
      </c>
      <c r="E137" s="2">
        <v>2020.0</v>
      </c>
      <c r="F137" s="2" t="s">
        <v>896</v>
      </c>
      <c r="G137" s="2"/>
      <c r="H137" s="1" t="s">
        <v>897</v>
      </c>
      <c r="I137" s="2" t="s">
        <v>103</v>
      </c>
      <c r="J137" s="2" t="s">
        <v>274</v>
      </c>
    </row>
    <row r="138">
      <c r="A138" s="2" t="s">
        <v>898</v>
      </c>
      <c r="B138" s="2" t="s">
        <v>899</v>
      </c>
      <c r="C138" s="2" t="s">
        <v>900</v>
      </c>
      <c r="D138" s="20" t="s">
        <v>901</v>
      </c>
      <c r="E138" s="2">
        <v>2014.0</v>
      </c>
      <c r="F138" s="2" t="s">
        <v>902</v>
      </c>
      <c r="G138" s="2" t="s">
        <v>903</v>
      </c>
      <c r="H138" s="1" t="s">
        <v>904</v>
      </c>
      <c r="I138" s="2" t="s">
        <v>103</v>
      </c>
      <c r="J138" s="2" t="s">
        <v>231</v>
      </c>
    </row>
    <row r="139">
      <c r="A139" s="2" t="s">
        <v>905</v>
      </c>
      <c r="B139" s="2" t="s">
        <v>906</v>
      </c>
      <c r="C139" s="2" t="s">
        <v>907</v>
      </c>
      <c r="D139" s="20" t="s">
        <v>99</v>
      </c>
      <c r="E139" s="2">
        <v>2021.0</v>
      </c>
      <c r="F139" s="2" t="s">
        <v>908</v>
      </c>
      <c r="G139" s="2" t="s">
        <v>909</v>
      </c>
      <c r="H139" s="1" t="s">
        <v>910</v>
      </c>
      <c r="I139" s="2" t="s">
        <v>103</v>
      </c>
      <c r="J139" s="2" t="s">
        <v>155</v>
      </c>
    </row>
    <row r="140">
      <c r="A140" s="2" t="s">
        <v>911</v>
      </c>
      <c r="B140" s="2" t="s">
        <v>912</v>
      </c>
      <c r="D140" s="20" t="s">
        <v>99</v>
      </c>
      <c r="E140" s="2">
        <v>2021.0</v>
      </c>
      <c r="F140" s="2"/>
      <c r="H140" s="1" t="s">
        <v>913</v>
      </c>
      <c r="I140" s="2" t="s">
        <v>103</v>
      </c>
      <c r="J140" s="2" t="s">
        <v>914</v>
      </c>
    </row>
    <row r="141">
      <c r="A141" s="2" t="s">
        <v>915</v>
      </c>
      <c r="B141" s="2" t="s">
        <v>916</v>
      </c>
      <c r="C141" s="2" t="s">
        <v>917</v>
      </c>
      <c r="D141" s="20" t="s">
        <v>99</v>
      </c>
      <c r="E141" s="2">
        <v>2012.0</v>
      </c>
      <c r="F141" s="2" t="s">
        <v>918</v>
      </c>
      <c r="G141" s="2"/>
      <c r="H141" s="1" t="s">
        <v>919</v>
      </c>
      <c r="I141" s="2" t="s">
        <v>103</v>
      </c>
      <c r="J141" s="2" t="s">
        <v>189</v>
      </c>
    </row>
    <row r="142">
      <c r="A142" s="2" t="s">
        <v>920</v>
      </c>
      <c r="B142" s="2" t="s">
        <v>921</v>
      </c>
      <c r="C142" s="2" t="s">
        <v>922</v>
      </c>
      <c r="D142" s="20" t="s">
        <v>99</v>
      </c>
      <c r="E142" s="2">
        <v>2022.0</v>
      </c>
      <c r="F142" s="2" t="s">
        <v>923</v>
      </c>
      <c r="G142" s="2" t="s">
        <v>924</v>
      </c>
      <c r="H142" s="1" t="s">
        <v>925</v>
      </c>
      <c r="I142" s="2" t="s">
        <v>103</v>
      </c>
      <c r="J142" s="2" t="s">
        <v>189</v>
      </c>
    </row>
    <row r="143">
      <c r="A143" s="2" t="s">
        <v>926</v>
      </c>
      <c r="B143" s="2" t="s">
        <v>927</v>
      </c>
      <c r="C143" s="2" t="s">
        <v>928</v>
      </c>
      <c r="D143" s="20" t="s">
        <v>99</v>
      </c>
      <c r="E143" s="2">
        <v>2019.0</v>
      </c>
      <c r="F143" s="2" t="s">
        <v>929</v>
      </c>
      <c r="G143" s="2" t="s">
        <v>930</v>
      </c>
      <c r="H143" s="1" t="s">
        <v>931</v>
      </c>
      <c r="I143" s="2" t="s">
        <v>103</v>
      </c>
      <c r="J143" s="2" t="s">
        <v>568</v>
      </c>
    </row>
    <row r="144">
      <c r="A144" s="2" t="s">
        <v>932</v>
      </c>
      <c r="B144" s="2" t="s">
        <v>933</v>
      </c>
      <c r="C144" s="2" t="s">
        <v>934</v>
      </c>
      <c r="D144" s="20" t="s">
        <v>99</v>
      </c>
      <c r="E144" s="2">
        <v>2019.0</v>
      </c>
      <c r="F144" s="2" t="s">
        <v>935</v>
      </c>
      <c r="G144" s="2" t="s">
        <v>936</v>
      </c>
      <c r="H144" s="1" t="s">
        <v>937</v>
      </c>
      <c r="I144" s="2" t="s">
        <v>103</v>
      </c>
      <c r="J144" s="2" t="s">
        <v>274</v>
      </c>
    </row>
    <row r="145">
      <c r="A145" s="2" t="s">
        <v>938</v>
      </c>
      <c r="B145" s="2"/>
      <c r="C145" s="2"/>
      <c r="D145" s="20" t="s">
        <v>99</v>
      </c>
      <c r="E145" s="2">
        <v>2021.0</v>
      </c>
      <c r="F145" s="2" t="s">
        <v>939</v>
      </c>
      <c r="G145" s="2"/>
      <c r="H145" s="1" t="s">
        <v>940</v>
      </c>
      <c r="I145" s="2" t="s">
        <v>103</v>
      </c>
      <c r="J145" s="2" t="s">
        <v>155</v>
      </c>
    </row>
    <row r="146">
      <c r="A146" s="2" t="s">
        <v>941</v>
      </c>
      <c r="B146" s="2" t="s">
        <v>942</v>
      </c>
      <c r="C146" s="2" t="s">
        <v>943</v>
      </c>
      <c r="D146" s="20" t="s">
        <v>944</v>
      </c>
      <c r="E146" s="2">
        <v>2021.0</v>
      </c>
      <c r="F146" s="2" t="s">
        <v>945</v>
      </c>
      <c r="G146" s="2" t="s">
        <v>946</v>
      </c>
      <c r="H146" s="1" t="s">
        <v>947</v>
      </c>
      <c r="I146" s="2" t="s">
        <v>103</v>
      </c>
      <c r="J146" s="2" t="s">
        <v>274</v>
      </c>
    </row>
    <row r="147">
      <c r="A147" s="2" t="s">
        <v>948</v>
      </c>
      <c r="B147" s="2" t="s">
        <v>949</v>
      </c>
      <c r="C147" s="2" t="s">
        <v>950</v>
      </c>
      <c r="D147" s="20" t="s">
        <v>99</v>
      </c>
      <c r="E147" s="2">
        <v>2013.0</v>
      </c>
      <c r="F147" s="2" t="s">
        <v>951</v>
      </c>
      <c r="G147" s="2" t="s">
        <v>952</v>
      </c>
      <c r="H147" s="1" t="s">
        <v>953</v>
      </c>
      <c r="I147" s="2" t="s">
        <v>103</v>
      </c>
      <c r="J147" s="2" t="s">
        <v>147</v>
      </c>
    </row>
    <row r="148">
      <c r="A148" s="2" t="s">
        <v>954</v>
      </c>
      <c r="B148" s="2" t="s">
        <v>955</v>
      </c>
      <c r="C148" s="2"/>
      <c r="D148" s="20" t="s">
        <v>99</v>
      </c>
      <c r="E148" s="2">
        <v>2020.0</v>
      </c>
      <c r="F148" s="2" t="s">
        <v>956</v>
      </c>
      <c r="G148" s="2"/>
      <c r="H148" s="1" t="s">
        <v>957</v>
      </c>
      <c r="I148" s="2" t="s">
        <v>103</v>
      </c>
      <c r="J148" s="2" t="s">
        <v>353</v>
      </c>
    </row>
    <row r="149">
      <c r="A149" s="2" t="s">
        <v>958</v>
      </c>
      <c r="B149" s="2" t="s">
        <v>959</v>
      </c>
      <c r="C149" s="2" t="s">
        <v>960</v>
      </c>
      <c r="D149" s="20" t="s">
        <v>961</v>
      </c>
      <c r="E149" s="2">
        <v>2014.0</v>
      </c>
      <c r="F149" s="2" t="s">
        <v>962</v>
      </c>
      <c r="G149" s="2" t="s">
        <v>963</v>
      </c>
      <c r="H149" s="1" t="s">
        <v>964</v>
      </c>
      <c r="I149" s="2" t="s">
        <v>103</v>
      </c>
      <c r="J149" s="2" t="s">
        <v>231</v>
      </c>
    </row>
    <row r="150">
      <c r="A150" s="2" t="s">
        <v>965</v>
      </c>
      <c r="B150" s="2" t="s">
        <v>966</v>
      </c>
      <c r="C150" s="2" t="s">
        <v>967</v>
      </c>
      <c r="D150" s="20" t="s">
        <v>99</v>
      </c>
      <c r="E150" s="2">
        <v>2020.0</v>
      </c>
      <c r="F150" s="2" t="s">
        <v>968</v>
      </c>
      <c r="G150" s="2" t="s">
        <v>969</v>
      </c>
      <c r="H150" s="1" t="s">
        <v>970</v>
      </c>
      <c r="I150" s="2" t="s">
        <v>103</v>
      </c>
      <c r="J150" s="2"/>
    </row>
    <row r="151">
      <c r="A151" s="2" t="s">
        <v>971</v>
      </c>
      <c r="B151" s="2" t="s">
        <v>894</v>
      </c>
      <c r="C151" s="2" t="s">
        <v>972</v>
      </c>
      <c r="D151" s="20" t="s">
        <v>99</v>
      </c>
      <c r="E151" s="2">
        <v>2017.0</v>
      </c>
      <c r="F151" s="2" t="s">
        <v>973</v>
      </c>
      <c r="G151" s="2"/>
      <c r="H151" s="1" t="s">
        <v>974</v>
      </c>
      <c r="I151" s="2" t="s">
        <v>103</v>
      </c>
      <c r="J151" s="2" t="s">
        <v>568</v>
      </c>
    </row>
    <row r="152">
      <c r="A152" s="2" t="s">
        <v>975</v>
      </c>
      <c r="B152" s="2" t="s">
        <v>976</v>
      </c>
      <c r="C152" s="2" t="s">
        <v>977</v>
      </c>
      <c r="D152" s="20" t="s">
        <v>978</v>
      </c>
      <c r="E152" s="2">
        <v>2016.0</v>
      </c>
      <c r="F152" s="2" t="s">
        <v>979</v>
      </c>
      <c r="G152" s="2" t="s">
        <v>980</v>
      </c>
      <c r="H152" s="1" t="s">
        <v>981</v>
      </c>
      <c r="I152" s="2" t="s">
        <v>103</v>
      </c>
      <c r="J152" s="2" t="s">
        <v>147</v>
      </c>
    </row>
    <row r="153">
      <c r="A153" s="2" t="s">
        <v>982</v>
      </c>
      <c r="B153" s="2" t="s">
        <v>983</v>
      </c>
      <c r="C153" s="2" t="s">
        <v>984</v>
      </c>
      <c r="D153" s="20" t="s">
        <v>985</v>
      </c>
      <c r="E153" s="2">
        <v>2011.0</v>
      </c>
      <c r="F153" s="2" t="s">
        <v>986</v>
      </c>
      <c r="G153" s="2" t="s">
        <v>987</v>
      </c>
      <c r="H153" s="1" t="s">
        <v>988</v>
      </c>
      <c r="I153" s="2" t="s">
        <v>103</v>
      </c>
      <c r="J153" s="2" t="s">
        <v>176</v>
      </c>
    </row>
    <row r="154">
      <c r="A154" s="2" t="s">
        <v>989</v>
      </c>
      <c r="B154" s="2" t="s">
        <v>456</v>
      </c>
      <c r="C154" s="2"/>
      <c r="D154" s="20" t="s">
        <v>99</v>
      </c>
      <c r="E154" s="2">
        <v>2011.0</v>
      </c>
      <c r="F154" s="2" t="s">
        <v>990</v>
      </c>
      <c r="G154" s="2"/>
      <c r="H154" s="1" t="s">
        <v>991</v>
      </c>
      <c r="I154" s="2" t="s">
        <v>103</v>
      </c>
      <c r="J154" s="2" t="s">
        <v>121</v>
      </c>
    </row>
    <row r="155">
      <c r="A155" s="2" t="s">
        <v>992</v>
      </c>
      <c r="B155" s="2" t="s">
        <v>993</v>
      </c>
      <c r="C155" s="2" t="s">
        <v>994</v>
      </c>
      <c r="D155" s="20" t="s">
        <v>99</v>
      </c>
      <c r="E155" s="2">
        <v>2013.0</v>
      </c>
      <c r="F155" s="2" t="s">
        <v>995</v>
      </c>
      <c r="G155" s="2" t="s">
        <v>996</v>
      </c>
      <c r="H155" s="1" t="s">
        <v>997</v>
      </c>
      <c r="I155" s="2" t="s">
        <v>103</v>
      </c>
      <c r="J155" s="2" t="s">
        <v>568</v>
      </c>
    </row>
    <row r="156">
      <c r="A156" s="2" t="s">
        <v>998</v>
      </c>
      <c r="B156" s="2" t="s">
        <v>999</v>
      </c>
      <c r="C156" s="2"/>
      <c r="D156" s="20" t="s">
        <v>99</v>
      </c>
      <c r="E156" s="2">
        <v>2020.0</v>
      </c>
      <c r="F156" s="2" t="s">
        <v>1000</v>
      </c>
      <c r="G156" s="2"/>
      <c r="H156" s="1" t="s">
        <v>1001</v>
      </c>
      <c r="I156" s="2" t="s">
        <v>103</v>
      </c>
      <c r="J156" s="2" t="s">
        <v>147</v>
      </c>
    </row>
    <row r="157">
      <c r="A157" s="2" t="s">
        <v>1002</v>
      </c>
      <c r="B157" s="2" t="s">
        <v>894</v>
      </c>
      <c r="C157" s="2"/>
      <c r="D157" s="20" t="s">
        <v>99</v>
      </c>
      <c r="E157" s="2">
        <v>2020.0</v>
      </c>
      <c r="F157" s="2" t="s">
        <v>1003</v>
      </c>
      <c r="G157" s="2"/>
      <c r="H157" s="1" t="s">
        <v>1004</v>
      </c>
      <c r="I157" s="2" t="s">
        <v>103</v>
      </c>
      <c r="J157" s="2" t="s">
        <v>109</v>
      </c>
    </row>
    <row r="158">
      <c r="A158" s="2" t="s">
        <v>1005</v>
      </c>
      <c r="B158" s="2" t="s">
        <v>1006</v>
      </c>
      <c r="C158" s="2" t="s">
        <v>1007</v>
      </c>
      <c r="D158" s="20" t="s">
        <v>99</v>
      </c>
      <c r="E158" s="2">
        <v>2014.0</v>
      </c>
      <c r="F158" s="2" t="s">
        <v>1008</v>
      </c>
      <c r="G158" s="2" t="s">
        <v>1009</v>
      </c>
      <c r="H158" s="1" t="s">
        <v>1010</v>
      </c>
      <c r="I158" s="2" t="s">
        <v>103</v>
      </c>
      <c r="J158" s="2" t="s">
        <v>121</v>
      </c>
    </row>
    <row r="159">
      <c r="A159" s="2" t="s">
        <v>1011</v>
      </c>
      <c r="B159" s="2" t="s">
        <v>1012</v>
      </c>
      <c r="C159" s="2"/>
      <c r="D159" s="20" t="s">
        <v>99</v>
      </c>
      <c r="E159" s="2">
        <v>2016.0</v>
      </c>
      <c r="F159" s="2" t="s">
        <v>1013</v>
      </c>
      <c r="G159" s="2"/>
      <c r="H159" s="1" t="s">
        <v>1014</v>
      </c>
      <c r="I159" s="2" t="s">
        <v>103</v>
      </c>
      <c r="J159" s="2" t="s">
        <v>147</v>
      </c>
    </row>
    <row r="160">
      <c r="A160" s="2" t="s">
        <v>1015</v>
      </c>
      <c r="B160" s="2" t="s">
        <v>1016</v>
      </c>
      <c r="C160" s="2" t="s">
        <v>1017</v>
      </c>
      <c r="D160" s="20" t="s">
        <v>99</v>
      </c>
      <c r="E160" s="2">
        <v>2018.0</v>
      </c>
      <c r="F160" s="2" t="s">
        <v>1018</v>
      </c>
      <c r="G160" s="2" t="s">
        <v>1019</v>
      </c>
      <c r="H160" s="1" t="s">
        <v>1020</v>
      </c>
      <c r="I160" s="2" t="s">
        <v>103</v>
      </c>
      <c r="J160" s="2" t="s">
        <v>155</v>
      </c>
    </row>
    <row r="161">
      <c r="A161" s="2" t="s">
        <v>1021</v>
      </c>
      <c r="B161" s="2" t="s">
        <v>894</v>
      </c>
      <c r="C161" s="2" t="s">
        <v>1022</v>
      </c>
      <c r="D161" s="20" t="s">
        <v>1023</v>
      </c>
      <c r="E161" s="2">
        <v>2019.0</v>
      </c>
      <c r="F161" s="2" t="s">
        <v>1024</v>
      </c>
      <c r="G161" s="2" t="s">
        <v>1025</v>
      </c>
      <c r="H161" s="1" t="s">
        <v>1026</v>
      </c>
      <c r="I161" s="2" t="s">
        <v>103</v>
      </c>
      <c r="J161" s="2" t="s">
        <v>142</v>
      </c>
    </row>
    <row r="162">
      <c r="A162" s="2" t="s">
        <v>1027</v>
      </c>
      <c r="B162" s="2" t="s">
        <v>1028</v>
      </c>
      <c r="C162" s="2" t="s">
        <v>1029</v>
      </c>
      <c r="D162" s="20" t="s">
        <v>1030</v>
      </c>
      <c r="E162" s="2">
        <v>2009.0</v>
      </c>
      <c r="F162" s="2" t="s">
        <v>1031</v>
      </c>
      <c r="G162" s="2" t="s">
        <v>1032</v>
      </c>
      <c r="H162" s="1" t="s">
        <v>1033</v>
      </c>
      <c r="I162" s="2" t="s">
        <v>103</v>
      </c>
      <c r="J162" s="2" t="s">
        <v>189</v>
      </c>
    </row>
    <row r="163">
      <c r="A163" s="2" t="s">
        <v>1034</v>
      </c>
      <c r="B163" s="2" t="s">
        <v>1035</v>
      </c>
      <c r="C163" s="2" t="s">
        <v>1036</v>
      </c>
      <c r="D163" s="20" t="s">
        <v>99</v>
      </c>
      <c r="E163" s="2">
        <v>2016.0</v>
      </c>
      <c r="F163" s="2" t="s">
        <v>1037</v>
      </c>
      <c r="G163" s="2" t="s">
        <v>1038</v>
      </c>
      <c r="H163" s="1" t="s">
        <v>1039</v>
      </c>
      <c r="I163" s="2" t="s">
        <v>103</v>
      </c>
      <c r="J163" s="2" t="s">
        <v>155</v>
      </c>
    </row>
    <row r="164">
      <c r="A164" s="2" t="s">
        <v>1040</v>
      </c>
      <c r="B164" s="2" t="s">
        <v>1041</v>
      </c>
      <c r="C164" s="2" t="s">
        <v>1042</v>
      </c>
      <c r="D164" s="20" t="s">
        <v>99</v>
      </c>
      <c r="E164" s="2">
        <v>2018.0</v>
      </c>
      <c r="F164" s="2" t="s">
        <v>1043</v>
      </c>
      <c r="G164" s="2" t="s">
        <v>1044</v>
      </c>
      <c r="H164" s="1" t="s">
        <v>1045</v>
      </c>
      <c r="I164" s="2" t="s">
        <v>103</v>
      </c>
      <c r="J164" s="2" t="s">
        <v>353</v>
      </c>
    </row>
    <row r="165">
      <c r="A165" s="2" t="s">
        <v>1046</v>
      </c>
      <c r="B165" s="2" t="s">
        <v>1047</v>
      </c>
      <c r="C165" s="2" t="s">
        <v>1048</v>
      </c>
      <c r="D165" s="20" t="s">
        <v>1049</v>
      </c>
      <c r="E165" s="2">
        <v>2017.0</v>
      </c>
      <c r="F165" s="2" t="s">
        <v>1050</v>
      </c>
      <c r="G165" s="2" t="s">
        <v>1051</v>
      </c>
      <c r="H165" s="1" t="s">
        <v>1052</v>
      </c>
      <c r="I165" s="2" t="s">
        <v>103</v>
      </c>
      <c r="J165" s="2" t="s">
        <v>353</v>
      </c>
    </row>
    <row r="166">
      <c r="A166" s="2" t="s">
        <v>1053</v>
      </c>
      <c r="B166" s="2" t="s">
        <v>1054</v>
      </c>
      <c r="C166" s="2" t="s">
        <v>1055</v>
      </c>
      <c r="D166" s="20" t="s">
        <v>99</v>
      </c>
      <c r="E166" s="2">
        <v>2018.0</v>
      </c>
      <c r="F166" s="2" t="s">
        <v>1056</v>
      </c>
      <c r="G166" s="2" t="s">
        <v>1057</v>
      </c>
      <c r="H166" s="1" t="s">
        <v>1058</v>
      </c>
      <c r="I166" s="2" t="s">
        <v>103</v>
      </c>
      <c r="J166" s="2" t="s">
        <v>109</v>
      </c>
    </row>
    <row r="167">
      <c r="A167" s="2" t="s">
        <v>1059</v>
      </c>
      <c r="B167" s="2" t="s">
        <v>1060</v>
      </c>
      <c r="C167" s="2" t="s">
        <v>1061</v>
      </c>
      <c r="D167" s="20" t="s">
        <v>99</v>
      </c>
      <c r="E167" s="2">
        <v>2021.0</v>
      </c>
      <c r="F167" s="2" t="s">
        <v>1062</v>
      </c>
      <c r="G167" s="2" t="s">
        <v>1063</v>
      </c>
      <c r="H167" s="1" t="s">
        <v>1064</v>
      </c>
      <c r="I167" s="2" t="s">
        <v>103</v>
      </c>
      <c r="J167" s="2" t="s">
        <v>274</v>
      </c>
    </row>
    <row r="168">
      <c r="A168" s="2" t="s">
        <v>1065</v>
      </c>
      <c r="B168" s="2" t="s">
        <v>1066</v>
      </c>
      <c r="C168" s="2" t="s">
        <v>1067</v>
      </c>
      <c r="D168" s="20" t="s">
        <v>99</v>
      </c>
      <c r="E168" s="2">
        <v>2023.0</v>
      </c>
      <c r="F168" s="2" t="s">
        <v>1068</v>
      </c>
      <c r="G168" s="2" t="s">
        <v>1069</v>
      </c>
      <c r="H168" s="2"/>
      <c r="I168" s="2" t="s">
        <v>103</v>
      </c>
      <c r="J168" s="2" t="s">
        <v>142</v>
      </c>
    </row>
    <row r="169">
      <c r="A169" s="2" t="s">
        <v>1070</v>
      </c>
      <c r="B169" s="2" t="s">
        <v>1071</v>
      </c>
      <c r="C169" s="2" t="s">
        <v>1072</v>
      </c>
      <c r="D169" s="20" t="s">
        <v>1073</v>
      </c>
      <c r="E169" s="2">
        <v>2014.0</v>
      </c>
      <c r="F169" s="2" t="s">
        <v>1074</v>
      </c>
      <c r="G169" s="2" t="s">
        <v>1075</v>
      </c>
      <c r="H169" s="1" t="s">
        <v>1076</v>
      </c>
      <c r="I169" s="2" t="s">
        <v>103</v>
      </c>
      <c r="J169" s="2" t="s">
        <v>142</v>
      </c>
    </row>
    <row r="170">
      <c r="A170" s="2" t="s">
        <v>1077</v>
      </c>
      <c r="B170" s="2" t="s">
        <v>1078</v>
      </c>
      <c r="C170" s="2"/>
      <c r="D170" s="20" t="s">
        <v>99</v>
      </c>
      <c r="E170" s="2">
        <v>2016.0</v>
      </c>
      <c r="F170" s="2" t="s">
        <v>1079</v>
      </c>
      <c r="G170" s="2"/>
      <c r="H170" s="1" t="s">
        <v>1080</v>
      </c>
      <c r="I170" s="2" t="s">
        <v>103</v>
      </c>
      <c r="J170" s="2" t="s">
        <v>109</v>
      </c>
    </row>
    <row r="171">
      <c r="A171" s="2" t="s">
        <v>1081</v>
      </c>
      <c r="B171" s="2" t="s">
        <v>1082</v>
      </c>
      <c r="D171" s="20" t="s">
        <v>99</v>
      </c>
      <c r="E171" s="2">
        <v>2019.0</v>
      </c>
      <c r="F171" s="2" t="s">
        <v>1083</v>
      </c>
      <c r="H171" s="1" t="s">
        <v>1084</v>
      </c>
      <c r="I171" s="2" t="s">
        <v>103</v>
      </c>
      <c r="J171" s="2" t="s">
        <v>155</v>
      </c>
    </row>
    <row r="172">
      <c r="A172" s="2" t="s">
        <v>1085</v>
      </c>
      <c r="B172" s="2" t="s">
        <v>1086</v>
      </c>
      <c r="C172" s="2" t="s">
        <v>1087</v>
      </c>
      <c r="D172" s="20" t="s">
        <v>1088</v>
      </c>
      <c r="E172" s="2">
        <v>2009.0</v>
      </c>
      <c r="F172" s="2" t="s">
        <v>1089</v>
      </c>
      <c r="G172" s="2" t="s">
        <v>1090</v>
      </c>
      <c r="H172" s="1" t="s">
        <v>1091</v>
      </c>
      <c r="I172" s="2" t="s">
        <v>103</v>
      </c>
      <c r="J172" s="2" t="s">
        <v>121</v>
      </c>
    </row>
    <row r="173">
      <c r="A173" s="2" t="s">
        <v>1092</v>
      </c>
      <c r="B173" s="2" t="s">
        <v>1093</v>
      </c>
      <c r="C173" s="2" t="s">
        <v>1094</v>
      </c>
      <c r="D173" s="20" t="s">
        <v>1095</v>
      </c>
      <c r="E173" s="2">
        <v>2015.0</v>
      </c>
      <c r="F173" s="2" t="s">
        <v>1096</v>
      </c>
      <c r="G173" s="2" t="s">
        <v>1097</v>
      </c>
      <c r="H173" s="1" t="s">
        <v>1098</v>
      </c>
      <c r="I173" s="2" t="s">
        <v>103</v>
      </c>
      <c r="J173" s="2" t="s">
        <v>274</v>
      </c>
    </row>
    <row r="174">
      <c r="A174" s="2" t="s">
        <v>1099</v>
      </c>
      <c r="B174" s="2" t="s">
        <v>1100</v>
      </c>
      <c r="C174" s="2" t="s">
        <v>1101</v>
      </c>
      <c r="D174" s="20" t="s">
        <v>99</v>
      </c>
      <c r="E174" s="2">
        <v>2018.0</v>
      </c>
      <c r="F174" s="2" t="s">
        <v>1102</v>
      </c>
      <c r="G174" s="2" t="s">
        <v>1103</v>
      </c>
      <c r="H174" s="1" t="s">
        <v>1104</v>
      </c>
      <c r="I174" s="2" t="s">
        <v>103</v>
      </c>
      <c r="J174" s="2" t="s">
        <v>568</v>
      </c>
    </row>
    <row r="175">
      <c r="A175" s="2" t="s">
        <v>1105</v>
      </c>
      <c r="B175" s="2" t="s">
        <v>1106</v>
      </c>
      <c r="C175" s="2"/>
      <c r="D175" s="20" t="s">
        <v>1107</v>
      </c>
      <c r="E175" s="2">
        <v>2006.0</v>
      </c>
      <c r="F175" s="2" t="s">
        <v>1108</v>
      </c>
      <c r="G175" s="2"/>
      <c r="H175" s="1" t="s">
        <v>1109</v>
      </c>
      <c r="I175" s="2" t="s">
        <v>103</v>
      </c>
      <c r="J175" s="2" t="s">
        <v>231</v>
      </c>
    </row>
    <row r="176">
      <c r="A176" s="2" t="s">
        <v>1110</v>
      </c>
      <c r="B176" s="2" t="s">
        <v>1111</v>
      </c>
      <c r="C176" s="2" t="s">
        <v>1112</v>
      </c>
      <c r="D176" s="20" t="s">
        <v>99</v>
      </c>
      <c r="E176" s="2">
        <v>2022.0</v>
      </c>
      <c r="F176" s="2"/>
      <c r="G176" s="2" t="s">
        <v>1113</v>
      </c>
      <c r="H176" s="2"/>
      <c r="I176" s="2" t="s">
        <v>103</v>
      </c>
      <c r="J176" s="2" t="s">
        <v>231</v>
      </c>
    </row>
    <row r="177">
      <c r="A177" s="2" t="s">
        <v>1114</v>
      </c>
      <c r="B177" s="2" t="s">
        <v>1115</v>
      </c>
      <c r="C177" s="2" t="s">
        <v>1116</v>
      </c>
      <c r="D177" s="20" t="s">
        <v>99</v>
      </c>
      <c r="E177" s="2">
        <v>2019.0</v>
      </c>
      <c r="F177" s="2" t="s">
        <v>1117</v>
      </c>
      <c r="G177" s="2" t="s">
        <v>1118</v>
      </c>
      <c r="H177" s="1" t="s">
        <v>1119</v>
      </c>
      <c r="I177" s="2" t="s">
        <v>103</v>
      </c>
      <c r="J177" s="2" t="s">
        <v>121</v>
      </c>
    </row>
    <row r="178">
      <c r="A178" s="2" t="s">
        <v>1120</v>
      </c>
      <c r="B178" s="2" t="s">
        <v>1121</v>
      </c>
      <c r="C178" s="2" t="s">
        <v>1122</v>
      </c>
      <c r="D178" s="20" t="s">
        <v>99</v>
      </c>
      <c r="E178" s="2">
        <v>2019.0</v>
      </c>
      <c r="F178" s="2" t="s">
        <v>1123</v>
      </c>
      <c r="G178" s="2" t="s">
        <v>1124</v>
      </c>
      <c r="H178" s="1" t="s">
        <v>1125</v>
      </c>
      <c r="I178" s="2" t="s">
        <v>103</v>
      </c>
      <c r="J178" s="2" t="s">
        <v>147</v>
      </c>
    </row>
    <row r="179">
      <c r="A179" s="2" t="s">
        <v>1126</v>
      </c>
      <c r="B179" s="2" t="s">
        <v>1127</v>
      </c>
      <c r="C179" s="2" t="s">
        <v>1128</v>
      </c>
      <c r="D179" s="20" t="s">
        <v>99</v>
      </c>
      <c r="E179" s="2">
        <v>2019.0</v>
      </c>
      <c r="F179" s="2" t="s">
        <v>1129</v>
      </c>
      <c r="G179" s="2" t="s">
        <v>1130</v>
      </c>
      <c r="H179" s="1" t="s">
        <v>1131</v>
      </c>
      <c r="I179" s="2" t="s">
        <v>103</v>
      </c>
      <c r="J179" s="2" t="s">
        <v>1132</v>
      </c>
    </row>
    <row r="180">
      <c r="A180" s="2" t="s">
        <v>1133</v>
      </c>
      <c r="B180" s="2" t="s">
        <v>1134</v>
      </c>
      <c r="C180" s="2" t="s">
        <v>1135</v>
      </c>
      <c r="D180" s="20" t="s">
        <v>1136</v>
      </c>
      <c r="E180" s="2">
        <v>2016.0</v>
      </c>
      <c r="F180" s="2" t="s">
        <v>1137</v>
      </c>
      <c r="G180" s="2" t="s">
        <v>1138</v>
      </c>
      <c r="H180" s="1" t="s">
        <v>1139</v>
      </c>
      <c r="I180" s="2" t="s">
        <v>103</v>
      </c>
      <c r="J180" s="2" t="s">
        <v>568</v>
      </c>
    </row>
    <row r="181">
      <c r="A181" s="2" t="s">
        <v>1140</v>
      </c>
      <c r="B181" s="2" t="s">
        <v>1141</v>
      </c>
      <c r="C181" s="2" t="s">
        <v>1142</v>
      </c>
      <c r="D181" s="20" t="s">
        <v>99</v>
      </c>
      <c r="E181" s="2">
        <v>2020.0</v>
      </c>
      <c r="F181" s="2" t="s">
        <v>1143</v>
      </c>
      <c r="G181" s="2" t="s">
        <v>1144</v>
      </c>
      <c r="H181" s="1" t="s">
        <v>1145</v>
      </c>
      <c r="I181" s="2" t="s">
        <v>103</v>
      </c>
      <c r="J181" s="2" t="s">
        <v>142</v>
      </c>
    </row>
    <row r="182">
      <c r="A182" s="2" t="s">
        <v>1146</v>
      </c>
      <c r="B182" s="2" t="s">
        <v>1147</v>
      </c>
      <c r="C182" s="2" t="s">
        <v>1148</v>
      </c>
      <c r="D182" s="20" t="s">
        <v>1149</v>
      </c>
      <c r="E182" s="2">
        <v>2012.0</v>
      </c>
      <c r="F182" s="2" t="s">
        <v>1150</v>
      </c>
      <c r="G182" s="2" t="s">
        <v>1151</v>
      </c>
      <c r="H182" s="1" t="s">
        <v>1152</v>
      </c>
      <c r="I182" s="2" t="s">
        <v>103</v>
      </c>
      <c r="J182" s="2" t="s">
        <v>353</v>
      </c>
    </row>
    <row r="183">
      <c r="A183" s="2" t="s">
        <v>1153</v>
      </c>
      <c r="B183" s="2" t="s">
        <v>1154</v>
      </c>
      <c r="C183" s="2" t="s">
        <v>1155</v>
      </c>
      <c r="D183" s="20" t="s">
        <v>99</v>
      </c>
      <c r="E183" s="2">
        <v>2012.0</v>
      </c>
      <c r="F183" s="2" t="s">
        <v>1156</v>
      </c>
      <c r="G183" s="2" t="s">
        <v>1157</v>
      </c>
      <c r="H183" s="1" t="s">
        <v>1158</v>
      </c>
      <c r="I183" s="2" t="s">
        <v>103</v>
      </c>
      <c r="J183" s="2" t="s">
        <v>155</v>
      </c>
    </row>
    <row r="184">
      <c r="A184" s="2" t="s">
        <v>1159</v>
      </c>
      <c r="B184" s="2" t="s">
        <v>1160</v>
      </c>
      <c r="C184" s="2" t="s">
        <v>1161</v>
      </c>
      <c r="D184" s="20" t="s">
        <v>1162</v>
      </c>
      <c r="E184" s="2">
        <v>2016.0</v>
      </c>
      <c r="F184" s="2" t="s">
        <v>1163</v>
      </c>
      <c r="G184" s="2" t="s">
        <v>1164</v>
      </c>
      <c r="H184" s="1" t="s">
        <v>1165</v>
      </c>
      <c r="I184" s="2" t="s">
        <v>103</v>
      </c>
      <c r="J184" s="2" t="s">
        <v>353</v>
      </c>
    </row>
    <row r="185">
      <c r="A185" s="2" t="s">
        <v>1166</v>
      </c>
      <c r="B185" s="2" t="s">
        <v>1167</v>
      </c>
      <c r="C185" s="2" t="s">
        <v>1168</v>
      </c>
      <c r="D185" s="20" t="s">
        <v>99</v>
      </c>
      <c r="E185" s="2">
        <v>2020.0</v>
      </c>
      <c r="F185" s="2" t="s">
        <v>1169</v>
      </c>
      <c r="G185" s="2" t="s">
        <v>1170</v>
      </c>
      <c r="H185" s="1" t="s">
        <v>1171</v>
      </c>
      <c r="I185" s="2" t="s">
        <v>103</v>
      </c>
      <c r="J185" s="2" t="s">
        <v>142</v>
      </c>
    </row>
    <row r="186">
      <c r="A186" s="2" t="s">
        <v>1172</v>
      </c>
      <c r="B186" s="2" t="s">
        <v>1173</v>
      </c>
      <c r="D186" s="20" t="s">
        <v>99</v>
      </c>
      <c r="E186" s="2">
        <v>2020.0</v>
      </c>
      <c r="F186" s="2" t="s">
        <v>556</v>
      </c>
      <c r="H186" s="1" t="s">
        <v>1174</v>
      </c>
      <c r="I186" s="2" t="s">
        <v>103</v>
      </c>
      <c r="J186" s="2" t="s">
        <v>142</v>
      </c>
    </row>
    <row r="187">
      <c r="A187" s="2" t="s">
        <v>1175</v>
      </c>
      <c r="B187" s="2" t="s">
        <v>1176</v>
      </c>
      <c r="C187" s="2" t="s">
        <v>1177</v>
      </c>
      <c r="D187" s="20" t="s">
        <v>1178</v>
      </c>
      <c r="E187" s="2">
        <v>2013.0</v>
      </c>
      <c r="F187" s="2" t="s">
        <v>1179</v>
      </c>
      <c r="G187" s="2" t="s">
        <v>1180</v>
      </c>
      <c r="H187" s="1" t="s">
        <v>1181</v>
      </c>
      <c r="I187" s="2" t="s">
        <v>103</v>
      </c>
      <c r="J187" s="2" t="s">
        <v>189</v>
      </c>
    </row>
    <row r="188">
      <c r="A188" s="2" t="s">
        <v>1182</v>
      </c>
      <c r="B188" s="2" t="s">
        <v>1183</v>
      </c>
      <c r="C188" s="2" t="s">
        <v>1184</v>
      </c>
      <c r="D188" s="20" t="s">
        <v>99</v>
      </c>
      <c r="E188" s="2">
        <v>2018.0</v>
      </c>
      <c r="F188" s="2" t="s">
        <v>1185</v>
      </c>
      <c r="G188" s="2" t="s">
        <v>1186</v>
      </c>
      <c r="I188" s="2" t="s">
        <v>103</v>
      </c>
      <c r="J188" s="2" t="s">
        <v>176</v>
      </c>
    </row>
    <row r="189">
      <c r="A189" s="2" t="s">
        <v>1187</v>
      </c>
      <c r="B189" s="2" t="s">
        <v>1188</v>
      </c>
      <c r="C189" s="2" t="s">
        <v>1189</v>
      </c>
      <c r="D189" s="20" t="s">
        <v>1190</v>
      </c>
      <c r="E189" s="2">
        <v>2002.0</v>
      </c>
      <c r="F189" s="2" t="s">
        <v>1191</v>
      </c>
      <c r="G189" s="2" t="s">
        <v>1192</v>
      </c>
      <c r="H189" s="1" t="s">
        <v>1193</v>
      </c>
      <c r="I189" s="2" t="s">
        <v>103</v>
      </c>
      <c r="J189" s="2" t="s">
        <v>176</v>
      </c>
    </row>
    <row r="190">
      <c r="A190" s="2" t="s">
        <v>1194</v>
      </c>
      <c r="B190" s="2" t="s">
        <v>1195</v>
      </c>
      <c r="D190" s="20" t="s">
        <v>99</v>
      </c>
      <c r="E190" s="2">
        <v>2020.0</v>
      </c>
      <c r="F190" s="2" t="s">
        <v>1196</v>
      </c>
      <c r="H190" s="1" t="s">
        <v>1197</v>
      </c>
      <c r="I190" s="2" t="s">
        <v>103</v>
      </c>
      <c r="J190" s="2" t="s">
        <v>109</v>
      </c>
    </row>
    <row r="191">
      <c r="A191" s="2" t="s">
        <v>1198</v>
      </c>
      <c r="B191" s="2" t="s">
        <v>1199</v>
      </c>
      <c r="D191" s="20" t="s">
        <v>99</v>
      </c>
      <c r="E191" s="2">
        <v>2019.0</v>
      </c>
      <c r="F191" s="2" t="s">
        <v>1200</v>
      </c>
      <c r="H191" s="1" t="s">
        <v>1201</v>
      </c>
      <c r="I191" s="2" t="s">
        <v>103</v>
      </c>
      <c r="J191" s="2" t="s">
        <v>104</v>
      </c>
    </row>
    <row r="192">
      <c r="A192" s="2" t="s">
        <v>1202</v>
      </c>
      <c r="B192" s="2" t="s">
        <v>1203</v>
      </c>
      <c r="C192" s="2" t="s">
        <v>1204</v>
      </c>
      <c r="D192" s="20" t="s">
        <v>1205</v>
      </c>
      <c r="E192" s="2">
        <v>2013.0</v>
      </c>
      <c r="F192" s="2" t="s">
        <v>1206</v>
      </c>
      <c r="G192" s="2" t="s">
        <v>1207</v>
      </c>
      <c r="H192" s="1" t="s">
        <v>1208</v>
      </c>
      <c r="I192" s="2" t="s">
        <v>103</v>
      </c>
      <c r="J192" s="2" t="s">
        <v>353</v>
      </c>
    </row>
    <row r="193">
      <c r="A193" s="2" t="s">
        <v>1209</v>
      </c>
      <c r="B193" s="2" t="s">
        <v>1210</v>
      </c>
      <c r="C193" s="2" t="s">
        <v>1211</v>
      </c>
      <c r="D193" s="20" t="s">
        <v>1212</v>
      </c>
      <c r="E193" s="2">
        <v>2010.0</v>
      </c>
      <c r="F193" s="2" t="s">
        <v>1213</v>
      </c>
      <c r="G193" s="2" t="s">
        <v>1214</v>
      </c>
      <c r="H193" s="1" t="s">
        <v>1215</v>
      </c>
      <c r="I193" s="2" t="s">
        <v>103</v>
      </c>
      <c r="J193" s="2" t="s">
        <v>189</v>
      </c>
    </row>
    <row r="194">
      <c r="A194" s="2" t="s">
        <v>1216</v>
      </c>
      <c r="B194" s="2" t="s">
        <v>1217</v>
      </c>
      <c r="C194" s="2" t="s">
        <v>1218</v>
      </c>
      <c r="D194" s="20" t="s">
        <v>99</v>
      </c>
      <c r="E194" s="2">
        <v>2018.0</v>
      </c>
      <c r="F194" s="2" t="s">
        <v>1219</v>
      </c>
      <c r="G194" s="2" t="s">
        <v>1220</v>
      </c>
      <c r="H194" s="1" t="s">
        <v>1221</v>
      </c>
      <c r="I194" s="2" t="s">
        <v>103</v>
      </c>
      <c r="J194" s="2" t="s">
        <v>274</v>
      </c>
    </row>
    <row r="195">
      <c r="A195" s="2" t="s">
        <v>1222</v>
      </c>
      <c r="B195" s="2" t="s">
        <v>1223</v>
      </c>
      <c r="D195" s="20" t="s">
        <v>99</v>
      </c>
      <c r="E195" s="2">
        <v>2017.0</v>
      </c>
      <c r="F195" s="2" t="s">
        <v>1224</v>
      </c>
      <c r="H195" s="1" t="s">
        <v>1225</v>
      </c>
      <c r="I195" s="2" t="s">
        <v>103</v>
      </c>
      <c r="J195" s="2" t="s">
        <v>155</v>
      </c>
    </row>
    <row r="196">
      <c r="A196" s="2" t="s">
        <v>1226</v>
      </c>
      <c r="B196" s="2" t="s">
        <v>1227</v>
      </c>
      <c r="D196" s="20" t="s">
        <v>99</v>
      </c>
      <c r="E196" s="2">
        <v>2021.0</v>
      </c>
      <c r="F196" s="2" t="s">
        <v>1228</v>
      </c>
      <c r="H196" s="1" t="s">
        <v>1229</v>
      </c>
      <c r="I196" s="2" t="s">
        <v>103</v>
      </c>
      <c r="J196" s="2" t="s">
        <v>353</v>
      </c>
    </row>
    <row r="197">
      <c r="A197" s="2" t="s">
        <v>1230</v>
      </c>
      <c r="B197" s="2" t="s">
        <v>1231</v>
      </c>
      <c r="C197" s="2" t="s">
        <v>1232</v>
      </c>
      <c r="D197" s="20" t="s">
        <v>99</v>
      </c>
      <c r="E197" s="2">
        <v>2019.0</v>
      </c>
      <c r="F197" s="2" t="s">
        <v>1233</v>
      </c>
      <c r="G197" s="2" t="s">
        <v>1234</v>
      </c>
      <c r="H197" s="1" t="s">
        <v>1235</v>
      </c>
      <c r="I197" s="2" t="s">
        <v>103</v>
      </c>
      <c r="J197" s="2" t="s">
        <v>353</v>
      </c>
    </row>
    <row r="198">
      <c r="A198" s="2" t="s">
        <v>1236</v>
      </c>
      <c r="B198" s="2" t="s">
        <v>1237</v>
      </c>
      <c r="D198" s="20" t="s">
        <v>99</v>
      </c>
      <c r="E198" s="2">
        <v>2007.0</v>
      </c>
      <c r="F198" s="2" t="s">
        <v>1238</v>
      </c>
      <c r="H198" s="1" t="s">
        <v>1239</v>
      </c>
      <c r="I198" s="2" t="s">
        <v>103</v>
      </c>
    </row>
    <row r="199">
      <c r="A199" s="2" t="s">
        <v>1240</v>
      </c>
      <c r="B199" s="2" t="s">
        <v>1241</v>
      </c>
      <c r="C199" s="2" t="s">
        <v>1242</v>
      </c>
      <c r="D199" s="20" t="s">
        <v>1243</v>
      </c>
      <c r="E199" s="2">
        <v>2007.0</v>
      </c>
      <c r="F199" s="2" t="s">
        <v>1244</v>
      </c>
      <c r="G199" s="2" t="s">
        <v>1245</v>
      </c>
      <c r="H199" s="1" t="s">
        <v>1246</v>
      </c>
      <c r="I199" s="2" t="s">
        <v>103</v>
      </c>
      <c r="J199" s="2" t="s">
        <v>1132</v>
      </c>
    </row>
    <row r="200">
      <c r="A200" s="2" t="s">
        <v>1247</v>
      </c>
      <c r="B200" s="2" t="s">
        <v>1248</v>
      </c>
      <c r="C200" s="2" t="s">
        <v>1249</v>
      </c>
      <c r="D200" s="20" t="s">
        <v>99</v>
      </c>
      <c r="E200" s="2">
        <v>2019.0</v>
      </c>
      <c r="F200" s="2" t="s">
        <v>1250</v>
      </c>
      <c r="G200" s="2" t="s">
        <v>1251</v>
      </c>
      <c r="H200" s="1" t="s">
        <v>1252</v>
      </c>
      <c r="I200" s="2" t="s">
        <v>103</v>
      </c>
      <c r="J200" s="2" t="s">
        <v>109</v>
      </c>
    </row>
    <row r="201">
      <c r="A201" s="2" t="s">
        <v>1253</v>
      </c>
      <c r="B201" s="2" t="s">
        <v>1254</v>
      </c>
      <c r="C201" s="2" t="s">
        <v>1255</v>
      </c>
      <c r="D201" s="20" t="s">
        <v>1256</v>
      </c>
      <c r="E201" s="2">
        <v>2016.0</v>
      </c>
      <c r="F201" s="2" t="s">
        <v>1257</v>
      </c>
      <c r="G201" s="2" t="s">
        <v>1258</v>
      </c>
      <c r="H201" s="1" t="s">
        <v>1259</v>
      </c>
      <c r="I201" s="2" t="s">
        <v>103</v>
      </c>
      <c r="J201" s="2" t="s">
        <v>109</v>
      </c>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row r="995">
      <c r="D995" s="21"/>
    </row>
    <row r="996">
      <c r="D996" s="21"/>
    </row>
    <row r="997">
      <c r="D997" s="21"/>
    </row>
    <row r="998">
      <c r="D998" s="21"/>
    </row>
    <row r="999">
      <c r="D999" s="21"/>
    </row>
    <row r="1000">
      <c r="D1000" s="21"/>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3"/>
    <hyperlink r:id="rId12" ref="H14"/>
    <hyperlink r:id="rId13" ref="H15"/>
    <hyperlink r:id="rId14" ref="H16"/>
    <hyperlink r:id="rId15" ref="H17"/>
    <hyperlink r:id="rId16" ref="H18"/>
    <hyperlink r:id="rId17" ref="H19"/>
    <hyperlink r:id="rId18" ref="H20"/>
    <hyperlink r:id="rId19" ref="H21"/>
    <hyperlink r:id="rId20" ref="H22"/>
    <hyperlink r:id="rId21" ref="H23"/>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A41"/>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 r:id="rId61" ref="H63"/>
    <hyperlink r:id="rId62" ref="H64"/>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 r:id="rId86" ref="H88"/>
    <hyperlink r:id="rId87" ref="H89"/>
    <hyperlink r:id="rId88" ref="H90"/>
    <hyperlink r:id="rId89" ref="H91"/>
    <hyperlink r:id="rId90" ref="H92"/>
    <hyperlink r:id="rId91" ref="H93"/>
    <hyperlink r:id="rId92" ref="H94"/>
    <hyperlink r:id="rId93" ref="H95"/>
    <hyperlink r:id="rId94" ref="H96"/>
    <hyperlink r:id="rId95" ref="H97"/>
    <hyperlink r:id="rId96" ref="H98"/>
    <hyperlink r:id="rId97" ref="H99"/>
    <hyperlink r:id="rId98" ref="H100"/>
    <hyperlink r:id="rId99" ref="H101"/>
    <hyperlink r:id="rId100" ref="H102"/>
    <hyperlink r:id="rId101" ref="H103"/>
    <hyperlink r:id="rId102" ref="H104"/>
    <hyperlink r:id="rId103" ref="H105"/>
    <hyperlink r:id="rId104" ref="H106"/>
    <hyperlink r:id="rId105" ref="H107"/>
    <hyperlink r:id="rId106" ref="H108"/>
    <hyperlink r:id="rId107" ref="H109"/>
    <hyperlink r:id="rId108" ref="H110"/>
    <hyperlink r:id="rId109" ref="H111"/>
    <hyperlink r:id="rId110" ref="H112"/>
    <hyperlink r:id="rId111" ref="H113"/>
    <hyperlink r:id="rId112" ref="H114"/>
    <hyperlink r:id="rId113" ref="H115"/>
    <hyperlink r:id="rId114" ref="H116"/>
    <hyperlink r:id="rId115" ref="H117"/>
    <hyperlink r:id="rId116" ref="H118"/>
    <hyperlink r:id="rId117" ref="H119"/>
    <hyperlink r:id="rId118" ref="H120"/>
    <hyperlink r:id="rId119" ref="H121"/>
    <hyperlink r:id="rId120" ref="H122"/>
    <hyperlink r:id="rId121" ref="H123"/>
    <hyperlink r:id="rId122" ref="H124"/>
    <hyperlink r:id="rId123" ref="H125"/>
    <hyperlink r:id="rId124" ref="H126"/>
    <hyperlink r:id="rId125" ref="H127"/>
    <hyperlink r:id="rId126" ref="H128"/>
    <hyperlink r:id="rId127" ref="H129"/>
    <hyperlink r:id="rId128" ref="H130"/>
    <hyperlink r:id="rId129" ref="H131"/>
    <hyperlink r:id="rId130" ref="H132"/>
    <hyperlink r:id="rId131" ref="H133"/>
    <hyperlink r:id="rId132" ref="H134"/>
    <hyperlink r:id="rId133" ref="H135"/>
    <hyperlink r:id="rId134" ref="H136"/>
    <hyperlink r:id="rId135" ref="H137"/>
    <hyperlink r:id="rId136" ref="H138"/>
    <hyperlink r:id="rId137" ref="H139"/>
    <hyperlink r:id="rId138" ref="H140"/>
    <hyperlink r:id="rId139" ref="H141"/>
    <hyperlink r:id="rId140" ref="H142"/>
    <hyperlink r:id="rId141" ref="H143"/>
    <hyperlink r:id="rId142" ref="H144"/>
    <hyperlink r:id="rId143" ref="H145"/>
    <hyperlink r:id="rId144" ref="H146"/>
    <hyperlink r:id="rId145" ref="H147"/>
    <hyperlink r:id="rId146" ref="H148"/>
    <hyperlink r:id="rId147" ref="H149"/>
    <hyperlink r:id="rId148" ref="H150"/>
    <hyperlink r:id="rId149" ref="H151"/>
    <hyperlink r:id="rId150" ref="H152"/>
    <hyperlink r:id="rId151" ref="H153"/>
    <hyperlink r:id="rId152" ref="H154"/>
    <hyperlink r:id="rId153" ref="H155"/>
    <hyperlink r:id="rId154" ref="H156"/>
    <hyperlink r:id="rId155" ref="H157"/>
    <hyperlink r:id="rId156" ref="H158"/>
    <hyperlink r:id="rId157" ref="H159"/>
    <hyperlink r:id="rId158" ref="H160"/>
    <hyperlink r:id="rId159" ref="H161"/>
    <hyperlink r:id="rId160" ref="H162"/>
    <hyperlink r:id="rId161" ref="H163"/>
    <hyperlink r:id="rId162" ref="H164"/>
    <hyperlink r:id="rId163" ref="H165"/>
    <hyperlink r:id="rId164" ref="H166"/>
    <hyperlink r:id="rId165" ref="H167"/>
    <hyperlink r:id="rId166" ref="H169"/>
    <hyperlink r:id="rId167" ref="H170"/>
    <hyperlink r:id="rId168" ref="H171"/>
    <hyperlink r:id="rId169" ref="H172"/>
    <hyperlink r:id="rId170" ref="H173"/>
    <hyperlink r:id="rId171" ref="H174"/>
    <hyperlink r:id="rId172" ref="H175"/>
    <hyperlink r:id="rId173" ref="H177"/>
    <hyperlink r:id="rId174" ref="H178"/>
    <hyperlink r:id="rId175" ref="H179"/>
    <hyperlink r:id="rId176" ref="H180"/>
    <hyperlink r:id="rId177" ref="H181"/>
    <hyperlink r:id="rId178" ref="H182"/>
    <hyperlink r:id="rId179" ref="H183"/>
    <hyperlink r:id="rId180" ref="H184"/>
    <hyperlink r:id="rId181" ref="H185"/>
    <hyperlink r:id="rId182" ref="H186"/>
    <hyperlink r:id="rId183" ref="H187"/>
    <hyperlink r:id="rId184" ref="H189"/>
    <hyperlink r:id="rId185" ref="H190"/>
    <hyperlink r:id="rId186" ref="H191"/>
    <hyperlink r:id="rId187" ref="H192"/>
    <hyperlink r:id="rId188" ref="H193"/>
    <hyperlink r:id="rId189" ref="H194"/>
    <hyperlink r:id="rId190" ref="H195"/>
    <hyperlink r:id="rId191" ref="H196"/>
    <hyperlink r:id="rId192" ref="H197"/>
    <hyperlink r:id="rId193" ref="H198"/>
    <hyperlink r:id="rId194" ref="H199"/>
    <hyperlink r:id="rId195" ref="H200"/>
    <hyperlink r:id="rId196" ref="H201"/>
  </hyperlinks>
  <drawing r:id="rId19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1260</v>
      </c>
    </row>
    <row r="2">
      <c r="A2" s="2" t="s">
        <v>1261</v>
      </c>
    </row>
    <row r="4">
      <c r="A4" s="6" t="str">
        <f>IFERROR(__xludf.DUMMYFUNCTION("IMPORTXML(A1,A2)"),"biohymed network")</f>
        <v>biohymed network</v>
      </c>
    </row>
    <row r="5">
      <c r="A5" s="6" t="str">
        <f>IFERROR(__xludf.DUMMYFUNCTION("""COMPUTED_VALUE"""),"BioMan4R2")</f>
        <v>BioMan4R2</v>
      </c>
    </row>
    <row r="6">
      <c r="A6" s="6" t="str">
        <f>IFERROR(__xludf.DUMMYFUNCTION("""COMPUTED_VALUE"""),"BSTART")</f>
        <v>BSTART</v>
      </c>
    </row>
    <row r="7">
      <c r="A7" s="6" t="str">
        <f>IFERROR(__xludf.DUMMYFUNCTION("""COMPUTED_VALUE"""),"Codex4SMEs")</f>
        <v>Codex4SMEs</v>
      </c>
    </row>
    <row r="8">
      <c r="A8" s="6" t="str">
        <f>IFERROR(__xludf.DUMMYFUNCTION("""COMPUTED_VALUE"""),"Einschnitte - Einblicke")</f>
        <v>Einschnitte - Einblicke</v>
      </c>
    </row>
    <row r="9">
      <c r="A9" s="6" t="str">
        <f>IFERROR(__xludf.DUMMYFUNCTION("""COMPUTED_VALUE"""),"Science2Start")</f>
        <v>Science2Start</v>
      </c>
    </row>
    <row r="10">
      <c r="A10" s="6" t="str">
        <f>IFERROR(__xludf.DUMMYFUNCTION("""COMPUTED_VALUE"""),"smart analytics network")</f>
        <v>smart analytics network</v>
      </c>
    </row>
    <row r="11">
      <c r="A11" s="6" t="str">
        <f>IFERROR(__xludf.DUMMYFUNCTION("""COMPUTED_VALUE"""),"Technology Transfer")</f>
        <v>Technology Transfer</v>
      </c>
    </row>
    <row r="12">
      <c r="A12" s="6" t="str">
        <f>IFERROR(__xludf.DUMMYFUNCTION("""COMPUTED_VALUE"""),"project history")</f>
        <v>project history</v>
      </c>
    </row>
    <row r="13">
      <c r="A13" s="6" t="str">
        <f>IFERROR(__xludf.DUMMYFUNCTION("""COMPUTED_VALUE"""),"Database")</f>
        <v>Database</v>
      </c>
    </row>
    <row r="14">
      <c r="A14" s="6" t="str">
        <f>IFERROR(__xludf.DUMMYFUNCTION("""COMPUTED_VALUE"""),"JobPortal")</f>
        <v>JobPortal</v>
      </c>
    </row>
    <row r="15">
      <c r="A15" s="6" t="str">
        <f>IFERROR(__xludf.DUMMYFUNCTION("""COMPUTED_VALUE"""),"News")</f>
        <v>News</v>
      </c>
    </row>
    <row r="16">
      <c r="A16" s="6" t="str">
        <f>IFERROR(__xludf.DUMMYFUNCTION("""COMPUTED_VALUE"""),"Events")</f>
        <v>Events</v>
      </c>
    </row>
    <row r="17">
      <c r="A17" s="6" t="str">
        <f>IFERROR(__xludf.DUMMYFUNCTION("""COMPUTED_VALUE"""),"Announcements")</f>
        <v>Announcements</v>
      </c>
    </row>
    <row r="18">
      <c r="A18" s="6" t="str">
        <f>IFERROR(__xludf.DUMMYFUNCTION("""COMPUTED_VALUE"""),"Team")</f>
        <v>Team</v>
      </c>
    </row>
    <row r="19">
      <c r="A19" s="6" t="str">
        <f>IFERROR(__xludf.DUMMYFUNCTION("""COMPUTED_VALUE"""),"Supervisory board")</f>
        <v>Supervisory board</v>
      </c>
    </row>
    <row r="20">
      <c r="A20" s="6" t="str">
        <f>IFERROR(__xludf.DUMMYFUNCTION("""COMPUTED_VALUE"""),"Shareholders")</f>
        <v>Shareholders</v>
      </c>
    </row>
    <row r="21">
      <c r="A21" s="6" t="str">
        <f>IFERROR(__xludf.DUMMYFUNCTION("""COMPUTED_VALUE"""),"Press")</f>
        <v>Press</v>
      </c>
    </row>
    <row r="22">
      <c r="A22" s="6" t="str">
        <f>IFERROR(__xludf.DUMMYFUNCTION("""COMPUTED_VALUE"""),"E-Mail News")</f>
        <v>E-Mail News</v>
      </c>
    </row>
    <row r="23">
      <c r="A23" s="6" t="str">
        <f>IFERROR(__xludf.DUMMYFUNCTION("""COMPUTED_VALUE"""),"Contact")</f>
        <v>Contact</v>
      </c>
    </row>
    <row r="24">
      <c r="A24" s="6" t="str">
        <f>IFERROR(__xludf.DUMMYFUNCTION("""COMPUTED_VALUE"""),"DE")</f>
        <v>DE</v>
      </c>
    </row>
    <row r="25">
      <c r="A25" s="6" t="str">
        <f>IFERROR(__xludf.DUMMYFUNCTION("""COMPUTED_VALUE"""),"EN")</f>
        <v>EN</v>
      </c>
    </row>
    <row r="26">
      <c r="A26" s="6" t="str">
        <f>IFERROR(__xludf.DUMMYFUNCTION("""COMPUTED_VALUE"""),"2E mechatronic GmbH &amp; Co. KG")</f>
        <v>2E mechatronic GmbH &amp; Co. KG</v>
      </c>
    </row>
    <row r="27">
      <c r="A27" s="6" t="str">
        <f>IFERROR(__xludf.DUMMYFUNCTION("""COMPUTED_VALUE"""),"2E mechatronic GmbH &amp; Co. KG")</f>
        <v>2E mechatronic GmbH &amp; Co. KG</v>
      </c>
    </row>
    <row r="28">
      <c r="A28" s="6" t="str">
        <f>IFERROR(__xludf.DUMMYFUNCTION("""COMPUTED_VALUE"""),"3a-diagnostics GmbH")</f>
        <v>3a-diagnostics GmbH</v>
      </c>
    </row>
    <row r="29">
      <c r="A29" s="6" t="str">
        <f>IFERROR(__xludf.DUMMYFUNCTION("""COMPUTED_VALUE"""),"3a-diagnostics GmbH")</f>
        <v>3a-diagnostics GmbH</v>
      </c>
    </row>
    <row r="30">
      <c r="A30" s="6" t="str">
        <f>IFERROR(__xludf.DUMMYFUNCTION("""COMPUTED_VALUE"""),"3D Eyes Computervisualisierung")</f>
        <v>3D Eyes Computervisualisierung</v>
      </c>
    </row>
    <row r="31">
      <c r="A31" s="6" t="str">
        <f>IFERROR(__xludf.DUMMYFUNCTION("""COMPUTED_VALUE"""),"3D Eyes Computervisualisierung")</f>
        <v>3D Eyes Computervisualisierung</v>
      </c>
    </row>
    <row r="32">
      <c r="A32" s="6" t="str">
        <f>IFERROR(__xludf.DUMMYFUNCTION("""COMPUTED_VALUE"""),"3mach GmbH")</f>
        <v>3mach GmbH</v>
      </c>
    </row>
    <row r="33">
      <c r="A33" s="6" t="str">
        <f>IFERROR(__xludf.DUMMYFUNCTION("""COMPUTED_VALUE"""),"3mach GmbH")</f>
        <v>3mach GmbH</v>
      </c>
    </row>
    <row r="34">
      <c r="A34" s="6" t="str">
        <f>IFERROR(__xludf.DUMMYFUNCTION("""COMPUTED_VALUE"""),"4base lab AG advanced molecular analysis")</f>
        <v>4base lab AG advanced molecular analysis</v>
      </c>
    </row>
    <row r="35">
      <c r="A35" s="6" t="str">
        <f>IFERROR(__xludf.DUMMYFUNCTION("""COMPUTED_VALUE"""),"4base lab AG advanced molecular analysis")</f>
        <v>4base lab AG advanced molecular analysis</v>
      </c>
    </row>
    <row r="36">
      <c r="A36" s="6" t="str">
        <f>IFERROR(__xludf.DUMMYFUNCTION("""COMPUTED_VALUE"""),"4e solutions GmbH")</f>
        <v>4e solutions GmbH</v>
      </c>
    </row>
    <row r="37">
      <c r="A37" s="6" t="str">
        <f>IFERROR(__xludf.DUMMYFUNCTION("""COMPUTED_VALUE"""),"4e solutions GmbH")</f>
        <v>4e solutions GmbH</v>
      </c>
    </row>
    <row r="38">
      <c r="A38" s="6" t="str">
        <f>IFERROR(__xludf.DUMMYFUNCTION("""COMPUTED_VALUE"""),"AAT Alber Antriebstechnik GmbH")</f>
        <v>AAT Alber Antriebstechnik GmbH</v>
      </c>
    </row>
    <row r="39">
      <c r="A39" s="6" t="str">
        <f>IFERROR(__xludf.DUMMYFUNCTION("""COMPUTED_VALUE"""),"AAT Alber Antriebstechnik GmbH")</f>
        <v>AAT Alber Antriebstechnik GmbH</v>
      </c>
    </row>
    <row r="40">
      <c r="A40" s="6" t="str">
        <f>IFERROR(__xludf.DUMMYFUNCTION("""COMPUTED_VALUE"""),"ABW GmbH")</f>
        <v>ABW GmbH</v>
      </c>
    </row>
    <row r="41">
      <c r="A41" s="6" t="str">
        <f>IFERROR(__xludf.DUMMYFUNCTION("""COMPUTED_VALUE"""),"ABW GmbH")</f>
        <v>ABW GmbH</v>
      </c>
    </row>
    <row r="42">
      <c r="A42" s="6" t="str">
        <f>IFERROR(__xludf.DUMMYFUNCTION("""COMPUTED_VALUE"""),"Acousia Therapeutics GmbH")</f>
        <v>Acousia Therapeutics GmbH</v>
      </c>
    </row>
    <row r="43">
      <c r="A43" s="6" t="str">
        <f>IFERROR(__xludf.DUMMYFUNCTION("""COMPUTED_VALUE"""),"Acousia Therapeutics GmbH")</f>
        <v>Acousia Therapeutics GmbH</v>
      </c>
    </row>
    <row r="44">
      <c r="A44" s="6" t="str">
        <f>IFERROR(__xludf.DUMMYFUNCTION("""COMPUTED_VALUE"""),"Actimi GmbH")</f>
        <v>Actimi GmbH</v>
      </c>
    </row>
    <row r="45">
      <c r="A45" s="6" t="str">
        <f>IFERROR(__xludf.DUMMYFUNCTION("""COMPUTED_VALUE"""),"Actimi GmbH")</f>
        <v>Actimi GmbH</v>
      </c>
    </row>
    <row r="46">
      <c r="A46" s="6" t="str">
        <f>IFERROR(__xludf.DUMMYFUNCTION("""COMPUTED_VALUE"""),"adesso SE")</f>
        <v>adesso SE</v>
      </c>
    </row>
    <row r="47">
      <c r="A47" s="6" t="str">
        <f>IFERROR(__xludf.DUMMYFUNCTION("""COMPUTED_VALUE"""),"adesso SE")</f>
        <v>adesso SE</v>
      </c>
    </row>
    <row r="48">
      <c r="A48" s="6" t="str">
        <f>IFERROR(__xludf.DUMMYFUNCTION("""COMPUTED_VALUE"""),"ADIRO Automatisierungstechnik GmbH")</f>
        <v>ADIRO Automatisierungstechnik GmbH</v>
      </c>
    </row>
    <row r="49">
      <c r="A49" s="6" t="str">
        <f>IFERROR(__xludf.DUMMYFUNCTION("""COMPUTED_VALUE"""),"ADIRO Automatisierungstechnik GmbH")</f>
        <v>ADIRO Automatisierungstechnik GmbH</v>
      </c>
    </row>
    <row r="50">
      <c r="A50" s="6" t="str">
        <f>IFERROR(__xludf.DUMMYFUNCTION("""COMPUTED_VALUE"""),"AGON Pharma GmbH")</f>
        <v>AGON Pharma GmbH</v>
      </c>
    </row>
    <row r="51">
      <c r="A51" s="6" t="str">
        <f>IFERROR(__xludf.DUMMYFUNCTION("""COMPUTED_VALUE"""),"AGON Pharma GmbH")</f>
        <v>AGON Pharma GmbH</v>
      </c>
    </row>
    <row r="52">
      <c r="A52" s="6" t="str">
        <f>IFERROR(__xludf.DUMMYFUNCTION("""COMPUTED_VALUE"""),"AHF analysentechnik AG")</f>
        <v>AHF analysentechnik AG</v>
      </c>
    </row>
    <row r="53">
      <c r="A53" s="6" t="str">
        <f>IFERROR(__xludf.DUMMYFUNCTION("""COMPUTED_VALUE"""),"AHF analysentechnik AG")</f>
        <v>AHF analysentechnik AG</v>
      </c>
    </row>
    <row r="54">
      <c r="A54" s="6" t="str">
        <f>IFERROR(__xludf.DUMMYFUNCTION("""COMPUTED_VALUE"""),"AID GmbH")</f>
        <v>AID GmbH</v>
      </c>
    </row>
    <row r="55">
      <c r="A55" s="6" t="str">
        <f>IFERROR(__xludf.DUMMYFUNCTION("""COMPUTED_VALUE"""),"AID GmbH")</f>
        <v>AID GmbH</v>
      </c>
    </row>
    <row r="56">
      <c r="A56" s="6" t="str">
        <f>IFERROR(__xludf.DUMMYFUNCTION("""COMPUTED_VALUE"""),"AIRAmed GmbH")</f>
        <v>AIRAmed GmbH</v>
      </c>
    </row>
    <row r="57">
      <c r="A57" s="6" t="str">
        <f>IFERROR(__xludf.DUMMYFUNCTION("""COMPUTED_VALUE"""),"AIRAmed GmbH")</f>
        <v>AIRAmed GmbH</v>
      </c>
    </row>
    <row r="58">
      <c r="A58" s="6" t="str">
        <f>IFERROR(__xludf.DUMMYFUNCTION("""COMPUTED_VALUE"""),"AKABO GmbH")</f>
        <v>AKABO GmbH</v>
      </c>
    </row>
    <row r="59">
      <c r="A59" s="6" t="str">
        <f>IFERROR(__xludf.DUMMYFUNCTION("""COMPUTED_VALUE"""),"AKABO GmbH")</f>
        <v>AKABO GmbH</v>
      </c>
    </row>
    <row r="60">
      <c r="A60" s="6" t="str">
        <f>IFERROR(__xludf.DUMMYFUNCTION("""COMPUTED_VALUE"""),"Alber GmbH")</f>
        <v>Alber GmbH</v>
      </c>
    </row>
    <row r="61">
      <c r="A61" s="6" t="str">
        <f>IFERROR(__xludf.DUMMYFUNCTION("""COMPUTED_VALUE"""),"Alber GmbH")</f>
        <v>Alber GmbH</v>
      </c>
    </row>
    <row r="62">
      <c r="A62" s="6" t="str">
        <f>IFERROR(__xludf.DUMMYFUNCTION("""COMPUTED_VALUE"""),"Albstadt-Sigmaringen University")</f>
        <v>Albstadt-Sigmaringen University</v>
      </c>
    </row>
    <row r="63">
      <c r="A63" s="6" t="str">
        <f>IFERROR(__xludf.DUMMYFUNCTION("""COMPUTED_VALUE"""),"Albstadt-Sigmaringen University")</f>
        <v>Albstadt-Sigmaringen University</v>
      </c>
    </row>
    <row r="64">
      <c r="A64" s="6" t="str">
        <f>IFERROR(__xludf.DUMMYFUNCTION("""COMPUTED_VALUE"""),"Allianz Faserbasierte Werkstoffe Baden-Württemberg e. V. (AFBW)")</f>
        <v>Allianz Faserbasierte Werkstoffe Baden-Württemberg e. V. (AFBW)</v>
      </c>
    </row>
    <row r="65">
      <c r="A65" s="6" t="str">
        <f>IFERROR(__xludf.DUMMYFUNCTION("""COMPUTED_VALUE"""),"Allianz Faserbasierte Werkstoffe Baden-Württemberg e. V. (AFBW)")</f>
        <v>Allianz Faserbasierte Werkstoffe Baden-Württemberg e. V. (AFBW)</v>
      </c>
    </row>
    <row r="66">
      <c r="A66" s="6" t="str">
        <f>IFERROR(__xludf.DUMMYFUNCTION("""COMPUTED_VALUE"""),"ALTATEC GmbH")</f>
        <v>ALTATEC GmbH</v>
      </c>
    </row>
    <row r="67">
      <c r="A67" s="6" t="str">
        <f>IFERROR(__xludf.DUMMYFUNCTION("""COMPUTED_VALUE"""),"ALTATEC GmbH")</f>
        <v>ALTATEC GmbH</v>
      </c>
    </row>
    <row r="68">
      <c r="A68" s="6" t="str">
        <f>IFERROR(__xludf.DUMMYFUNCTION("""COMPUTED_VALUE"""),"AmbiGate GmbH")</f>
        <v>AmbiGate GmbH</v>
      </c>
    </row>
    <row r="69">
      <c r="A69" s="6" t="str">
        <f>IFERROR(__xludf.DUMMYFUNCTION("""COMPUTED_VALUE"""),"AmbiGate GmbH")</f>
        <v>AmbiGate GmbH</v>
      </c>
    </row>
    <row r="70">
      <c r="A70" s="6" t="str">
        <f>IFERROR(__xludf.DUMMYFUNCTION("""COMPUTED_VALUE"""),"AnDiaTec GmbH &amp; Co. KG")</f>
        <v>AnDiaTec GmbH &amp; Co. KG</v>
      </c>
    </row>
    <row r="71">
      <c r="A71" s="6" t="str">
        <f>IFERROR(__xludf.DUMMYFUNCTION("""COMPUTED_VALUE"""),"AnDiaTec GmbH &amp; Co. KG")</f>
        <v>AnDiaTec GmbH &amp; Co. KG</v>
      </c>
    </row>
    <row r="72">
      <c r="A72" s="6" t="str">
        <f>IFERROR(__xludf.DUMMYFUNCTION("""COMPUTED_VALUE"""),"Andramed GmbH")</f>
        <v>Andramed GmbH</v>
      </c>
    </row>
    <row r="73">
      <c r="A73" s="6" t="str">
        <f>IFERROR(__xludf.DUMMYFUNCTION("""COMPUTED_VALUE"""),"Andramed GmbH")</f>
        <v>Andramed GmbH</v>
      </c>
    </row>
    <row r="74">
      <c r="A74" s="6" t="str">
        <f>IFERROR(__xludf.DUMMYFUNCTION("""COMPUTED_VALUE"""),"ANSEROS Klaus Nonnenmacher GmbH")</f>
        <v>ANSEROS Klaus Nonnenmacher GmbH</v>
      </c>
    </row>
    <row r="75">
      <c r="A75" s="6" t="str">
        <f>IFERROR(__xludf.DUMMYFUNCTION("""COMPUTED_VALUE"""),"ANSEROS Klaus Nonnenmacher GmbH")</f>
        <v>ANSEROS Klaus Nonnenmacher GmbH</v>
      </c>
    </row>
    <row r="76">
      <c r="A76" s="6" t="str">
        <f>IFERROR(__xludf.DUMMYFUNCTION("""COMPUTED_VALUE"""),"Anton Gerl GmbH")</f>
        <v>Anton Gerl GmbH</v>
      </c>
    </row>
    <row r="77">
      <c r="A77" s="6" t="str">
        <f>IFERROR(__xludf.DUMMYFUNCTION("""COMPUTED_VALUE"""),"Anton Gerl GmbH")</f>
        <v>Anton Gerl GmbH</v>
      </c>
    </row>
    <row r="78">
      <c r="A78" s="6" t="str">
        <f>IFERROR(__xludf.DUMMYFUNCTION("""COMPUTED_VALUE"""),"ASID BONZ GmbH")</f>
        <v>ASID BONZ GmbH</v>
      </c>
    </row>
    <row r="79">
      <c r="A79" s="6" t="str">
        <f>IFERROR(__xludf.DUMMYFUNCTION("""COMPUTED_VALUE"""),"ASID BONZ GmbH")</f>
        <v>ASID BONZ GmbH</v>
      </c>
    </row>
    <row r="80">
      <c r="A80" s="6" t="str">
        <f>IFERROR(__xludf.DUMMYFUNCTION("""COMPUTED_VALUE"""),"Atos IT Solutions and Services GmbH")</f>
        <v>Atos IT Solutions and Services GmbH</v>
      </c>
    </row>
    <row r="81">
      <c r="A81" s="6" t="str">
        <f>IFERROR(__xludf.DUMMYFUNCTION("""COMPUTED_VALUE"""),"Atos IT Solutions and Services GmbH")</f>
        <v>Atos IT Solutions and Services GmbH</v>
      </c>
    </row>
    <row r="82">
      <c r="A82" s="6" t="str">
        <f>IFERROR(__xludf.DUMMYFUNCTION("""COMPUTED_VALUE"""),"ATS Automation Tooling Systems GmbH")</f>
        <v>ATS Automation Tooling Systems GmbH</v>
      </c>
    </row>
    <row r="83">
      <c r="A83" s="6" t="str">
        <f>IFERROR(__xludf.DUMMYFUNCTION("""COMPUTED_VALUE"""),"ATS Automation Tooling Systems GmbH")</f>
        <v>ATS Automation Tooling Systems GmbH</v>
      </c>
    </row>
    <row r="84">
      <c r="A84" s="6" t="str">
        <f>IFERROR(__xludf.DUMMYFUNCTION("""COMPUTED_VALUE"""),"AUDAX Keck GmbH")</f>
        <v>AUDAX Keck GmbH</v>
      </c>
    </row>
    <row r="85">
      <c r="A85" s="6" t="str">
        <f>IFERROR(__xludf.DUMMYFUNCTION("""COMPUTED_VALUE"""),"AUDAX Keck GmbH")</f>
        <v>AUDAX Keck GmbH</v>
      </c>
    </row>
    <row r="86">
      <c r="A86" s="6" t="str">
        <f>IFERROR(__xludf.DUMMYFUNCTION("""COMPUTED_VALUE"""),"AVAT Automation GmbH")</f>
        <v>AVAT Automation GmbH</v>
      </c>
    </row>
    <row r="87">
      <c r="A87" s="6" t="str">
        <f>IFERROR(__xludf.DUMMYFUNCTION("""COMPUTED_VALUE"""),"AVAT Automation GmbH")</f>
        <v>AVAT Automation GmbH</v>
      </c>
    </row>
    <row r="88">
      <c r="A88" s="6" t="str">
        <f>IFERROR(__xludf.DUMMYFUNCTION("""COMPUTED_VALUE"""),"awisto business solutions GmbH")</f>
        <v>awisto business solutions GmbH</v>
      </c>
    </row>
    <row r="89">
      <c r="A89" s="6" t="str">
        <f>IFERROR(__xludf.DUMMYFUNCTION("""COMPUTED_VALUE"""),"awisto business solutions GmbH")</f>
        <v>awisto business solutions GmbH</v>
      </c>
    </row>
    <row r="90">
      <c r="A90" s="6" t="str">
        <f>IFERROR(__xludf.DUMMYFUNCTION("""COMPUTED_VALUE"""),"AXON’ KABEL GmbH")</f>
        <v>AXON’ KABEL GmbH</v>
      </c>
    </row>
    <row r="91">
      <c r="A91" s="6" t="str">
        <f>IFERROR(__xludf.DUMMYFUNCTION("""COMPUTED_VALUE"""),"AXON’ KABEL GmbH")</f>
        <v>AXON’ KABEL GmbH</v>
      </c>
    </row>
    <row r="92">
      <c r="A92" s="6" t="str">
        <f>IFERROR(__xludf.DUMMYFUNCTION("""COMPUTED_VALUE"""),"B.E.S.T. Fluidsysteme GmbH")</f>
        <v>B.E.S.T. Fluidsysteme GmbH</v>
      </c>
    </row>
    <row r="93">
      <c r="A93" s="6" t="str">
        <f>IFERROR(__xludf.DUMMYFUNCTION("""COMPUTED_VALUE"""),"B.E.S.T. Fluidsysteme GmbH")</f>
        <v>B.E.S.T. Fluidsysteme GmbH</v>
      </c>
    </row>
    <row r="94">
      <c r="A94" s="6" t="str">
        <f>IFERROR(__xludf.DUMMYFUNCTION("""COMPUTED_VALUE"""),"Baden-Württemberg: Connected e. V.")</f>
        <v>Baden-Württemberg: Connected e. V.</v>
      </c>
    </row>
    <row r="95">
      <c r="A95" s="6" t="str">
        <f>IFERROR(__xludf.DUMMYFUNCTION("""COMPUTED_VALUE"""),"Baden-Württemberg: Connected e. V.")</f>
        <v>Baden-Württemberg: Connected e. V.</v>
      </c>
    </row>
    <row r="96">
      <c r="A96" s="6" t="str">
        <f>IFERROR(__xludf.DUMMYFUNCTION("""COMPUTED_VALUE"""),"Baden-Württemberg International (bw-i)")</f>
        <v>Baden-Württemberg International (bw-i)</v>
      </c>
    </row>
    <row r="97">
      <c r="A97" s="6" t="str">
        <f>IFERROR(__xludf.DUMMYFUNCTION("""COMPUTED_VALUE"""),"Baden-Württemberg International (bw-i)")</f>
        <v>Baden-Württemberg International (bw-i)</v>
      </c>
    </row>
    <row r="98">
      <c r="A98" s="6" t="str">
        <f>IFERROR(__xludf.DUMMYFUNCTION("""COMPUTED_VALUE"""),"BANSBACH ECONUM Unternehmensberatung GmbH")</f>
        <v>BANSBACH ECONUM Unternehmensberatung GmbH</v>
      </c>
    </row>
    <row r="99">
      <c r="A99" s="6" t="str">
        <f>IFERROR(__xludf.DUMMYFUNCTION("""COMPUTED_VALUE"""),"BANSBACH ECONUM Unternehmensberatung GmbH")</f>
        <v>BANSBACH ECONUM Unternehmensberatung GmbH</v>
      </c>
    </row>
    <row r="100">
      <c r="A100" s="6" t="str">
        <f>IFERROR(__xludf.DUMMYFUNCTION("""COMPUTED_VALUE"""),"BBF Sterilisationsservice GmbH")</f>
        <v>BBF Sterilisationsservice GmbH</v>
      </c>
    </row>
    <row r="101">
      <c r="A101" s="6" t="str">
        <f>IFERROR(__xludf.DUMMYFUNCTION("""COMPUTED_VALUE"""),"BBF Sterilisationsservice GmbH")</f>
        <v>BBF Sterilisationsservice GmbH</v>
      </c>
    </row>
    <row r="102">
      <c r="A102" s="6" t="str">
        <f>IFERROR(__xludf.DUMMYFUNCTION("""COMPUTED_VALUE"""),"BEC GmbH")</f>
        <v>BEC GmbH</v>
      </c>
    </row>
    <row r="103">
      <c r="A103" s="6" t="str">
        <f>IFERROR(__xludf.DUMMYFUNCTION("""COMPUTED_VALUE"""),"BEC GmbH")</f>
        <v>BEC GmbH</v>
      </c>
    </row>
    <row r="104">
      <c r="A104" s="6" t="str">
        <f>IFERROR(__xludf.DUMMYFUNCTION("""COMPUTED_VALUE"""),"Bentley InnoMed GmbH")</f>
        <v>Bentley InnoMed GmbH</v>
      </c>
    </row>
    <row r="105">
      <c r="A105" s="6" t="str">
        <f>IFERROR(__xludf.DUMMYFUNCTION("""COMPUTED_VALUE"""),"Bentley InnoMed GmbH")</f>
        <v>Bentley InnoMed GmbH</v>
      </c>
    </row>
    <row r="106">
      <c r="A106" s="6" t="str">
        <f>IFERROR(__xludf.DUMMYFUNCTION("""COMPUTED_VALUE"""),"Bernard Beratung &amp; Services GmbH")</f>
        <v>Bernard Beratung &amp; Services GmbH</v>
      </c>
    </row>
    <row r="107">
      <c r="A107" s="6" t="str">
        <f>IFERROR(__xludf.DUMMYFUNCTION("""COMPUTED_VALUE"""),"Bernard Beratung &amp; Services GmbH")</f>
        <v>Bernard Beratung &amp; Services GmbH</v>
      </c>
    </row>
    <row r="108">
      <c r="A108" s="6" t="str">
        <f>IFERROR(__xludf.DUMMYFUNCTION("""COMPUTED_VALUE"""),"Berufsgenossenschaftliche Unfallklinik Tübingen")</f>
        <v>Berufsgenossenschaftliche Unfallklinik Tübingen</v>
      </c>
    </row>
    <row r="109">
      <c r="A109" s="6" t="str">
        <f>IFERROR(__xludf.DUMMYFUNCTION("""COMPUTED_VALUE"""),"Berufsgenossenschaftliche Unfallklinik Tübingen")</f>
        <v>Berufsgenossenschaftliche Unfallklinik Tübingen</v>
      </c>
    </row>
    <row r="110">
      <c r="A110" s="6" t="str">
        <f>IFERROR(__xludf.DUMMYFUNCTION("""COMPUTED_VALUE"""),"Beutter-Präzisions-Komponenten GmbH &amp; Co. KG")</f>
        <v>Beutter-Präzisions-Komponenten GmbH &amp; Co. KG</v>
      </c>
    </row>
    <row r="111">
      <c r="A111" s="6" t="str">
        <f>IFERROR(__xludf.DUMMYFUNCTION("""COMPUTED_VALUE"""),"Beutter-Präzisions-Komponenten GmbH &amp; Co. KG")</f>
        <v>Beutter-Präzisions-Komponenten GmbH &amp; Co. KG</v>
      </c>
    </row>
    <row r="112">
      <c r="A112" s="6" t="str">
        <f>IFERROR(__xludf.DUMMYFUNCTION("""COMPUTED_VALUE"""),"Bilfinger Life Science GmbH")</f>
        <v>Bilfinger Life Science GmbH</v>
      </c>
    </row>
    <row r="113">
      <c r="A113" s="6" t="str">
        <f>IFERROR(__xludf.DUMMYFUNCTION("""COMPUTED_VALUE"""),"Bilfinger Life Science GmbH")</f>
        <v>Bilfinger Life Science GmbH</v>
      </c>
    </row>
    <row r="114">
      <c r="A114" s="6" t="str">
        <f>IFERROR(__xludf.DUMMYFUNCTION("""COMPUTED_VALUE"""),"BioMedTech e. V.")</f>
        <v>BioMedTech e. V.</v>
      </c>
    </row>
    <row r="115">
      <c r="A115" s="6" t="str">
        <f>IFERROR(__xludf.DUMMYFUNCTION("""COMPUTED_VALUE"""),"BioMedTech e. V.")</f>
        <v>BioMedTech e. V.</v>
      </c>
    </row>
    <row r="116">
      <c r="A116" s="6" t="str">
        <f>IFERROR(__xludf.DUMMYFUNCTION("""COMPUTED_VALUE"""),"Biomotion Solutions GbR")</f>
        <v>Biomotion Solutions GbR</v>
      </c>
    </row>
    <row r="117">
      <c r="A117" s="6" t="str">
        <f>IFERROR(__xludf.DUMMYFUNCTION("""COMPUTED_VALUE"""),"Biomotion Solutions GbR")</f>
        <v>Biomotion Solutions GbR</v>
      </c>
    </row>
    <row r="118">
      <c r="A118" s="6" t="str">
        <f>IFERROR(__xludf.DUMMYFUNCTION("""COMPUTED_VALUE"""),"bioMérieux Deutschland GmbH")</f>
        <v>bioMérieux Deutschland GmbH</v>
      </c>
    </row>
    <row r="119">
      <c r="A119" s="6" t="str">
        <f>IFERROR(__xludf.DUMMYFUNCTION("""COMPUTED_VALUE"""),"bioMérieux Deutschland GmbH")</f>
        <v>bioMérieux Deutschland GmbH</v>
      </c>
    </row>
    <row r="120">
      <c r="A120" s="6" t="str">
        <f>IFERROR(__xludf.DUMMYFUNCTION("""COMPUTED_VALUE"""),"BioPoLiS: Bioproduktions-Labor in Stuttgart")</f>
        <v>BioPoLiS: Bioproduktions-Labor in Stuttgart</v>
      </c>
    </row>
    <row r="121">
      <c r="A121" s="6" t="str">
        <f>IFERROR(__xludf.DUMMYFUNCTION("""COMPUTED_VALUE"""),"BioPoLiS: Bioproduktions-Labor in Stuttgart")</f>
        <v>BioPoLiS: Bioproduktions-Labor in Stuttgart</v>
      </c>
    </row>
    <row r="122">
      <c r="A122" s="6" t="str">
        <f>IFERROR(__xludf.DUMMYFUNCTION("""COMPUTED_VALUE"""),"BIOPRO Baden-Württemberg GmbH")</f>
        <v>BIOPRO Baden-Württemberg GmbH</v>
      </c>
    </row>
    <row r="123">
      <c r="A123" s="6" t="str">
        <f>IFERROR(__xludf.DUMMYFUNCTION("""COMPUTED_VALUE"""),"BIOPRO Baden-Württemberg GmbH")</f>
        <v>BIOPRO Baden-Württemberg GmbH</v>
      </c>
    </row>
    <row r="124">
      <c r="A124" s="6" t="str">
        <f>IFERROR(__xludf.DUMMYFUNCTION("""COMPUTED_VALUE"""),"BioRegio STERN Management GmbH")</f>
        <v>BioRegio STERN Management GmbH</v>
      </c>
    </row>
    <row r="125">
      <c r="A125" s="6" t="str">
        <f>IFERROR(__xludf.DUMMYFUNCTION("""COMPUTED_VALUE"""),"BioRegio STERN Management GmbH")</f>
        <v>BioRegio STERN Management GmbH</v>
      </c>
    </row>
    <row r="126">
      <c r="A126" s="6" t="str">
        <f>IFERROR(__xludf.DUMMYFUNCTION("""COMPUTED_VALUE"""),"biosyn Arzneimittel GmbH")</f>
        <v>biosyn Arzneimittel GmbH</v>
      </c>
    </row>
    <row r="127">
      <c r="A127" s="6" t="str">
        <f>IFERROR(__xludf.DUMMYFUNCTION("""COMPUTED_VALUE"""),"biosyn Arzneimittel GmbH")</f>
        <v>biosyn Arzneimittel GmbH</v>
      </c>
    </row>
    <row r="128">
      <c r="A128" s="6" t="str">
        <f>IFERROR(__xludf.DUMMYFUNCTION("""COMPUTED_VALUE"""),"biotask AG")</f>
        <v>biotask AG</v>
      </c>
    </row>
    <row r="129">
      <c r="A129" s="6" t="str">
        <f>IFERROR(__xludf.DUMMYFUNCTION("""COMPUTED_VALUE"""),"biotask AG")</f>
        <v>biotask AG</v>
      </c>
    </row>
    <row r="130">
      <c r="A130" s="6" t="str">
        <f>IFERROR(__xludf.DUMMYFUNCTION("""COMPUTED_VALUE"""),"BioTeSys GmbH")</f>
        <v>BioTeSys GmbH</v>
      </c>
    </row>
    <row r="131">
      <c r="A131" s="6" t="str">
        <f>IFERROR(__xludf.DUMMYFUNCTION("""COMPUTED_VALUE"""),"BioTeSys GmbH")</f>
        <v>BioTeSys GmbH</v>
      </c>
    </row>
    <row r="132">
      <c r="A132" s="6" t="str">
        <f>IFERROR(__xludf.DUMMYFUNCTION("""COMPUTED_VALUE"""),"BizProLeap UG")</f>
        <v>BizProLeap UG</v>
      </c>
    </row>
    <row r="133">
      <c r="A133" s="6" t="str">
        <f>IFERROR(__xludf.DUMMYFUNCTION("""COMPUTED_VALUE"""),"BizProLeap UG")</f>
        <v>BizProLeap UG</v>
      </c>
    </row>
    <row r="134">
      <c r="A134" s="6" t="str">
        <f>IFERROR(__xludf.DUMMYFUNCTION("""COMPUTED_VALUE"""),"BlueLab Wasseranalysesysteme GmbH")</f>
        <v>BlueLab Wasseranalysesysteme GmbH</v>
      </c>
    </row>
    <row r="135">
      <c r="A135" s="6" t="str">
        <f>IFERROR(__xludf.DUMMYFUNCTION("""COMPUTED_VALUE"""),"BlueLab Wasseranalysesysteme GmbH")</f>
        <v>BlueLab Wasseranalysesysteme GmbH</v>
      </c>
    </row>
    <row r="136">
      <c r="A136" s="6" t="str">
        <f>IFERROR(__xludf.DUMMYFUNCTION("""COMPUTED_VALUE"""),"Boppel Medical Engineering")</f>
        <v>Boppel Medical Engineering</v>
      </c>
    </row>
    <row r="137">
      <c r="A137" s="6" t="str">
        <f>IFERROR(__xludf.DUMMYFUNCTION("""COMPUTED_VALUE"""),"Boppel Medical Engineering")</f>
        <v>Boppel Medical Engineering</v>
      </c>
    </row>
    <row r="138">
      <c r="A138" s="6" t="str">
        <f>IFERROR(__xludf.DUMMYFUNCTION("""COMPUTED_VALUE"""),"BORGWARE GmbH")</f>
        <v>BORGWARE GmbH</v>
      </c>
    </row>
    <row r="139">
      <c r="A139" s="6" t="str">
        <f>IFERROR(__xludf.DUMMYFUNCTION("""COMPUTED_VALUE"""),"BORGWARE GmbH")</f>
        <v>BORGWARE GmbH</v>
      </c>
    </row>
    <row r="140">
      <c r="A140" s="6" t="str">
        <f>IFERROR(__xludf.DUMMYFUNCTION("""COMPUTED_VALUE"""),"Bosch + Sohn GmbH &amp; Co. KG")</f>
        <v>Bosch + Sohn GmbH &amp; Co. KG</v>
      </c>
    </row>
    <row r="141">
      <c r="A141" s="6" t="str">
        <f>IFERROR(__xludf.DUMMYFUNCTION("""COMPUTED_VALUE"""),"Bosch + Sohn GmbH &amp; Co. KG")</f>
        <v>Bosch + Sohn GmbH &amp; Co. KG</v>
      </c>
    </row>
    <row r="142">
      <c r="A142" s="6" t="str">
        <f>IFERROR(__xludf.DUMMYFUNCTION("""COMPUTED_VALUE"""),"bosch engineering")</f>
        <v>bosch engineering</v>
      </c>
    </row>
    <row r="143">
      <c r="A143" s="6" t="str">
        <f>IFERROR(__xludf.DUMMYFUNCTION("""COMPUTED_VALUE"""),"bosch engineering")</f>
        <v>bosch engineering</v>
      </c>
    </row>
    <row r="144">
      <c r="A144" s="6" t="str">
        <f>IFERROR(__xludf.DUMMYFUNCTION("""COMPUTED_VALUE"""),"Bosch Healthcare Solutions GmbH")</f>
        <v>Bosch Healthcare Solutions GmbH</v>
      </c>
    </row>
    <row r="145">
      <c r="A145" s="6" t="str">
        <f>IFERROR(__xludf.DUMMYFUNCTION("""COMPUTED_VALUE"""),"Bosch Healthcare Solutions GmbH")</f>
        <v>Bosch Healthcare Solutions GmbH</v>
      </c>
    </row>
    <row r="146">
      <c r="A146" s="6" t="str">
        <f>IFERROR(__xludf.DUMMYFUNCTION("""COMPUTED_VALUE"""),"BOWA – electronic GmbH &amp; Co. KG")</f>
        <v>BOWA – electronic GmbH &amp; Co. KG</v>
      </c>
    </row>
    <row r="147">
      <c r="A147" s="6" t="str">
        <f>IFERROR(__xludf.DUMMYFUNCTION("""COMPUTED_VALUE"""),"BOWA – electronic GmbH &amp; Co. KG")</f>
        <v>BOWA – electronic GmbH &amp; Co. KG</v>
      </c>
    </row>
    <row r="148">
      <c r="A148" s="6" t="str">
        <f>IFERROR(__xludf.DUMMYFUNCTION("""COMPUTED_VALUE"""),"BRIEM Steuerungstechnik GmbH")</f>
        <v>BRIEM Steuerungstechnik GmbH</v>
      </c>
    </row>
    <row r="149">
      <c r="A149" s="6" t="str">
        <f>IFERROR(__xludf.DUMMYFUNCTION("""COMPUTED_VALUE"""),"BRIEM Steuerungstechnik GmbH")</f>
        <v>BRIEM Steuerungstechnik GmbH</v>
      </c>
    </row>
    <row r="150">
      <c r="A150" s="6" t="str">
        <f>IFERROR(__xludf.DUMMYFUNCTION("""COMPUTED_VALUE"""),"Brunel GmbH")</f>
        <v>Brunel GmbH</v>
      </c>
    </row>
    <row r="151">
      <c r="A151" s="6" t="str">
        <f>IFERROR(__xludf.DUMMYFUNCTION("""COMPUTED_VALUE"""),"Brunel GmbH")</f>
        <v>Brunel GmbH</v>
      </c>
    </row>
    <row r="152">
      <c r="A152" s="6" t="str">
        <f>IFERROR(__xludf.DUMMYFUNCTION("""COMPUTED_VALUE"""),"btS – biotechnologische Studenteninitiative e. V.")</f>
        <v>btS – biotechnologische Studenteninitiative e. V.</v>
      </c>
    </row>
    <row r="153">
      <c r="A153" s="6" t="str">
        <f>IFERROR(__xludf.DUMMYFUNCTION("""COMPUTED_VALUE"""),"btS – biotechnologische Studenteninitiative e. V.")</f>
        <v>btS – biotechnologische Studenteninitiative e. V.</v>
      </c>
    </row>
    <row r="154">
      <c r="A154" s="6" t="str">
        <f>IFERROR(__xludf.DUMMYFUNCTION("""COMPUTED_VALUE"""),"Bürgschaftsbank Baden-Württemberg GmbH")</f>
        <v>Bürgschaftsbank Baden-Württemberg GmbH</v>
      </c>
    </row>
    <row r="155">
      <c r="A155" s="6" t="str">
        <f>IFERROR(__xludf.DUMMYFUNCTION("""COMPUTED_VALUE"""),"Bürgschaftsbank Baden-Württemberg GmbH")</f>
        <v>Bürgschaftsbank Baden-Württemberg GmbH</v>
      </c>
    </row>
    <row r="156">
      <c r="A156" s="6" t="str">
        <f>IFERROR(__xludf.DUMMYFUNCTION("""COMPUTED_VALUE"""),"Business Angels Region Stuttgart e. V. (BARS)")</f>
        <v>Business Angels Region Stuttgart e. V. (BARS)</v>
      </c>
    </row>
    <row r="157">
      <c r="A157" s="6" t="str">
        <f>IFERROR(__xludf.DUMMYFUNCTION("""COMPUTED_VALUE"""),"Business Angels Region Stuttgart e. V. (BARS)")</f>
        <v>Business Angels Region Stuttgart e. V. (BARS)</v>
      </c>
    </row>
    <row r="158">
      <c r="A158" s="6" t="str">
        <f>IFERROR(__xludf.DUMMYFUNCTION("""COMPUTED_VALUE"""),"C-tec Cleanroom-Technology GmbH")</f>
        <v>C-tec Cleanroom-Technology GmbH</v>
      </c>
    </row>
    <row r="159">
      <c r="A159" s="6" t="str">
        <f>IFERROR(__xludf.DUMMYFUNCTION("""COMPUTED_VALUE"""),"C-tec Cleanroom-Technology GmbH")</f>
        <v>C-tec Cleanroom-Technology GmbH</v>
      </c>
    </row>
    <row r="160">
      <c r="A160" s="6" t="str">
        <f>IFERROR(__xludf.DUMMYFUNCTION("""COMPUTED_VALUE"""),"C.A.T. GmbH &amp; Co. Chromatographie und Analysentechnik KG")</f>
        <v>C.A.T. GmbH &amp; Co. Chromatographie und Analysentechnik KG</v>
      </c>
    </row>
    <row r="161">
      <c r="A161" s="6" t="str">
        <f>IFERROR(__xludf.DUMMYFUNCTION("""COMPUTED_VALUE"""),"C.A.T. GmbH &amp; Co. Chromatographie und Analysentechnik KG")</f>
        <v>C.A.T. GmbH &amp; Co. Chromatographie und Analysentechnik KG</v>
      </c>
    </row>
    <row r="162">
      <c r="A162" s="6" t="str">
        <f>IFERROR(__xludf.DUMMYFUNCTION("""COMPUTED_VALUE"""),"Camowo GmbH")</f>
        <v>Camowo GmbH</v>
      </c>
    </row>
    <row r="163">
      <c r="A163" s="6" t="str">
        <f>IFERROR(__xludf.DUMMYFUNCTION("""COMPUTED_VALUE"""),"Camowo GmbH")</f>
        <v>Camowo GmbH</v>
      </c>
    </row>
    <row r="164">
      <c r="A164" s="6" t="str">
        <f>IFERROR(__xludf.DUMMYFUNCTION("""COMPUTED_VALUE"""),"Cardiobridge GmbH")</f>
        <v>Cardiobridge GmbH</v>
      </c>
    </row>
    <row r="165">
      <c r="A165" s="6" t="str">
        <f>IFERROR(__xludf.DUMMYFUNCTION("""COMPUTED_VALUE"""),"Cardiobridge GmbH")</f>
        <v>Cardiobridge GmbH</v>
      </c>
    </row>
    <row r="166">
      <c r="A166" s="6" t="str">
        <f>IFERROR(__xludf.DUMMYFUNCTION("""COMPUTED_VALUE"""),"Carestream Health Deutschland GmbH")</f>
        <v>Carestream Health Deutschland GmbH</v>
      </c>
    </row>
    <row r="167">
      <c r="A167" s="6" t="str">
        <f>IFERROR(__xludf.DUMMYFUNCTION("""COMPUTED_VALUE"""),"Carestream Health Deutschland GmbH")</f>
        <v>Carestream Health Deutschland GmbH</v>
      </c>
    </row>
    <row r="168">
      <c r="A168" s="6" t="str">
        <f>IFERROR(__xludf.DUMMYFUNCTION("""COMPUTED_VALUE"""),"Cario Dosiertechnologie GmbH")</f>
        <v>Cario Dosiertechnologie GmbH</v>
      </c>
    </row>
    <row r="169">
      <c r="A169" s="6" t="str">
        <f>IFERROR(__xludf.DUMMYFUNCTION("""COMPUTED_VALUE"""),"Cario Dosiertechnologie GmbH")</f>
        <v>Cario Dosiertechnologie GmbH</v>
      </c>
    </row>
    <row r="170">
      <c r="A170" s="6" t="str">
        <f>IFERROR(__xludf.DUMMYFUNCTION("""COMPUTED_VALUE"""),"Carl Stahl GmbH Technocables")</f>
        <v>Carl Stahl GmbH Technocables</v>
      </c>
    </row>
    <row r="171">
      <c r="A171" s="6" t="str">
        <f>IFERROR(__xludf.DUMMYFUNCTION("""COMPUTED_VALUE"""),"Carl Stahl GmbH Technocables")</f>
        <v>Carl Stahl GmbH Technocables</v>
      </c>
    </row>
    <row r="172">
      <c r="A172" s="6" t="str">
        <f>IFERROR(__xludf.DUMMYFUNCTION("""COMPUTED_VALUE"""),"Catalent Germany Schorndorf GmbH")</f>
        <v>Catalent Germany Schorndorf GmbH</v>
      </c>
    </row>
    <row r="173">
      <c r="A173" s="6" t="str">
        <f>IFERROR(__xludf.DUMMYFUNCTION("""COMPUTED_VALUE"""),"Catalent Germany Schorndorf GmbH")</f>
        <v>Catalent Germany Schorndorf GmbH</v>
      </c>
    </row>
    <row r="174">
      <c r="A174" s="6" t="str">
        <f>IFERROR(__xludf.DUMMYFUNCTION("""COMPUTED_VALUE"""),"CaveoMed GmbH")</f>
        <v>CaveoMed GmbH</v>
      </c>
    </row>
    <row r="175">
      <c r="A175" s="6" t="str">
        <f>IFERROR(__xludf.DUMMYFUNCTION("""COMPUTED_VALUE"""),"CaveoMed GmbH")</f>
        <v>CaveoMed GmbH</v>
      </c>
    </row>
    <row r="176">
      <c r="A176" s="6" t="str">
        <f>IFERROR(__xludf.DUMMYFUNCTION("""COMPUTED_VALUE"""),"CeCaVa GmbH &amp; Co. KG")</f>
        <v>CeCaVa GmbH &amp; Co. KG</v>
      </c>
    </row>
    <row r="177">
      <c r="A177" s="6" t="str">
        <f>IFERROR(__xludf.DUMMYFUNCTION("""COMPUTED_VALUE"""),"CeCaVa GmbH &amp; Co. KG")</f>
        <v>CeCaVa GmbH &amp; Co. KG</v>
      </c>
    </row>
    <row r="178">
      <c r="A178" s="6" t="str">
        <f>IFERROR(__xludf.DUMMYFUNCTION("""COMPUTED_VALUE"""),"CeGaT GmbH")</f>
        <v>CeGaT GmbH</v>
      </c>
    </row>
    <row r="179">
      <c r="A179" s="6" t="str">
        <f>IFERROR(__xludf.DUMMYFUNCTION("""COMPUTED_VALUE"""),"CeGaT GmbH")</f>
        <v>CeGaT GmbH</v>
      </c>
    </row>
    <row r="180">
      <c r="A180" s="6" t="str">
        <f>IFERROR(__xludf.DUMMYFUNCTION("""COMPUTED_VALUE"""),"Cellendes GmbH")</f>
        <v>Cellendes GmbH</v>
      </c>
    </row>
    <row r="181">
      <c r="A181" s="6" t="str">
        <f>IFERROR(__xludf.DUMMYFUNCTION("""COMPUTED_VALUE"""),"Cellendes GmbH")</f>
        <v>Cellendes GmbH</v>
      </c>
    </row>
    <row r="182">
      <c r="A182" s="6" t="str">
        <f>IFERROR(__xludf.DUMMYFUNCTION("""COMPUTED_VALUE"""),"Cenata GmbH")</f>
        <v>Cenata GmbH</v>
      </c>
    </row>
    <row r="183">
      <c r="A183" s="6" t="str">
        <f>IFERROR(__xludf.DUMMYFUNCTION("""COMPUTED_VALUE"""),"Cenata GmbH")</f>
        <v>Cenata GmbH</v>
      </c>
    </row>
    <row r="184">
      <c r="A184" s="6" t="str">
        <f>IFERROR(__xludf.DUMMYFUNCTION("""COMPUTED_VALUE"""),"Center for Pediatric Clinical Studies (CPCS)")</f>
        <v>Center for Pediatric Clinical Studies (CPCS)</v>
      </c>
    </row>
    <row r="185">
      <c r="A185" s="6" t="str">
        <f>IFERROR(__xludf.DUMMYFUNCTION("""COMPUTED_VALUE"""),"Center for Pediatric Clinical Studies (CPCS)")</f>
        <v>Center for Pediatric Clinical Studies (CPCS)</v>
      </c>
    </row>
    <row r="186">
      <c r="A186" s="6" t="str">
        <f>IFERROR(__xludf.DUMMYFUNCTION("""COMPUTED_VALUE"""),"Centre for Integrative Neuroscience")</f>
        <v>Centre for Integrative Neuroscience</v>
      </c>
    </row>
    <row r="187">
      <c r="A187" s="6" t="str">
        <f>IFERROR(__xludf.DUMMYFUNCTION("""COMPUTED_VALUE"""),"Centre for Integrative Neuroscience")</f>
        <v>Centre for Integrative Neuroscience</v>
      </c>
    </row>
    <row r="188">
      <c r="A188" s="6" t="str">
        <f>IFERROR(__xludf.DUMMYFUNCTION("""COMPUTED_VALUE"""),"CeramTec GmbH")</f>
        <v>CeramTec GmbH</v>
      </c>
    </row>
    <row r="189">
      <c r="A189" s="6" t="str">
        <f>IFERROR(__xludf.DUMMYFUNCTION("""COMPUTED_VALUE"""),"CeramTec GmbH")</f>
        <v>CeramTec GmbH</v>
      </c>
    </row>
    <row r="190">
      <c r="A190" s="6" t="str">
        <f>IFERROR(__xludf.DUMMYFUNCTION("""COMPUTED_VALUE"""),"Chemgineering Germany GmbH")</f>
        <v>Chemgineering Germany GmbH</v>
      </c>
    </row>
    <row r="191">
      <c r="A191" s="6" t="str">
        <f>IFERROR(__xludf.DUMMYFUNCTION("""COMPUTED_VALUE"""),"Chemgineering Germany GmbH")</f>
        <v>Chemgineering Germany GmbH</v>
      </c>
    </row>
    <row r="192">
      <c r="A192" s="6" t="str">
        <f>IFERROR(__xludf.DUMMYFUNCTION("""COMPUTED_VALUE"""),"Chemisches und Veterinäruntersuchungsamt Stuttgart")</f>
        <v>Chemisches und Veterinäruntersuchungsamt Stuttgart</v>
      </c>
    </row>
    <row r="193">
      <c r="A193" s="6" t="str">
        <f>IFERROR(__xludf.DUMMYFUNCTION("""COMPUTED_VALUE"""),"Chemisches und Veterinäruntersuchungsamt Stuttgart")</f>
        <v>Chemisches und Veterinäruntersuchungsamt Stuttgart</v>
      </c>
    </row>
    <row r="194">
      <c r="A194" s="6" t="str">
        <f>IFERROR(__xludf.DUMMYFUNCTION("""COMPUTED_VALUE"""),"Chemisches Zentralinstitut")</f>
        <v>Chemisches Zentralinstitut</v>
      </c>
    </row>
    <row r="195">
      <c r="A195" s="6" t="str">
        <f>IFERROR(__xludf.DUMMYFUNCTION("""COMPUTED_VALUE"""),"Chemisches Zentralinstitut")</f>
        <v>Chemisches Zentralinstitut</v>
      </c>
    </row>
    <row r="196">
      <c r="A196" s="6" t="str">
        <f>IFERROR(__xludf.DUMMYFUNCTION("""COMPUTED_VALUE"""),"Christiane Nüsslein-Volhard-Stiftung")</f>
        <v>Christiane Nüsslein-Volhard-Stiftung</v>
      </c>
    </row>
    <row r="197">
      <c r="A197" s="6" t="str">
        <f>IFERROR(__xludf.DUMMYFUNCTION("""COMPUTED_VALUE"""),"Christiane Nüsslein-Volhard-Stiftung")</f>
        <v>Christiane Nüsslein-Volhard-Stiftung</v>
      </c>
    </row>
    <row r="198">
      <c r="A198" s="6" t="str">
        <f>IFERROR(__xludf.DUMMYFUNCTION("""COMPUTED_VALUE"""),"CinnTinn Advisory Services")</f>
        <v>CinnTinn Advisory Services</v>
      </c>
    </row>
    <row r="199">
      <c r="A199" s="6" t="str">
        <f>IFERROR(__xludf.DUMMYFUNCTION("""COMPUTED_VALUE"""),"CinnTinn Advisory Services")</f>
        <v>CinnTinn Advisory Services</v>
      </c>
    </row>
    <row r="200">
      <c r="A200" s="6" t="str">
        <f>IFERROR(__xludf.DUMMYFUNCTION("""COMPUTED_VALUE"""),"CLADE GmbH")</f>
        <v>CLADE GmbH</v>
      </c>
    </row>
    <row r="201">
      <c r="A201" s="6" t="str">
        <f>IFERROR(__xludf.DUMMYFUNCTION("""COMPUTED_VALUE"""),"CLADE GmbH")</f>
        <v>CLADE GmbH</v>
      </c>
    </row>
    <row r="202">
      <c r="A202" s="6" t="str">
        <f>IFERROR(__xludf.DUMMYFUNCTION("""COMPUTED_VALUE"""),"clear|i")</f>
        <v>clear|i</v>
      </c>
    </row>
    <row r="203">
      <c r="A203" s="6" t="str">
        <f>IFERROR(__xludf.DUMMYFUNCTION("""COMPUTED_VALUE"""),"clear|i")</f>
        <v>clear|i</v>
      </c>
    </row>
    <row r="204">
      <c r="A204" s="6" t="str">
        <f>IFERROR(__xludf.DUMMYFUNCTION("""COMPUTED_VALUE"""),"Colugo GmbH")</f>
        <v>Colugo GmbH</v>
      </c>
    </row>
    <row r="205">
      <c r="A205" s="6" t="str">
        <f>IFERROR(__xludf.DUMMYFUNCTION("""COMPUTED_VALUE"""),"Colugo GmbH")</f>
        <v>Colugo GmbH</v>
      </c>
    </row>
    <row r="206">
      <c r="A206" s="6" t="str">
        <f>IFERROR(__xludf.DUMMYFUNCTION("""COMPUTED_VALUE"""),"Comprehensive Cancer Center Tübingen-Stuttgart")</f>
        <v>Comprehensive Cancer Center Tübingen-Stuttgart</v>
      </c>
    </row>
    <row r="207">
      <c r="A207" s="6" t="str">
        <f>IFERROR(__xludf.DUMMYFUNCTION("""COMPUTED_VALUE"""),"Comprehensive Cancer Center Tübingen-Stuttgart")</f>
        <v>Comprehensive Cancer Center Tübingen-Stuttgart</v>
      </c>
    </row>
    <row r="208">
      <c r="A208" s="6" t="str">
        <f>IFERROR(__xludf.DUMMYFUNCTION("""COMPUTED_VALUE"""),"Comprehensive Infectious Disease Center Tübingen (CIDiC)")</f>
        <v>Comprehensive Infectious Disease Center Tübingen (CIDiC)</v>
      </c>
    </row>
    <row r="209">
      <c r="A209" s="6" t="str">
        <f>IFERROR(__xludf.DUMMYFUNCTION("""COMPUTED_VALUE"""),"Comprehensive Infectious Disease Center Tübingen (CIDiC)")</f>
        <v>Comprehensive Infectious Disease Center Tübingen (CIDiC)</v>
      </c>
    </row>
    <row r="210">
      <c r="A210" s="6" t="str">
        <f>IFERROR(__xludf.DUMMYFUNCTION("""COMPUTED_VALUE"""),"Computomics GmbH")</f>
        <v>Computomics GmbH</v>
      </c>
    </row>
    <row r="211">
      <c r="A211" s="6" t="str">
        <f>IFERROR(__xludf.DUMMYFUNCTION("""COMPUTED_VALUE"""),"Computomics GmbH")</f>
        <v>Computomics GmbH</v>
      </c>
    </row>
    <row r="212">
      <c r="A212" s="6" t="str">
        <f>IFERROR(__xludf.DUMMYFUNCTION("""COMPUTED_VALUE"""),"CONTACT-AS e. V.")</f>
        <v>CONTACT-AS e. V.</v>
      </c>
    </row>
    <row r="213">
      <c r="A213" s="6" t="str">
        <f>IFERROR(__xludf.DUMMYFUNCTION("""COMPUTED_VALUE"""),"CONTACT-AS e. V.")</f>
        <v>CONTACT-AS e. V.</v>
      </c>
    </row>
    <row r="214">
      <c r="A214" s="6" t="str">
        <f>IFERROR(__xludf.DUMMYFUNCTION("""COMPUTED_VALUE"""),"Contexo GmbH")</f>
        <v>Contexo GmbH</v>
      </c>
    </row>
    <row r="215">
      <c r="A215" s="6" t="str">
        <f>IFERROR(__xludf.DUMMYFUNCTION("""COMPUTED_VALUE"""),"Contexo GmbH")</f>
        <v>Contexo GmbH</v>
      </c>
    </row>
    <row r="216">
      <c r="A216" s="6" t="str">
        <f>IFERROR(__xludf.DUMMYFUNCTION("""COMPUTED_VALUE"""),"Convensis GmbH")</f>
        <v>Convensis GmbH</v>
      </c>
    </row>
    <row r="217">
      <c r="A217" s="6" t="str">
        <f>IFERROR(__xludf.DUMMYFUNCTION("""COMPUTED_VALUE"""),"Convensis GmbH")</f>
        <v>Convensis GmbH</v>
      </c>
    </row>
    <row r="218">
      <c r="A218" s="6" t="str">
        <f>IFERROR(__xludf.DUMMYFUNCTION("""COMPUTED_VALUE"""),"CPSL Documentation &amp; Tools GmbH")</f>
        <v>CPSL Documentation &amp; Tools GmbH</v>
      </c>
    </row>
    <row r="219">
      <c r="A219" s="6" t="str">
        <f>IFERROR(__xludf.DUMMYFUNCTION("""COMPUTED_VALUE"""),"CPSL Documentation &amp; Tools GmbH")</f>
        <v>CPSL Documentation &amp; Tools GmbH</v>
      </c>
    </row>
    <row r="220">
      <c r="A220" s="6" t="str">
        <f>IFERROR(__xludf.DUMMYFUNCTION("""COMPUTED_VALUE"""),"CRB Germany GmbH")</f>
        <v>CRB Germany GmbH</v>
      </c>
    </row>
    <row r="221">
      <c r="A221" s="6" t="str">
        <f>IFERROR(__xludf.DUMMYFUNCTION("""COMPUTED_VALUE"""),"CRB Germany GmbH")</f>
        <v>CRB Germany GmbH</v>
      </c>
    </row>
    <row r="222">
      <c r="A222" s="6" t="str">
        <f>IFERROR(__xludf.DUMMYFUNCTION("""COMPUTED_VALUE"""),"CROWD NINE GmbH")</f>
        <v>CROWD NINE GmbH</v>
      </c>
    </row>
    <row r="223">
      <c r="A223" s="6" t="str">
        <f>IFERROR(__xludf.DUMMYFUNCTION("""COMPUTED_VALUE"""),"CROWD NINE GmbH")</f>
        <v>CROWD NINE GmbH</v>
      </c>
    </row>
    <row r="224">
      <c r="A224" s="6" t="str">
        <f>IFERROR(__xludf.DUMMYFUNCTION("""COMPUTED_VALUE"""),"Cumdente GmbH")</f>
        <v>Cumdente GmbH</v>
      </c>
    </row>
    <row r="225">
      <c r="A225" s="6" t="str">
        <f>IFERROR(__xludf.DUMMYFUNCTION("""COMPUTED_VALUE"""),"Cumdente GmbH")</f>
        <v>Cumdente GmbH</v>
      </c>
    </row>
    <row r="226">
      <c r="A226" s="6" t="str">
        <f>IFERROR(__xludf.DUMMYFUNCTION("""COMPUTED_VALUE"""),"CureVac AG")</f>
        <v>CureVac AG</v>
      </c>
    </row>
    <row r="227">
      <c r="A227" s="6" t="str">
        <f>IFERROR(__xludf.DUMMYFUNCTION("""COMPUTED_VALUE"""),"CureVac AG")</f>
        <v>CureVac AG</v>
      </c>
    </row>
    <row r="228">
      <c r="A228" s="6" t="str">
        <f>IFERROR(__xludf.DUMMYFUNCTION("""COMPUTED_VALUE"""),"Cyber Valley")</f>
        <v>Cyber Valley</v>
      </c>
    </row>
    <row r="229">
      <c r="A229" s="6" t="str">
        <f>IFERROR(__xludf.DUMMYFUNCTION("""COMPUTED_VALUE"""),"Cyber Valley")</f>
        <v>Cyber Valley</v>
      </c>
    </row>
    <row r="230">
      <c r="A230" s="6" t="str">
        <f>IFERROR(__xludf.DUMMYFUNCTION("""COMPUTED_VALUE"""),"Cytolytics GmbH")</f>
        <v>Cytolytics GmbH</v>
      </c>
    </row>
    <row r="231">
      <c r="A231" s="6" t="str">
        <f>IFERROR(__xludf.DUMMYFUNCTION("""COMPUTED_VALUE"""),"Cytolytics GmbH")</f>
        <v>Cytolytics GmbH</v>
      </c>
    </row>
    <row r="232">
      <c r="A232" s="6" t="str">
        <f>IFERROR(__xludf.DUMMYFUNCTION("""COMPUTED_VALUE"""),"Dassault Systemes Deutschland GmbH")</f>
        <v>Dassault Systemes Deutschland GmbH</v>
      </c>
    </row>
    <row r="233">
      <c r="A233" s="6" t="str">
        <f>IFERROR(__xludf.DUMMYFUNCTION("""COMPUTED_VALUE"""),"Dassault Systemes Deutschland GmbH")</f>
        <v>Dassault Systemes Deutschland GmbH</v>
      </c>
    </row>
    <row r="234">
      <c r="A234" s="6" t="str">
        <f>IFERROR(__xludf.DUMMYFUNCTION("""COMPUTED_VALUE"""),"DATAPEC Gesellschaft für Datenverarbeitung mbH Ein Unternehmen der Mesalvo 
Gruppe")</f>
        <v>DATAPEC Gesellschaft für Datenverarbeitung mbH Ein Unternehmen der Mesalvo 
Gruppe</v>
      </c>
    </row>
    <row r="235">
      <c r="A235" s="6" t="str">
        <f>IFERROR(__xludf.DUMMYFUNCTION("""COMPUTED_VALUE"""),"DATAPEC Gesellschaft für Datenverarbeitung mbH Ein Unternehmen der Mesalvo 
Gruppe")</f>
        <v>DATAPEC Gesellschaft für Datenverarbeitung mbH Ein Unternehmen der Mesalvo 
Gruppe</v>
      </c>
    </row>
    <row r="236">
      <c r="A236" s="6" t="str">
        <f>IFERROR(__xludf.DUMMYFUNCTION("""COMPUTED_VALUE"""),"DataPhysics Instruments GmbH")</f>
        <v>DataPhysics Instruments GmbH</v>
      </c>
    </row>
    <row r="237">
      <c r="A237" s="6" t="str">
        <f>IFERROR(__xludf.DUMMYFUNCTION("""COMPUTED_VALUE"""),"DataPhysics Instruments GmbH")</f>
        <v>DataPhysics Instruments GmbH</v>
      </c>
    </row>
    <row r="238">
      <c r="A238" s="6" t="str">
        <f>IFERROR(__xludf.DUMMYFUNCTION("""COMPUTED_VALUE"""),"Datinf GmbH")</f>
        <v>Datinf GmbH</v>
      </c>
    </row>
    <row r="239">
      <c r="A239" s="6" t="str">
        <f>IFERROR(__xludf.DUMMYFUNCTION("""COMPUTED_VALUE"""),"Datinf GmbH")</f>
        <v>Datinf GmbH</v>
      </c>
    </row>
    <row r="240">
      <c r="A240" s="6" t="str">
        <f>IFERROR(__xludf.DUMMYFUNCTION("""COMPUTED_VALUE"""),"delbramed GmbH")</f>
        <v>delbramed GmbH</v>
      </c>
    </row>
    <row r="241">
      <c r="A241" s="6" t="str">
        <f>IFERROR(__xludf.DUMMYFUNCTION("""COMPUTED_VALUE"""),"delbramed GmbH")</f>
        <v>delbramed GmbH</v>
      </c>
    </row>
    <row r="242">
      <c r="A242" s="6" t="str">
        <f>IFERROR(__xludf.DUMMYFUNCTION("""COMPUTED_VALUE"""),"DESOTEC GmbH")</f>
        <v>DESOTEC GmbH</v>
      </c>
    </row>
    <row r="243">
      <c r="A243" s="6" t="str">
        <f>IFERROR(__xludf.DUMMYFUNCTION("""COMPUTED_VALUE"""),"DESOTEC GmbH")</f>
        <v>DESOTEC GmbH</v>
      </c>
    </row>
    <row r="244">
      <c r="A244" s="6" t="str">
        <f>IFERROR(__xludf.DUMMYFUNCTION("""COMPUTED_VALUE"""),"Deutsche Gesellschaft für Neurogenetik")</f>
        <v>Deutsche Gesellschaft für Neurogenetik</v>
      </c>
    </row>
    <row r="245">
      <c r="A245" s="6" t="str">
        <f>IFERROR(__xludf.DUMMYFUNCTION("""COMPUTED_VALUE"""),"Deutsche Gesellschaft für Neurogenetik")</f>
        <v>Deutsche Gesellschaft für Neurogenetik</v>
      </c>
    </row>
    <row r="246">
      <c r="A246" s="6" t="str">
        <f>IFERROR(__xludf.DUMMYFUNCTION("""COMPUTED_VALUE"""),"Deutsche Institute für Textil- und Faserforschung (DITF)")</f>
        <v>Deutsche Institute für Textil- und Faserforschung (DITF)</v>
      </c>
    </row>
    <row r="247">
      <c r="A247" s="6" t="str">
        <f>IFERROR(__xludf.DUMMYFUNCTION("""COMPUTED_VALUE"""),"Deutsche Institute für Textil- und Faserforschung (DITF)")</f>
        <v>Deutsche Institute für Textil- und Faserforschung (DITF)</v>
      </c>
    </row>
    <row r="248">
      <c r="A248" s="6" t="str">
        <f>IFERROR(__xludf.DUMMYFUNCTION("""COMPUTED_VALUE"""),"DIAGNOSTICA GmbH STUTTGART")</f>
        <v>DIAGNOSTICA GmbH STUTTGART</v>
      </c>
    </row>
    <row r="249">
      <c r="A249" s="6" t="str">
        <f>IFERROR(__xludf.DUMMYFUNCTION("""COMPUTED_VALUE"""),"DIAGNOSTICA GmbH STUTTGART")</f>
        <v>DIAGNOSTICA GmbH STUTTGART</v>
      </c>
    </row>
    <row r="250">
      <c r="A250" s="6" t="str">
        <f>IFERROR(__xludf.DUMMYFUNCTION("""COMPUTED_VALUE"""),"Dipl.-Ing. Brecht GmbH")</f>
        <v>Dipl.-Ing. Brecht GmbH</v>
      </c>
    </row>
    <row r="251">
      <c r="A251" s="6" t="str">
        <f>IFERROR(__xludf.DUMMYFUNCTION("""COMPUTED_VALUE"""),"Dipl.-Ing. Brecht GmbH")</f>
        <v>Dipl.-Ing. Brecht GmbH</v>
      </c>
    </row>
    <row r="252">
      <c r="A252" s="6" t="str">
        <f>IFERROR(__xludf.DUMMYFUNCTION("""COMPUTED_VALUE"""),"Dispendix GmbH")</f>
        <v>Dispendix GmbH</v>
      </c>
    </row>
    <row r="253">
      <c r="A253" s="6" t="str">
        <f>IFERROR(__xludf.DUMMYFUNCTION("""COMPUTED_VALUE"""),"Dispendix GmbH")</f>
        <v>Dispendix GmbH</v>
      </c>
    </row>
    <row r="254">
      <c r="A254" s="6" t="str">
        <f>IFERROR(__xludf.DUMMYFUNCTION("""COMPUTED_VALUE"""),"DITABIS AG")</f>
        <v>DITABIS AG</v>
      </c>
    </row>
    <row r="255">
      <c r="A255" s="6" t="str">
        <f>IFERROR(__xludf.DUMMYFUNCTION("""COMPUTED_VALUE"""),"DITABIS AG")</f>
        <v>DITABIS AG</v>
      </c>
    </row>
    <row r="256">
      <c r="A256" s="6" t="str">
        <f>IFERROR(__xludf.DUMMYFUNCTION("""COMPUTED_VALUE"""),"Dormed Vertriebsgesellschaft für medizinische Systeme mbH Stuttgart")</f>
        <v>Dormed Vertriebsgesellschaft für medizinische Systeme mbH Stuttgart</v>
      </c>
    </row>
    <row r="257">
      <c r="A257" s="6" t="str">
        <f>IFERROR(__xludf.DUMMYFUNCTION("""COMPUTED_VALUE"""),"Dormed Vertriebsgesellschaft für medizinische Systeme mbH Stuttgart")</f>
        <v>Dormed Vertriebsgesellschaft für medizinische Systeme mbH Stuttgart</v>
      </c>
    </row>
    <row r="258">
      <c r="A258" s="6" t="str">
        <f>IFERROR(__xludf.DUMMYFUNCTION("""COMPUTED_VALUE"""),"Dr. Carl GmbH")</f>
        <v>Dr. Carl GmbH</v>
      </c>
    </row>
    <row r="259">
      <c r="A259" s="6" t="str">
        <f>IFERROR(__xludf.DUMMYFUNCTION("""COMPUTED_VALUE"""),"Dr. Carl GmbH")</f>
        <v>Dr. Carl GmbH</v>
      </c>
    </row>
    <row r="260">
      <c r="A260" s="6" t="str">
        <f>IFERROR(__xludf.DUMMYFUNCTION("""COMPUTED_VALUE"""),"Dr. Fenyves und Gut Deutschland GmbH")</f>
        <v>Dr. Fenyves und Gut Deutschland GmbH</v>
      </c>
    </row>
    <row r="261">
      <c r="A261" s="6" t="str">
        <f>IFERROR(__xludf.DUMMYFUNCTION("""COMPUTED_VALUE"""),"Dr. Fenyves und Gut Deutschland GmbH")</f>
        <v>Dr. Fenyves und Gut Deutschland GmbH</v>
      </c>
    </row>
    <row r="262">
      <c r="A262" s="6" t="str">
        <f>IFERROR(__xludf.DUMMYFUNCTION("""COMPUTED_VALUE"""),"Dr. Grosch Consulting GmbH")</f>
        <v>Dr. Grosch Consulting GmbH</v>
      </c>
    </row>
    <row r="263">
      <c r="A263" s="6" t="str">
        <f>IFERROR(__xludf.DUMMYFUNCTION("""COMPUTED_VALUE"""),"Dr. Grosch Consulting GmbH")</f>
        <v>Dr. Grosch Consulting GmbH</v>
      </c>
    </row>
    <row r="264">
      <c r="A264" s="6" t="str">
        <f>IFERROR(__xludf.DUMMYFUNCTION("""COMPUTED_VALUE"""),"Dr. Margarete Fischer-Bosch-Institut für Klinische Pharmakologie")</f>
        <v>Dr. Margarete Fischer-Bosch-Institut für Klinische Pharmakologie</v>
      </c>
    </row>
    <row r="265">
      <c r="A265" s="6" t="str">
        <f>IFERROR(__xludf.DUMMYFUNCTION("""COMPUTED_VALUE"""),"Dr. Margarete Fischer-Bosch-Institut für Klinische Pharmakologie")</f>
        <v>Dr. Margarete Fischer-Bosch-Institut für Klinische Pharmakologie</v>
      </c>
    </row>
    <row r="266">
      <c r="A266" s="6" t="str">
        <f>IFERROR(__xludf.DUMMYFUNCTION("""COMPUTED_VALUE"""),"Drees &amp; Sommer SE")</f>
        <v>Drees &amp; Sommer SE</v>
      </c>
    </row>
    <row r="267">
      <c r="A267" s="6" t="str">
        <f>IFERROR(__xludf.DUMMYFUNCTION("""COMPUTED_VALUE"""),"Drees &amp; Sommer SE")</f>
        <v>Drees &amp; Sommer SE</v>
      </c>
    </row>
    <row r="268">
      <c r="A268" s="6" t="str">
        <f>IFERROR(__xludf.DUMMYFUNCTION("""COMPUTED_VALUE"""),"DREISS Patentanwälte PartG mbB")</f>
        <v>DREISS Patentanwälte PartG mbB</v>
      </c>
    </row>
    <row r="269">
      <c r="A269" s="6" t="str">
        <f>IFERROR(__xludf.DUMMYFUNCTION("""COMPUTED_VALUE"""),"DREISS Patentanwälte PartG mbB")</f>
        <v>DREISS Patentanwälte PartG mbB</v>
      </c>
    </row>
    <row r="270">
      <c r="A270" s="6" t="str">
        <f>IFERROR(__xludf.DUMMYFUNCTION("""COMPUTED_VALUE"""),"DÜRR DENTAL AG")</f>
        <v>DÜRR DENTAL AG</v>
      </c>
    </row>
    <row r="271">
      <c r="A271" s="6" t="str">
        <f>IFERROR(__xludf.DUMMYFUNCTION("""COMPUTED_VALUE"""),"DÜRR DENTAL AG")</f>
        <v>DÜRR DENTAL AG</v>
      </c>
    </row>
    <row r="272">
      <c r="A272" s="6" t="str">
        <f>IFERROR(__xludf.DUMMYFUNCTION("""COMPUTED_VALUE"""),"E-Flox GmbH")</f>
        <v>E-Flox GmbH</v>
      </c>
    </row>
    <row r="273">
      <c r="A273" s="6" t="str">
        <f>IFERROR(__xludf.DUMMYFUNCTION("""COMPUTED_VALUE"""),"E-Flox GmbH")</f>
        <v>E-Flox GmbH</v>
      </c>
    </row>
    <row r="274">
      <c r="A274" s="6" t="str">
        <f>IFERROR(__xludf.DUMMYFUNCTION("""COMPUTED_VALUE"""),"Eberhard Karls Universität Tübingen")</f>
        <v>Eberhard Karls Universität Tübingen</v>
      </c>
    </row>
    <row r="275">
      <c r="A275" s="6" t="str">
        <f>IFERROR(__xludf.DUMMYFUNCTION("""COMPUTED_VALUE"""),"Eberhard Karls Universität Tübingen")</f>
        <v>Eberhard Karls Universität Tübingen</v>
      </c>
    </row>
    <row r="276">
      <c r="A276" s="6" t="str">
        <f>IFERROR(__xludf.DUMMYFUNCTION("""COMPUTED_VALUE"""),"Edmund Bühler GmbH")</f>
        <v>Edmund Bühler GmbH</v>
      </c>
    </row>
    <row r="277">
      <c r="A277" s="6" t="str">
        <f>IFERROR(__xludf.DUMMYFUNCTION("""COMPUTED_VALUE"""),"Edmund Bühler GmbH")</f>
        <v>Edmund Bühler GmbH</v>
      </c>
    </row>
    <row r="278">
      <c r="A278" s="6" t="str">
        <f>IFERROR(__xludf.DUMMYFUNCTION("""COMPUTED_VALUE"""),"Efficient Robotics GmbH")</f>
        <v>Efficient Robotics GmbH</v>
      </c>
    </row>
    <row r="279">
      <c r="A279" s="6" t="str">
        <f>IFERROR(__xludf.DUMMYFUNCTION("""COMPUTED_VALUE"""),"Efficient Robotics GmbH")</f>
        <v>Efficient Robotics GmbH</v>
      </c>
    </row>
    <row r="280">
      <c r="A280" s="6" t="str">
        <f>IFERROR(__xludf.DUMMYFUNCTION("""COMPUTED_VALUE"""),"ELPRO Messtechnik GmbH")</f>
        <v>ELPRO Messtechnik GmbH</v>
      </c>
    </row>
    <row r="281">
      <c r="A281" s="6" t="str">
        <f>IFERROR(__xludf.DUMMYFUNCTION("""COMPUTED_VALUE"""),"ELPRO Messtechnik GmbH")</f>
        <v>ELPRO Messtechnik GmbH</v>
      </c>
    </row>
    <row r="282">
      <c r="A282" s="6" t="str">
        <f>IFERROR(__xludf.DUMMYFUNCTION("""COMPUTED_VALUE"""),"EMC microcollections GmbH")</f>
        <v>EMC microcollections GmbH</v>
      </c>
    </row>
    <row r="283">
      <c r="A283" s="6" t="str">
        <f>IFERROR(__xludf.DUMMYFUNCTION("""COMPUTED_VALUE"""),"EMC microcollections GmbH")</f>
        <v>EMC microcollections GmbH</v>
      </c>
    </row>
    <row r="284">
      <c r="A284" s="6" t="str">
        <f>IFERROR(__xludf.DUMMYFUNCTION("""COMPUTED_VALUE"""),"EnDeCo GmbH")</f>
        <v>EnDeCo GmbH</v>
      </c>
    </row>
    <row r="285">
      <c r="A285" s="6" t="str">
        <f>IFERROR(__xludf.DUMMYFUNCTION("""COMPUTED_VALUE"""),"EnDeCo GmbH")</f>
        <v>EnDeCo GmbH</v>
      </c>
    </row>
    <row r="286">
      <c r="A286" s="6" t="str">
        <f>IFERROR(__xludf.DUMMYFUNCTION("""COMPUTED_VALUE"""),"engineering people Stuttgart GmbH")</f>
        <v>engineering people Stuttgart GmbH</v>
      </c>
    </row>
    <row r="287">
      <c r="A287" s="6" t="str">
        <f>IFERROR(__xludf.DUMMYFUNCTION("""COMPUTED_VALUE"""),"engineering people Stuttgart GmbH")</f>
        <v>engineering people Stuttgart GmbH</v>
      </c>
    </row>
    <row r="288">
      <c r="A288" s="6" t="str">
        <f>IFERROR(__xludf.DUMMYFUNCTION("""COMPUTED_VALUE"""),"Ensinger GmbH")</f>
        <v>Ensinger GmbH</v>
      </c>
    </row>
    <row r="289">
      <c r="A289" s="6" t="str">
        <f>IFERROR(__xludf.DUMMYFUNCTION("""COMPUTED_VALUE"""),"Ensinger GmbH")</f>
        <v>Ensinger GmbH</v>
      </c>
    </row>
    <row r="290">
      <c r="A290" s="6" t="str">
        <f>IFERROR(__xludf.DUMMYFUNCTION("""COMPUTED_VALUE"""),"EPflex Feinwerktechnik GmbH")</f>
        <v>EPflex Feinwerktechnik GmbH</v>
      </c>
    </row>
    <row r="291">
      <c r="A291" s="6" t="str">
        <f>IFERROR(__xludf.DUMMYFUNCTION("""COMPUTED_VALUE"""),"EPflex Feinwerktechnik GmbH")</f>
        <v>EPflex Feinwerktechnik GmbH</v>
      </c>
    </row>
    <row r="292">
      <c r="A292" s="6" t="str">
        <f>IFERROR(__xludf.DUMMYFUNCTION("""COMPUTED_VALUE"""),"Erbe Elektromedizin GmbH")</f>
        <v>Erbe Elektromedizin GmbH</v>
      </c>
    </row>
    <row r="293">
      <c r="A293" s="6" t="str">
        <f>IFERROR(__xludf.DUMMYFUNCTION("""COMPUTED_VALUE"""),"Erbe Elektromedizin GmbH")</f>
        <v>Erbe Elektromedizin GmbH</v>
      </c>
    </row>
    <row r="294">
      <c r="A294" s="6" t="str">
        <f>IFERROR(__xludf.DUMMYFUNCTION("""COMPUTED_VALUE"""),"erler gmbh, automation . robotik.")</f>
        <v>erler gmbh, automation . robotik.</v>
      </c>
    </row>
    <row r="295">
      <c r="A295" s="6" t="str">
        <f>IFERROR(__xludf.DUMMYFUNCTION("""COMPUTED_VALUE"""),"erler gmbh, automation . robotik.")</f>
        <v>erler gmbh, automation . robotik.</v>
      </c>
    </row>
    <row r="296">
      <c r="A296" s="6" t="str">
        <f>IFERROR(__xludf.DUMMYFUNCTION("""COMPUTED_VALUE"""),"ESR-Systemtechnik GmbH")</f>
        <v>ESR-Systemtechnik GmbH</v>
      </c>
    </row>
    <row r="297">
      <c r="A297" s="6" t="str">
        <f>IFERROR(__xludf.DUMMYFUNCTION("""COMPUTED_VALUE"""),"ESR-Systemtechnik GmbH")</f>
        <v>ESR-Systemtechnik GmbH</v>
      </c>
    </row>
    <row r="298">
      <c r="A298" s="6" t="str">
        <f>IFERROR(__xludf.DUMMYFUNCTION("""COMPUTED_VALUE"""),"ESR-Tec GmbH Elektro-, Steuer- und Regelungstechnik GmbH")</f>
        <v>ESR-Tec GmbH Elektro-, Steuer- und Regelungstechnik GmbH</v>
      </c>
    </row>
    <row r="299">
      <c r="A299" s="6" t="str">
        <f>IFERROR(__xludf.DUMMYFUNCTION("""COMPUTED_VALUE"""),"ESR-Tec GmbH Elektro-, Steuer- und Regelungstechnik GmbH")</f>
        <v>ESR-Tec GmbH Elektro-, Steuer- und Regelungstechnik GmbH</v>
      </c>
    </row>
    <row r="300">
      <c r="A300" s="6" t="str">
        <f>IFERROR(__xludf.DUMMYFUNCTION("""COMPUTED_VALUE"""),"Esslingen University")</f>
        <v>Esslingen University</v>
      </c>
    </row>
    <row r="301">
      <c r="A301" s="6" t="str">
        <f>IFERROR(__xludf.DUMMYFUNCTION("""COMPUTED_VALUE"""),"Esslingen University")</f>
        <v>Esslingen University</v>
      </c>
    </row>
    <row r="302">
      <c r="A302" s="6" t="str">
        <f>IFERROR(__xludf.DUMMYFUNCTION("""COMPUTED_VALUE"""),"EST! Medizintechnik AG")</f>
        <v>EST! Medizintechnik AG</v>
      </c>
    </row>
    <row r="303">
      <c r="A303" s="6" t="str">
        <f>IFERROR(__xludf.DUMMYFUNCTION("""COMPUTED_VALUE"""),"EST! Medizintechnik AG")</f>
        <v>EST! Medizintechnik AG</v>
      </c>
    </row>
    <row r="304">
      <c r="A304" s="6" t="str">
        <f>IFERROR(__xludf.DUMMYFUNCTION("""COMPUTED_VALUE"""),"Eurofins Institut Jäger GmbH")</f>
        <v>Eurofins Institut Jäger GmbH</v>
      </c>
    </row>
    <row r="305">
      <c r="A305" s="6" t="str">
        <f>IFERROR(__xludf.DUMMYFUNCTION("""COMPUTED_VALUE"""),"Eurofins Institut Jäger GmbH")</f>
        <v>Eurofins Institut Jäger GmbH</v>
      </c>
    </row>
    <row r="306">
      <c r="A306" s="6" t="str">
        <f>IFERROR(__xludf.DUMMYFUNCTION("""COMPUTED_VALUE"""),"ExploSYS GmbH")</f>
        <v>ExploSYS GmbH</v>
      </c>
    </row>
    <row r="307">
      <c r="A307" s="6" t="str">
        <f>IFERROR(__xludf.DUMMYFUNCTION("""COMPUTED_VALUE"""),"ExploSYS GmbH")</f>
        <v>ExploSYS GmbH</v>
      </c>
    </row>
    <row r="308">
      <c r="A308" s="6" t="str">
        <f>IFERROR(__xludf.DUMMYFUNCTION("""COMPUTED_VALUE"""),"Exyte GmbH")</f>
        <v>Exyte GmbH</v>
      </c>
    </row>
    <row r="309">
      <c r="A309" s="6" t="str">
        <f>IFERROR(__xludf.DUMMYFUNCTION("""COMPUTED_VALUE"""),"Exyte GmbH")</f>
        <v>Exyte GmbH</v>
      </c>
    </row>
    <row r="310">
      <c r="A310" s="6" t="str">
        <f>IFERROR(__xludf.DUMMYFUNCTION("""COMPUTED_VALUE"""),"EXZET")</f>
        <v>EXZET</v>
      </c>
    </row>
    <row r="311">
      <c r="A311" s="6" t="str">
        <f>IFERROR(__xludf.DUMMYFUNCTION("""COMPUTED_VALUE"""),"EXZET")</f>
        <v>EXZET</v>
      </c>
    </row>
    <row r="312">
      <c r="A312" s="6" t="str">
        <f>IFERROR(__xludf.DUMMYFUNCTION("""COMPUTED_VALUE"""),"felimar GmbH")</f>
        <v>felimar GmbH</v>
      </c>
    </row>
    <row r="313">
      <c r="A313" s="6" t="str">
        <f>IFERROR(__xludf.DUMMYFUNCTION("""COMPUTED_VALUE"""),"felimar GmbH")</f>
        <v>felimar GmbH</v>
      </c>
    </row>
    <row r="314">
      <c r="A314" s="6" t="str">
        <f>IFERROR(__xludf.DUMMYFUNCTION("""COMPUTED_VALUE"""),"fem Forschungsinstitut Edelmetalle + Metallchemie")</f>
        <v>fem Forschungsinstitut Edelmetalle + Metallchemie</v>
      </c>
    </row>
    <row r="315">
      <c r="A315" s="6" t="str">
        <f>IFERROR(__xludf.DUMMYFUNCTION("""COMPUTED_VALUE"""),"fem Forschungsinstitut Edelmetalle + Metallchemie")</f>
        <v>fem Forschungsinstitut Edelmetalle + Metallchemie</v>
      </c>
    </row>
    <row r="316">
      <c r="A316" s="6" t="str">
        <f>IFERROR(__xludf.DUMMYFUNCTION("""COMPUTED_VALUE"""),"Festo AG &amp; Co. KG")</f>
        <v>Festo AG &amp; Co. KG</v>
      </c>
    </row>
    <row r="317">
      <c r="A317" s="6" t="str">
        <f>IFERROR(__xludf.DUMMYFUNCTION("""COMPUTED_VALUE"""),"Festo AG &amp; Co. KG")</f>
        <v>Festo AG &amp; Co. KG</v>
      </c>
    </row>
    <row r="318">
      <c r="A318" s="6" t="str">
        <f>IFERROR(__xludf.DUMMYFUNCTION("""COMPUTED_VALUE"""),"Forschungszentrum für Systembiologie der Universität Stuttgart (SRCSB)")</f>
        <v>Forschungszentrum für Systembiologie der Universität Stuttgart (SRCSB)</v>
      </c>
    </row>
    <row r="319">
      <c r="A319" s="6" t="str">
        <f>IFERROR(__xludf.DUMMYFUNCTION("""COMPUTED_VALUE"""),"Forschungszentrum für Systembiologie der Universität Stuttgart (SRCSB)")</f>
        <v>Forschungszentrum für Systembiologie der Universität Stuttgart (SRCSB)</v>
      </c>
    </row>
    <row r="320">
      <c r="A320" s="6" t="str">
        <f>IFERROR(__xludf.DUMMYFUNCTION("""COMPUTED_VALUE"""),"Fr. Mollenkopf GmbH &amp; Co. KG")</f>
        <v>Fr. Mollenkopf GmbH &amp; Co. KG</v>
      </c>
    </row>
    <row r="321">
      <c r="A321" s="6" t="str">
        <f>IFERROR(__xludf.DUMMYFUNCTION("""COMPUTED_VALUE"""),"Fr. Mollenkopf GmbH &amp; Co. KG")</f>
        <v>Fr. Mollenkopf GmbH &amp; Co. KG</v>
      </c>
    </row>
    <row r="322">
      <c r="A322" s="6" t="str">
        <f>IFERROR(__xludf.DUMMYFUNCTION("""COMPUTED_VALUE"""),"Fraunhofer-Institut für Produktionstechnik und Automatisierung IPA")</f>
        <v>Fraunhofer-Institut für Produktionstechnik und Automatisierung IPA</v>
      </c>
    </row>
    <row r="323">
      <c r="A323" s="6" t="str">
        <f>IFERROR(__xludf.DUMMYFUNCTION("""COMPUTED_VALUE"""),"Fraunhofer-Institut für Produktionstechnik und Automatisierung IPA")</f>
        <v>Fraunhofer-Institut für Produktionstechnik und Automatisierung IPA</v>
      </c>
    </row>
    <row r="324">
      <c r="A324" s="6" t="str">
        <f>IFERROR(__xludf.DUMMYFUNCTION("""COMPUTED_VALUE"""),"Fraunhofer Institute for Industrial Engineering IAO")</f>
        <v>Fraunhofer Institute for Industrial Engineering IAO</v>
      </c>
    </row>
    <row r="325">
      <c r="A325" s="6" t="str">
        <f>IFERROR(__xludf.DUMMYFUNCTION("""COMPUTED_VALUE"""),"Fraunhofer Institute for Industrial Engineering IAO")</f>
        <v>Fraunhofer Institute for Industrial Engineering IAO</v>
      </c>
    </row>
    <row r="326">
      <c r="A326" s="6" t="str">
        <f>IFERROR(__xludf.DUMMYFUNCTION("""COMPUTED_VALUE"""),"Fraunhofer Institute for Interfacial Engineering and Biotechnology IGB")</f>
        <v>Fraunhofer Institute for Interfacial Engineering and Biotechnology IGB</v>
      </c>
    </row>
    <row r="327">
      <c r="A327" s="6" t="str">
        <f>IFERROR(__xludf.DUMMYFUNCTION("""COMPUTED_VALUE"""),"Fraunhofer Institute for Interfacial Engineering and Biotechnology IGB")</f>
        <v>Fraunhofer Institute for Interfacial Engineering and Biotechnology IGB</v>
      </c>
    </row>
    <row r="328">
      <c r="A328" s="6" t="str">
        <f>IFERROR(__xludf.DUMMYFUNCTION("""COMPUTED_VALUE"""),"Friedrich-Miescher-Laboratorium")</f>
        <v>Friedrich-Miescher-Laboratorium</v>
      </c>
    </row>
    <row r="329">
      <c r="A329" s="6" t="str">
        <f>IFERROR(__xludf.DUMMYFUNCTION("""COMPUTED_VALUE"""),"Friedrich-Miescher-Laboratorium")</f>
        <v>Friedrich-Miescher-Laboratorium</v>
      </c>
    </row>
    <row r="330">
      <c r="A330" s="6" t="str">
        <f>IFERROR(__xludf.DUMMYFUNCTION("""COMPUTED_VALUE"""),"Friedrich Bosch Medizintechnik GmbH &amp; Co. KG")</f>
        <v>Friedrich Bosch Medizintechnik GmbH &amp; Co. KG</v>
      </c>
    </row>
    <row r="331">
      <c r="A331" s="6" t="str">
        <f>IFERROR(__xludf.DUMMYFUNCTION("""COMPUTED_VALUE"""),"Friedrich Bosch Medizintechnik GmbH &amp; Co. KG")</f>
        <v>Friedrich Bosch Medizintechnik GmbH &amp; Co. KG</v>
      </c>
    </row>
    <row r="332">
      <c r="A332" s="6" t="str">
        <f>IFERROR(__xludf.DUMMYFUNCTION("""COMPUTED_VALUE"""),"FRYKA Kältetechnik GmbH")</f>
        <v>FRYKA Kältetechnik GmbH</v>
      </c>
    </row>
    <row r="333">
      <c r="A333" s="6" t="str">
        <f>IFERROR(__xludf.DUMMYFUNCTION("""COMPUTED_VALUE"""),"FRYKA Kältetechnik GmbH")</f>
        <v>FRYKA Kältetechnik GmbH</v>
      </c>
    </row>
    <row r="334">
      <c r="A334" s="6" t="str">
        <f>IFERROR(__xludf.DUMMYFUNCTION("""COMPUTED_VALUE"""),"Fysor GmbH")</f>
        <v>Fysor GmbH</v>
      </c>
    </row>
    <row r="335">
      <c r="A335" s="6" t="str">
        <f>IFERROR(__xludf.DUMMYFUNCTION("""COMPUTED_VALUE"""),"Fysor GmbH")</f>
        <v>Fysor GmbH</v>
      </c>
    </row>
    <row r="336">
      <c r="A336" s="6" t="str">
        <f>IFERROR(__xludf.DUMMYFUNCTION("""COMPUTED_VALUE"""),"G. Heinemann Ultraschall- und Labortechnik")</f>
        <v>G. Heinemann Ultraschall- und Labortechnik</v>
      </c>
    </row>
    <row r="337">
      <c r="A337" s="6" t="str">
        <f>IFERROR(__xludf.DUMMYFUNCTION("""COMPUTED_VALUE"""),"G. Heinemann Ultraschall- und Labortechnik")</f>
        <v>G. Heinemann Ultraschall- und Labortechnik</v>
      </c>
    </row>
    <row r="338">
      <c r="A338" s="6" t="str">
        <f>IFERROR(__xludf.DUMMYFUNCTION("""COMPUTED_VALUE"""),"Gambro Dialysatoren GmbH")</f>
        <v>Gambro Dialysatoren GmbH</v>
      </c>
    </row>
    <row r="339">
      <c r="A339" s="6" t="str">
        <f>IFERROR(__xludf.DUMMYFUNCTION("""COMPUTED_VALUE"""),"Gambro Dialysatoren GmbH")</f>
        <v>Gambro Dialysatoren GmbH</v>
      </c>
    </row>
    <row r="340">
      <c r="A340" s="6" t="str">
        <f>IFERROR(__xludf.DUMMYFUNCTION("""COMPUTED_VALUE"""),"Generatio GmbH - Center for Animal Genetics")</f>
        <v>Generatio GmbH - Center for Animal Genetics</v>
      </c>
    </row>
    <row r="341">
      <c r="A341" s="6" t="str">
        <f>IFERROR(__xludf.DUMMYFUNCTION("""COMPUTED_VALUE"""),"Generatio GmbH - Center for Animal Genetics")</f>
        <v>Generatio GmbH - Center for Animal Genetics</v>
      </c>
    </row>
    <row r="342">
      <c r="A342" s="6" t="str">
        <f>IFERROR(__xludf.DUMMYFUNCTION("""COMPUTED_VALUE"""),"gerbion GmbH &amp; Co. KG")</f>
        <v>gerbion GmbH &amp; Co. KG</v>
      </c>
    </row>
    <row r="343">
      <c r="A343" s="6" t="str">
        <f>IFERROR(__xludf.DUMMYFUNCTION("""COMPUTED_VALUE"""),"gerbion GmbH &amp; Co. KG")</f>
        <v>gerbion GmbH &amp; Co. KG</v>
      </c>
    </row>
    <row r="344">
      <c r="A344" s="6" t="str">
        <f>IFERROR(__xludf.DUMMYFUNCTION("""COMPUTED_VALUE"""),"Gerwing Medizinprodukte Gerd Riester e. K.")</f>
        <v>Gerwing Medizinprodukte Gerd Riester e. K.</v>
      </c>
    </row>
    <row r="345">
      <c r="A345" s="6" t="str">
        <f>IFERROR(__xludf.DUMMYFUNCTION("""COMPUTED_VALUE"""),"Gerwing Medizinprodukte Gerd Riester e. K.")</f>
        <v>Gerwing Medizinprodukte Gerd Riester e. K.</v>
      </c>
    </row>
    <row r="346">
      <c r="A346" s="6" t="str">
        <f>IFERROR(__xludf.DUMMYFUNCTION("""COMPUTED_VALUE"""),"GETEX LENZ Technische Textilien GmbH")</f>
        <v>GETEX LENZ Technische Textilien GmbH</v>
      </c>
    </row>
    <row r="347">
      <c r="A347" s="6" t="str">
        <f>IFERROR(__xludf.DUMMYFUNCTION("""COMPUTED_VALUE"""),"GETEX LENZ Technische Textilien GmbH")</f>
        <v>GETEX LENZ Technische Textilien GmbH</v>
      </c>
    </row>
    <row r="348">
      <c r="A348" s="6" t="str">
        <f>IFERROR(__xludf.DUMMYFUNCTION("""COMPUTED_VALUE"""),"GlobalFlow GmbH")</f>
        <v>GlobalFlow GmbH</v>
      </c>
    </row>
    <row r="349">
      <c r="A349" s="6" t="str">
        <f>IFERROR(__xludf.DUMMYFUNCTION("""COMPUTED_VALUE"""),"GlobalFlow GmbH")</f>
        <v>GlobalFlow GmbH</v>
      </c>
    </row>
    <row r="350">
      <c r="A350" s="6" t="str">
        <f>IFERROR(__xludf.DUMMYFUNCTION("""COMPUTED_VALUE"""),"Goldfuß engineering GmbH")</f>
        <v>Goldfuß engineering GmbH</v>
      </c>
    </row>
    <row r="351">
      <c r="A351" s="6" t="str">
        <f>IFERROR(__xludf.DUMMYFUNCTION("""COMPUTED_VALUE"""),"Goldfuß engineering GmbH")</f>
        <v>Goldfuß engineering GmbH</v>
      </c>
    </row>
    <row r="352">
      <c r="A352" s="6" t="str">
        <f>IFERROR(__xludf.DUMMYFUNCTION("""COMPUTED_VALUE"""),"Graduate Training Centre of Neuroscience")</f>
        <v>Graduate Training Centre of Neuroscience</v>
      </c>
    </row>
    <row r="353">
      <c r="A353" s="6" t="str">
        <f>IFERROR(__xludf.DUMMYFUNCTION("""COMPUTED_VALUE"""),"Graduate Training Centre of Neuroscience")</f>
        <v>Graduate Training Centre of Neuroscience</v>
      </c>
    </row>
    <row r="354">
      <c r="A354" s="6" t="str">
        <f>IFERROR(__xludf.DUMMYFUNCTION("""COMPUTED_VALUE"""),"Greiner Bio-One GmbH")</f>
        <v>Greiner Bio-One GmbH</v>
      </c>
    </row>
    <row r="355">
      <c r="A355" s="6" t="str">
        <f>IFERROR(__xludf.DUMMYFUNCTION("""COMPUTED_VALUE"""),"Greiner Bio-One GmbH")</f>
        <v>Greiner Bio-One GmbH</v>
      </c>
    </row>
    <row r="356">
      <c r="A356" s="6" t="str">
        <f>IFERROR(__xludf.DUMMYFUNCTION("""COMPUTED_VALUE"""),"GWW - Gemeinnützige Werkstätten und Wohnstätten GmbH")</f>
        <v>GWW - Gemeinnützige Werkstätten und Wohnstätten GmbH</v>
      </c>
    </row>
    <row r="357">
      <c r="A357" s="6" t="str">
        <f>IFERROR(__xludf.DUMMYFUNCTION("""COMPUTED_VALUE"""),"GWW - Gemeinnützige Werkstätten und Wohnstätten GmbH")</f>
        <v>GWW - Gemeinnützige Werkstätten und Wohnstätten GmbH</v>
      </c>
    </row>
    <row r="358">
      <c r="A358" s="6" t="str">
        <f>IFERROR(__xludf.DUMMYFUNCTION("""COMPUTED_VALUE"""),"HAEBERLE GmbH &amp; Co. KG")</f>
        <v>HAEBERLE GmbH &amp; Co. KG</v>
      </c>
    </row>
    <row r="359">
      <c r="A359" s="6" t="str">
        <f>IFERROR(__xludf.DUMMYFUNCTION("""COMPUTED_VALUE"""),"HAEBERLE GmbH &amp; Co. KG")</f>
        <v>HAEBERLE GmbH &amp; Co. KG</v>
      </c>
    </row>
    <row r="360">
      <c r="A360" s="6" t="str">
        <f>IFERROR(__xludf.DUMMYFUNCTION("""COMPUTED_VALUE"""),"Hahn-Schickard - Institut für Mikroaufbautechnik")</f>
        <v>Hahn-Schickard - Institut für Mikroaufbautechnik</v>
      </c>
    </row>
    <row r="361">
      <c r="A361" s="6" t="str">
        <f>IFERROR(__xludf.DUMMYFUNCTION("""COMPUTED_VALUE"""),"Hahn-Schickard - Institut für Mikroaufbautechnik")</f>
        <v>Hahn-Schickard - Institut für Mikroaufbautechnik</v>
      </c>
    </row>
    <row r="362">
      <c r="A362" s="6" t="str">
        <f>IFERROR(__xludf.DUMMYFUNCTION("""COMPUTED_VALUE"""),"Hain Lifescience GmbH")</f>
        <v>Hain Lifescience GmbH</v>
      </c>
    </row>
    <row r="363">
      <c r="A363" s="6" t="str">
        <f>IFERROR(__xludf.DUMMYFUNCTION("""COMPUTED_VALUE"""),"Hain Lifescience GmbH")</f>
        <v>Hain Lifescience GmbH</v>
      </c>
    </row>
    <row r="364">
      <c r="A364" s="6" t="str">
        <f>IFERROR(__xludf.DUMMYFUNCTION("""COMPUTED_VALUE"""),"Haselmeier GmbH")</f>
        <v>Haselmeier GmbH</v>
      </c>
    </row>
    <row r="365">
      <c r="A365" s="6" t="str">
        <f>IFERROR(__xludf.DUMMYFUNCTION("""COMPUTED_VALUE"""),"Haselmeier GmbH")</f>
        <v>Haselmeier GmbH</v>
      </c>
    </row>
    <row r="366">
      <c r="A366" s="6" t="str">
        <f>IFERROR(__xludf.DUMMYFUNCTION("""COMPUTED_VALUE"""),"HB Technologies AG")</f>
        <v>HB Technologies AG</v>
      </c>
    </row>
    <row r="367">
      <c r="A367" s="6" t="str">
        <f>IFERROR(__xludf.DUMMYFUNCTION("""COMPUTED_VALUE"""),"HB Technologies AG")</f>
        <v>HB Technologies AG</v>
      </c>
    </row>
    <row r="368">
      <c r="A368" s="6" t="str">
        <f>IFERROR(__xludf.DUMMYFUNCTION("""COMPUTED_VALUE"""),"heckel medizintechnik GmbH")</f>
        <v>heckel medizintechnik GmbH</v>
      </c>
    </row>
    <row r="369">
      <c r="A369" s="6" t="str">
        <f>IFERROR(__xludf.DUMMYFUNCTION("""COMPUTED_VALUE"""),"heckel medizintechnik GmbH")</f>
        <v>heckel medizintechnik GmbH</v>
      </c>
    </row>
    <row r="370">
      <c r="A370" s="6" t="str">
        <f>IFERROR(__xludf.DUMMYFUNCTION("""COMPUTED_VALUE"""),"Heinz Kurz GmbH")</f>
        <v>Heinz Kurz GmbH</v>
      </c>
    </row>
    <row r="371">
      <c r="A371" s="6" t="str">
        <f>IFERROR(__xludf.DUMMYFUNCTION("""COMPUTED_VALUE"""),"Heinz Kurz GmbH")</f>
        <v>Heinz Kurz GmbH</v>
      </c>
    </row>
    <row r="372">
      <c r="A372" s="6" t="str">
        <f>IFERROR(__xludf.DUMMYFUNCTION("""COMPUTED_VALUE"""),"Heinz Schade GmbH")</f>
        <v>Heinz Schade GmbH</v>
      </c>
    </row>
    <row r="373">
      <c r="A373" s="6" t="str">
        <f>IFERROR(__xludf.DUMMYFUNCTION("""COMPUTED_VALUE"""),"Heinz Schade GmbH")</f>
        <v>Heinz Schade GmbH</v>
      </c>
    </row>
    <row r="374">
      <c r="A374" s="6" t="str">
        <f>IFERROR(__xludf.DUMMYFUNCTION("""COMPUTED_VALUE"""),"Hellstern medical GmbH")</f>
        <v>Hellstern medical GmbH</v>
      </c>
    </row>
    <row r="375">
      <c r="A375" s="6" t="str">
        <f>IFERROR(__xludf.DUMMYFUNCTION("""COMPUTED_VALUE"""),"Hellstern medical GmbH")</f>
        <v>Hellstern medical GmbH</v>
      </c>
    </row>
    <row r="376">
      <c r="A376" s="6" t="str">
        <f>IFERROR(__xludf.DUMMYFUNCTION("""COMPUTED_VALUE"""),"Helmut Saur Laborbedarf")</f>
        <v>Helmut Saur Laborbedarf</v>
      </c>
    </row>
    <row r="377">
      <c r="A377" s="6" t="str">
        <f>IFERROR(__xludf.DUMMYFUNCTION("""COMPUTED_VALUE"""),"Helmut Saur Laborbedarf")</f>
        <v>Helmut Saur Laborbedarf</v>
      </c>
    </row>
    <row r="378">
      <c r="A378" s="6" t="str">
        <f>IFERROR(__xludf.DUMMYFUNCTION("""COMPUTED_VALUE"""),"Hertie-Institut für klinische Hirnforschung")</f>
        <v>Hertie-Institut für klinische Hirnforschung</v>
      </c>
    </row>
    <row r="379">
      <c r="A379" s="6" t="str">
        <f>IFERROR(__xludf.DUMMYFUNCTION("""COMPUTED_VALUE"""),"Hertie-Institut für klinische Hirnforschung")</f>
        <v>Hertie-Institut für klinische Hirnforschung</v>
      </c>
    </row>
    <row r="380">
      <c r="A380" s="6" t="str">
        <f>IFERROR(__xludf.DUMMYFUNCTION("""COMPUTED_VALUE"""),"Hochschule für Forstwirtschaft Rottenburg")</f>
        <v>Hochschule für Forstwirtschaft Rottenburg</v>
      </c>
    </row>
    <row r="381">
      <c r="A381" s="6" t="str">
        <f>IFERROR(__xludf.DUMMYFUNCTION("""COMPUTED_VALUE"""),"Hochschule für Forstwirtschaft Rottenburg")</f>
        <v>Hochschule für Forstwirtschaft Rottenburg</v>
      </c>
    </row>
    <row r="382">
      <c r="A382" s="6" t="str">
        <f>IFERROR(__xludf.DUMMYFUNCTION("""COMPUTED_VALUE"""),"Hochschule für Technik Stuttgart")</f>
        <v>Hochschule für Technik Stuttgart</v>
      </c>
    </row>
    <row r="383">
      <c r="A383" s="6" t="str">
        <f>IFERROR(__xludf.DUMMYFUNCTION("""COMPUTED_VALUE"""),"Hochschule für Technik Stuttgart")</f>
        <v>Hochschule für Technik Stuttgart</v>
      </c>
    </row>
    <row r="384">
      <c r="A384" s="6" t="str">
        <f>IFERROR(__xludf.DUMMYFUNCTION("""COMPUTED_VALUE"""),"Hochschule für Wirtschaft und Umwelt Nürtingen-Geislingen")</f>
        <v>Hochschule für Wirtschaft und Umwelt Nürtingen-Geislingen</v>
      </c>
    </row>
    <row r="385">
      <c r="A385" s="6" t="str">
        <f>IFERROR(__xludf.DUMMYFUNCTION("""COMPUTED_VALUE"""),"Hochschule für Wirtschaft und Umwelt Nürtingen-Geislingen")</f>
        <v>Hochschule für Wirtschaft und Umwelt Nürtingen-Geislingen</v>
      </c>
    </row>
    <row r="386">
      <c r="A386" s="6" t="str">
        <f>IFERROR(__xludf.DUMMYFUNCTION("""COMPUTED_VALUE"""),"Hochschule Reutlingen")</f>
        <v>Hochschule Reutlingen</v>
      </c>
    </row>
    <row r="387">
      <c r="A387" s="6" t="str">
        <f>IFERROR(__xludf.DUMMYFUNCTION("""COMPUTED_VALUE"""),"Hochschule Reutlingen")</f>
        <v>Hochschule Reutlingen</v>
      </c>
    </row>
    <row r="388">
      <c r="A388" s="6" t="str">
        <f>IFERROR(__xludf.DUMMYFUNCTION("""COMPUTED_VALUE"""),"Hohenstein Laboratories GmbH &amp; Co. KG")</f>
        <v>Hohenstein Laboratories GmbH &amp; Co. KG</v>
      </c>
    </row>
    <row r="389">
      <c r="A389" s="6" t="str">
        <f>IFERROR(__xludf.DUMMYFUNCTION("""COMPUTED_VALUE"""),"Hohenstein Laboratories GmbH &amp; Co. KG")</f>
        <v>Hohenstein Laboratories GmbH &amp; Co. KG</v>
      </c>
    </row>
    <row r="390">
      <c r="A390" s="6" t="str">
        <f>IFERROR(__xludf.DUMMYFUNCTION("""COMPUTED_VALUE"""),"HOLZ automation GmbH")</f>
        <v>HOLZ automation GmbH</v>
      </c>
    </row>
    <row r="391">
      <c r="A391" s="6" t="str">
        <f>IFERROR(__xludf.DUMMYFUNCTION("""COMPUTED_VALUE"""),"HOLZ automation GmbH")</f>
        <v>HOLZ automation GmbH</v>
      </c>
    </row>
    <row r="392">
      <c r="A392" s="6" t="str">
        <f>IFERROR(__xludf.DUMMYFUNCTION("""COMPUTED_VALUE"""),"HORO Dr. Hofmann GmbH")</f>
        <v>HORO Dr. Hofmann GmbH</v>
      </c>
    </row>
    <row r="393">
      <c r="A393" s="6" t="str">
        <f>IFERROR(__xludf.DUMMYFUNCTION("""COMPUTED_VALUE"""),"HORO Dr. Hofmann GmbH")</f>
        <v>HORO Dr. Hofmann GmbH</v>
      </c>
    </row>
    <row r="394">
      <c r="A394" s="6" t="str">
        <f>IFERROR(__xludf.DUMMYFUNCTION("""COMPUTED_VALUE"""),"Horst Hähl Kunststoffspritzguss &amp; Werkzeugbau GmbH")</f>
        <v>Horst Hähl Kunststoffspritzguss &amp; Werkzeugbau GmbH</v>
      </c>
    </row>
    <row r="395">
      <c r="A395" s="6" t="str">
        <f>IFERROR(__xludf.DUMMYFUNCTION("""COMPUTED_VALUE"""),"Horst Hähl Kunststoffspritzguss &amp; Werkzeugbau GmbH")</f>
        <v>Horst Hähl Kunststoffspritzguss &amp; Werkzeugbau GmbH</v>
      </c>
    </row>
    <row r="396">
      <c r="A396" s="6" t="str">
        <f>IFERROR(__xludf.DUMMYFUNCTION("""COMPUTED_VALUE"""),"HOT Screen GmbH")</f>
        <v>HOT Screen GmbH</v>
      </c>
    </row>
    <row r="397">
      <c r="A397" s="6" t="str">
        <f>IFERROR(__xludf.DUMMYFUNCTION("""COMPUTED_VALUE"""),"HOT Screen GmbH")</f>
        <v>HOT Screen GmbH</v>
      </c>
    </row>
    <row r="398">
      <c r="A398" s="6" t="str">
        <f>IFERROR(__xludf.DUMMYFUNCTION("""COMPUTED_VALUE"""),"Huber Health Care SE")</f>
        <v>Huber Health Care SE</v>
      </c>
    </row>
    <row r="399">
      <c r="A399" s="6" t="str">
        <f>IFERROR(__xludf.DUMMYFUNCTION("""COMPUTED_VALUE"""),"Huber Health Care SE")</f>
        <v>Huber Health Care SE</v>
      </c>
    </row>
    <row r="400">
      <c r="A400" s="6" t="str">
        <f>IFERROR(__xludf.DUMMYFUNCTION("""COMPUTED_VALUE"""),"Hubl GmbH stainless steel technology")</f>
        <v>Hubl GmbH stainless steel technology</v>
      </c>
    </row>
    <row r="401">
      <c r="A401" s="6" t="str">
        <f>IFERROR(__xludf.DUMMYFUNCTION("""COMPUTED_VALUE"""),"Hubl GmbH stainless steel technology")</f>
        <v>Hubl GmbH stainless steel technology</v>
      </c>
    </row>
    <row r="402">
      <c r="A402" s="6" t="str">
        <f>IFERROR(__xludf.DUMMYFUNCTION("""COMPUTED_VALUE"""),"Hutzel DrehTech GmbH")</f>
        <v>Hutzel DrehTech GmbH</v>
      </c>
    </row>
    <row r="403">
      <c r="A403" s="6" t="str">
        <f>IFERROR(__xludf.DUMMYFUNCTION("""COMPUTED_VALUE"""),"Hutzel DrehTech GmbH")</f>
        <v>Hutzel DrehTech GmbH</v>
      </c>
    </row>
    <row r="404">
      <c r="A404" s="6" t="str">
        <f>IFERROR(__xludf.DUMMYFUNCTION("""COMPUTED_VALUE"""),"IDENTXX GmbH")</f>
        <v>IDENTXX GmbH</v>
      </c>
    </row>
    <row r="405">
      <c r="A405" s="6" t="str">
        <f>IFERROR(__xludf.DUMMYFUNCTION("""COMPUTED_VALUE"""),"IDENTXX GmbH")</f>
        <v>IDENTXX GmbH</v>
      </c>
    </row>
    <row r="406">
      <c r="A406" s="6" t="str">
        <f>IFERROR(__xludf.DUMMYFUNCTION("""COMPUTED_VALUE"""),"IEG Industrie Engineering GmbH")</f>
        <v>IEG Industrie Engineering GmbH</v>
      </c>
    </row>
    <row r="407">
      <c r="A407" s="6" t="str">
        <f>IFERROR(__xludf.DUMMYFUNCTION("""COMPUTED_VALUE"""),"IEG Industrie Engineering GmbH")</f>
        <v>IEG Industrie Engineering GmbH</v>
      </c>
    </row>
    <row r="408">
      <c r="A408" s="6" t="str">
        <f>IFERROR(__xludf.DUMMYFUNCTION("""COMPUTED_VALUE"""),"Immatics Biotechnologies GmbH")</f>
        <v>Immatics Biotechnologies GmbH</v>
      </c>
    </row>
    <row r="409">
      <c r="A409" s="6" t="str">
        <f>IFERROR(__xludf.DUMMYFUNCTION("""COMPUTED_VALUE"""),"Immatics Biotechnologies GmbH")</f>
        <v>Immatics Biotechnologies GmbH</v>
      </c>
    </row>
    <row r="410">
      <c r="A410" s="6" t="str">
        <f>IFERROR(__xludf.DUMMYFUNCTION("""COMPUTED_VALUE"""),"Industrie- und Handelskammer Region Stuttgart")</f>
        <v>Industrie- und Handelskammer Region Stuttgart</v>
      </c>
    </row>
    <row r="411">
      <c r="A411" s="6" t="str">
        <f>IFERROR(__xludf.DUMMYFUNCTION("""COMPUTED_VALUE"""),"Industrie- und Handelskammer Region Stuttgart")</f>
        <v>Industrie- und Handelskammer Region Stuttgart</v>
      </c>
    </row>
    <row r="412">
      <c r="A412" s="6" t="str">
        <f>IFERROR(__xludf.DUMMYFUNCTION("""COMPUTED_VALUE"""),"Industrie- und Handelskammer Reutlingen")</f>
        <v>Industrie- und Handelskammer Reutlingen</v>
      </c>
    </row>
    <row r="413">
      <c r="A413" s="6" t="str">
        <f>IFERROR(__xludf.DUMMYFUNCTION("""COMPUTED_VALUE"""),"Industrie- und Handelskammer Reutlingen")</f>
        <v>Industrie- und Handelskammer Reutlingen</v>
      </c>
    </row>
    <row r="414">
      <c r="A414" s="6" t="str">
        <f>IFERROR(__xludf.DUMMYFUNCTION("""COMPUTED_VALUE"""),"Inspirent Engineering")</f>
        <v>Inspirent Engineering</v>
      </c>
    </row>
    <row r="415">
      <c r="A415" s="6" t="str">
        <f>IFERROR(__xludf.DUMMYFUNCTION("""COMPUTED_VALUE"""),"Inspirent Engineering")</f>
        <v>Inspirent Engineering</v>
      </c>
    </row>
    <row r="416">
      <c r="A416" s="6" t="str">
        <f>IFERROR(__xludf.DUMMYFUNCTION("""COMPUTED_VALUE"""),"Institut Dr. Flad")</f>
        <v>Institut Dr. Flad</v>
      </c>
    </row>
    <row r="417">
      <c r="A417" s="6" t="str">
        <f>IFERROR(__xludf.DUMMYFUNCTION("""COMPUTED_VALUE"""),"Institut Dr. Flad")</f>
        <v>Institut Dr. Flad</v>
      </c>
    </row>
    <row r="418">
      <c r="A418" s="6" t="str">
        <f>IFERROR(__xludf.DUMMYFUNCTION("""COMPUTED_VALUE"""),"Institut Dr. Lörcher und Partner mbB Handelschemiker")</f>
        <v>Institut Dr. Lörcher und Partner mbB Handelschemiker</v>
      </c>
    </row>
    <row r="419">
      <c r="A419" s="6" t="str">
        <f>IFERROR(__xludf.DUMMYFUNCTION("""COMPUTED_VALUE"""),"Institut Dr. Lörcher und Partner mbB Handelschemiker")</f>
        <v>Institut Dr. Lörcher und Partner mbB Handelschemiker</v>
      </c>
    </row>
    <row r="420">
      <c r="A420" s="6" t="str">
        <f>IFERROR(__xludf.DUMMYFUNCTION("""COMPUTED_VALUE"""),"Institute for Human Factors and Technology Management IAT University of 
Stuttgart")</f>
        <v>Institute for Human Factors and Technology Management IAT University of 
Stuttgart</v>
      </c>
    </row>
    <row r="421">
      <c r="A421" s="6" t="str">
        <f>IFERROR(__xludf.DUMMYFUNCTION("""COMPUTED_VALUE"""),"Institute for Human Factors and Technology Management IAT University of 
Stuttgart")</f>
        <v>Institute for Human Factors and Technology Management IAT University of 
Stuttgart</v>
      </c>
    </row>
    <row r="422">
      <c r="A422" s="6" t="str">
        <f>IFERROR(__xludf.DUMMYFUNCTION("""COMPUTED_VALUE"""),"Institute for Medical Psychology and Behavioural Neurobiology")</f>
        <v>Institute for Medical Psychology and Behavioural Neurobiology</v>
      </c>
    </row>
    <row r="423">
      <c r="A423" s="6" t="str">
        <f>IFERROR(__xludf.DUMMYFUNCTION("""COMPUTED_VALUE"""),"Institute for Medical Psychology and Behavioural Neurobiology")</f>
        <v>Institute for Medical Psychology and Behavioural Neurobiology</v>
      </c>
    </row>
    <row r="424">
      <c r="A424" s="6" t="str">
        <f>IFERROR(__xludf.DUMMYFUNCTION("""COMPUTED_VALUE"""),"Institute of Clinical Anatomy and Cell Analysis")</f>
        <v>Institute of Clinical Anatomy and Cell Analysis</v>
      </c>
    </row>
    <row r="425">
      <c r="A425" s="6" t="str">
        <f>IFERROR(__xludf.DUMMYFUNCTION("""COMPUTED_VALUE"""),"Institute of Clinical Anatomy and Cell Analysis")</f>
        <v>Institute of Clinical Anatomy and Cell Analysis</v>
      </c>
    </row>
    <row r="426">
      <c r="A426" s="6" t="str">
        <f>IFERROR(__xludf.DUMMYFUNCTION("""COMPUTED_VALUE"""),"Institute of Medical Device Technology University of Stuttgart ")</f>
        <v>Institute of Medical Device Technology University of Stuttgart </v>
      </c>
    </row>
    <row r="427">
      <c r="A427" s="6" t="str">
        <f>IFERROR(__xludf.DUMMYFUNCTION("""COMPUTED_VALUE"""),"Institute of Medical Device Technology University of Stuttgart ")</f>
        <v>Institute of Medical Device Technology University of Stuttgart </v>
      </c>
    </row>
    <row r="428">
      <c r="A428" s="6" t="str">
        <f>IFERROR(__xludf.DUMMYFUNCTION("""COMPUTED_VALUE"""),"Institut für Bioverfahrenstechnik")</f>
        <v>Institut für Bioverfahrenstechnik</v>
      </c>
    </row>
    <row r="429">
      <c r="A429" s="6" t="str">
        <f>IFERROR(__xludf.DUMMYFUNCTION("""COMPUTED_VALUE"""),"Institut für Bioverfahrenstechnik")</f>
        <v>Institut für Bioverfahrenstechnik</v>
      </c>
    </row>
    <row r="430">
      <c r="A430" s="6" t="str">
        <f>IFERROR(__xludf.DUMMYFUNCTION("""COMPUTED_VALUE"""),"Institut für Grenzflächenverfahrenstechnik und Plasmatechnologie IGVP, 
Universität Stuttgart")</f>
        <v>Institut für Grenzflächenverfahrenstechnik und Plasmatechnologie IGVP, 
Universität Stuttgart</v>
      </c>
    </row>
    <row r="431">
      <c r="A431" s="6" t="str">
        <f>IFERROR(__xludf.DUMMYFUNCTION("""COMPUTED_VALUE"""),"Institut für Grenzflächenverfahrenstechnik und Plasmatechnologie IGVP, 
Universität Stuttgart")</f>
        <v>Institut für Grenzflächenverfahrenstechnik und Plasmatechnologie IGVP, 
Universität Stuttgart</v>
      </c>
    </row>
    <row r="432">
      <c r="A432" s="6" t="str">
        <f>IFERROR(__xludf.DUMMYFUNCTION("""COMPUTED_VALUE"""),"Institut für Plasmaforschung der Universität Stuttgart")</f>
        <v>Institut für Plasmaforschung der Universität Stuttgart</v>
      </c>
    </row>
    <row r="433">
      <c r="A433" s="6" t="str">
        <f>IFERROR(__xludf.DUMMYFUNCTION("""COMPUTED_VALUE"""),"Institut für Plasmaforschung der Universität Stuttgart")</f>
        <v>Institut für Plasmaforschung der Universität Stuttgart</v>
      </c>
    </row>
    <row r="434">
      <c r="A434" s="6" t="str">
        <f>IFERROR(__xludf.DUMMYFUNCTION("""COMPUTED_VALUE"""),"Intavis Peptide Services GmbH")</f>
        <v>Intavis Peptide Services GmbH</v>
      </c>
    </row>
    <row r="435">
      <c r="A435" s="6" t="str">
        <f>IFERROR(__xludf.DUMMYFUNCTION("""COMPUTED_VALUE"""),"Intavis Peptide Services GmbH")</f>
        <v>Intavis Peptide Services GmbH</v>
      </c>
    </row>
    <row r="436">
      <c r="A436" s="6" t="str">
        <f>IFERROR(__xludf.DUMMYFUNCTION("""COMPUTED_VALUE"""),"IntegraSkin GmbH")</f>
        <v>IntegraSkin GmbH</v>
      </c>
    </row>
    <row r="437">
      <c r="A437" s="6" t="str">
        <f>IFERROR(__xludf.DUMMYFUNCTION("""COMPUTED_VALUE"""),"IntegraSkin GmbH")</f>
        <v>IntegraSkin GmbH</v>
      </c>
    </row>
    <row r="438">
      <c r="A438" s="6" t="str">
        <f>IFERROR(__xludf.DUMMYFUNCTION("""COMPUTED_VALUE"""),"Interfakultäres Institut für Biochemie")</f>
        <v>Interfakultäres Institut für Biochemie</v>
      </c>
    </row>
    <row r="439">
      <c r="A439" s="6" t="str">
        <f>IFERROR(__xludf.DUMMYFUNCTION("""COMPUTED_VALUE"""),"Interfakultäres Institut für Biochemie")</f>
        <v>Interfakultäres Institut für Biochemie</v>
      </c>
    </row>
    <row r="440">
      <c r="A440" s="6" t="str">
        <f>IFERROR(__xludf.DUMMYFUNCTION("""COMPUTED_VALUE"""),"Internationales Referenzzentrum DNA-Viren")</f>
        <v>Internationales Referenzzentrum DNA-Viren</v>
      </c>
    </row>
    <row r="441">
      <c r="A441" s="6" t="str">
        <f>IFERROR(__xludf.DUMMYFUNCTION("""COMPUTED_VALUE"""),"Internationales Referenzzentrum DNA-Viren")</f>
        <v>Internationales Referenzzentrum DNA-Viren</v>
      </c>
    </row>
    <row r="442">
      <c r="A442" s="6" t="str">
        <f>IFERROR(__xludf.DUMMYFUNCTION("""COMPUTED_VALUE"""),"Internationales Zentrum für Ethik in den Wissenschaften IZEW")</f>
        <v>Internationales Zentrum für Ethik in den Wissenschaften IZEW</v>
      </c>
    </row>
    <row r="443">
      <c r="A443" s="6" t="str">
        <f>IFERROR(__xludf.DUMMYFUNCTION("""COMPUTED_VALUE"""),"Internationales Zentrum für Ethik in den Wissenschaften IZEW")</f>
        <v>Internationales Zentrum für Ethik in den Wissenschaften IZEW</v>
      </c>
    </row>
    <row r="444">
      <c r="A444" s="6" t="str">
        <f>IFERROR(__xludf.DUMMYFUNCTION("""COMPUTED_VALUE"""),"Interuniversitäres Zentrum für Medizinische Technologie IZST")</f>
        <v>Interuniversitäres Zentrum für Medizinische Technologie IZST</v>
      </c>
    </row>
    <row r="445">
      <c r="A445" s="6" t="str">
        <f>IFERROR(__xludf.DUMMYFUNCTION("""COMPUTED_VALUE"""),"Interuniversitäres Zentrum für Medizinische Technologie IZST")</f>
        <v>Interuniversitäres Zentrum für Medizinische Technologie IZST</v>
      </c>
    </row>
    <row r="446">
      <c r="A446" s="6" t="str">
        <f>IFERROR(__xludf.DUMMYFUNCTION("""COMPUTED_VALUE"""),"intuity media lab GmbH")</f>
        <v>intuity media lab GmbH</v>
      </c>
    </row>
    <row r="447">
      <c r="A447" s="6" t="str">
        <f>IFERROR(__xludf.DUMMYFUNCTION("""COMPUTED_VALUE"""),"intuity media lab GmbH")</f>
        <v>intuity media lab GmbH</v>
      </c>
    </row>
    <row r="448">
      <c r="A448" s="6" t="str">
        <f>IFERROR(__xludf.DUMMYFUNCTION("""COMPUTED_VALUE"""),"IP – Innovatives Planen GmbH")</f>
        <v>IP – Innovatives Planen GmbH</v>
      </c>
    </row>
    <row r="449">
      <c r="A449" s="6" t="str">
        <f>IFERROR(__xludf.DUMMYFUNCTION("""COMPUTED_VALUE"""),"IP – Innovatives Planen GmbH")</f>
        <v>IP – Innovatives Planen GmbH</v>
      </c>
    </row>
    <row r="450">
      <c r="A450" s="6" t="str">
        <f>IFERROR(__xludf.DUMMYFUNCTION("""COMPUTED_VALUE"""),"isepos GmbH")</f>
        <v>isepos GmbH</v>
      </c>
    </row>
    <row r="451">
      <c r="A451" s="6" t="str">
        <f>IFERROR(__xludf.DUMMYFUNCTION("""COMPUTED_VALUE"""),"isepos GmbH")</f>
        <v>isepos GmbH</v>
      </c>
    </row>
    <row r="452">
      <c r="A452" s="6" t="str">
        <f>IFERROR(__xludf.DUMMYFUNCTION("""COMPUTED_VALUE"""),"ITronic GmbH")</f>
        <v>ITronic GmbH</v>
      </c>
    </row>
    <row r="453">
      <c r="A453" s="6" t="str">
        <f>IFERROR(__xludf.DUMMYFUNCTION("""COMPUTED_VALUE"""),"ITronic GmbH")</f>
        <v>ITronic GmbH</v>
      </c>
    </row>
    <row r="454">
      <c r="A454" s="6" t="str">
        <f>IFERROR(__xludf.DUMMYFUNCTION("""COMPUTED_VALUE"""),"ITV Denkendorf Produktservice GmbH (ITVP)")</f>
        <v>ITV Denkendorf Produktservice GmbH (ITVP)</v>
      </c>
    </row>
    <row r="455">
      <c r="A455" s="6" t="str">
        <f>IFERROR(__xludf.DUMMYFUNCTION("""COMPUTED_VALUE"""),"ITV Denkendorf Produktservice GmbH (ITVP)")</f>
        <v>ITV Denkendorf Produktservice GmbH (ITVP)</v>
      </c>
    </row>
    <row r="456">
      <c r="A456" s="6" t="str">
        <f>IFERROR(__xludf.DUMMYFUNCTION("""COMPUTED_VALUE"""),"IZKF-Core Facility Transgenic Animals")</f>
        <v>IZKF-Core Facility Transgenic Animals</v>
      </c>
    </row>
    <row r="457">
      <c r="A457" s="6" t="str">
        <f>IFERROR(__xludf.DUMMYFUNCTION("""COMPUTED_VALUE"""),"IZKF-Core Facility Transgenic Animals")</f>
        <v>IZKF-Core Facility Transgenic Animals</v>
      </c>
    </row>
    <row r="458">
      <c r="A458" s="6" t="str">
        <f>IFERROR(__xludf.DUMMYFUNCTION("""COMPUTED_VALUE"""),"JatroSolutions GmbH")</f>
        <v>JatroSolutions GmbH</v>
      </c>
    </row>
    <row r="459">
      <c r="A459" s="6" t="str">
        <f>IFERROR(__xludf.DUMMYFUNCTION("""COMPUTED_VALUE"""),"JatroSolutions GmbH")</f>
        <v>JatroSolutions GmbH</v>
      </c>
    </row>
    <row r="460">
      <c r="A460" s="6" t="str">
        <f>IFERROR(__xludf.DUMMYFUNCTION("""COMPUTED_VALUE"""),"JLM Innovation GmbH")</f>
        <v>JLM Innovation GmbH</v>
      </c>
    </row>
    <row r="461">
      <c r="A461" s="6" t="str">
        <f>IFERROR(__xludf.DUMMYFUNCTION("""COMPUTED_VALUE"""),"JLM Innovation GmbH")</f>
        <v>JLM Innovation GmbH</v>
      </c>
    </row>
    <row r="462">
      <c r="A462" s="6" t="str">
        <f>IFERROR(__xludf.DUMMYFUNCTION("""COMPUTED_VALUE"""),"JOLINE GmbH &amp; Co. KG")</f>
        <v>JOLINE GmbH &amp; Co. KG</v>
      </c>
    </row>
    <row r="463">
      <c r="A463" s="6" t="str">
        <f>IFERROR(__xludf.DUMMYFUNCTION("""COMPUTED_VALUE"""),"JOLINE GmbH &amp; Co. KG")</f>
        <v>JOLINE GmbH &amp; Co. KG</v>
      </c>
    </row>
    <row r="464">
      <c r="A464" s="6" t="str">
        <f>IFERROR(__xludf.DUMMYFUNCTION("""COMPUTED_VALUE"""),"Joma-Polytec GmbH")</f>
        <v>Joma-Polytec GmbH</v>
      </c>
    </row>
    <row r="465">
      <c r="A465" s="6" t="str">
        <f>IFERROR(__xludf.DUMMYFUNCTION("""COMPUTED_VALUE"""),"Joma-Polytec GmbH")</f>
        <v>Joma-Polytec GmbH</v>
      </c>
    </row>
    <row r="466">
      <c r="A466" s="6" t="str">
        <f>IFERROR(__xludf.DUMMYFUNCTION("""COMPUTED_VALUE"""),"JOTEC GmbH")</f>
        <v>JOTEC GmbH</v>
      </c>
    </row>
    <row r="467">
      <c r="A467" s="6" t="str">
        <f>IFERROR(__xludf.DUMMYFUNCTION("""COMPUTED_VALUE"""),"JOTEC GmbH")</f>
        <v>JOTEC GmbH</v>
      </c>
    </row>
    <row r="468">
      <c r="A468" s="6" t="str">
        <f>IFERROR(__xludf.DUMMYFUNCTION("""COMPUTED_VALUE"""),"Käthe-Kollwitz-Schule Esslingen")</f>
        <v>Käthe-Kollwitz-Schule Esslingen</v>
      </c>
    </row>
    <row r="469">
      <c r="A469" s="6" t="str">
        <f>IFERROR(__xludf.DUMMYFUNCTION("""COMPUTED_VALUE"""),"Käthe-Kollwitz-Schule Esslingen")</f>
        <v>Käthe-Kollwitz-Schule Esslingen</v>
      </c>
    </row>
    <row r="470">
      <c r="A470" s="6" t="str">
        <f>IFERROR(__xludf.DUMMYFUNCTION("""COMPUTED_VALUE"""),"Kas. Haiss KG")</f>
        <v>Kas. Haiss KG</v>
      </c>
    </row>
    <row r="471">
      <c r="A471" s="6" t="str">
        <f>IFERROR(__xludf.DUMMYFUNCTION("""COMPUTED_VALUE"""),"Kas. Haiss KG")</f>
        <v>Kas. Haiss KG</v>
      </c>
    </row>
    <row r="472">
      <c r="A472" s="6" t="str">
        <f>IFERROR(__xludf.DUMMYFUNCTION("""COMPUTED_VALUE"""),"Katairo GmbH")</f>
        <v>Katairo GmbH</v>
      </c>
    </row>
    <row r="473">
      <c r="A473" s="6" t="str">
        <f>IFERROR(__xludf.DUMMYFUNCTION("""COMPUTED_VALUE"""),"Katairo GmbH")</f>
        <v>Katairo GmbH</v>
      </c>
    </row>
    <row r="474">
      <c r="A474" s="6" t="str">
        <f>IFERROR(__xludf.DUMMYFUNCTION("""COMPUTED_VALUE"""),"KaWeCo GmbH")</f>
        <v>KaWeCo GmbH</v>
      </c>
    </row>
    <row r="475">
      <c r="A475" s="6" t="str">
        <f>IFERROR(__xludf.DUMMYFUNCTION("""COMPUTED_VALUE"""),"KaWeCo GmbH")</f>
        <v>KaWeCo GmbH</v>
      </c>
    </row>
    <row r="476">
      <c r="A476" s="6" t="str">
        <f>IFERROR(__xludf.DUMMYFUNCTION("""COMPUTED_VALUE"""),"KERN &amp; SOHN GmbH")</f>
        <v>KERN &amp; SOHN GmbH</v>
      </c>
    </row>
    <row r="477">
      <c r="A477" s="6" t="str">
        <f>IFERROR(__xludf.DUMMYFUNCTION("""COMPUTED_VALUE"""),"KERN &amp; SOHN GmbH")</f>
        <v>KERN &amp; SOHN GmbH</v>
      </c>
    </row>
    <row r="478">
      <c r="A478" s="6" t="str">
        <f>IFERROR(__xludf.DUMMYFUNCTION("""COMPUTED_VALUE"""),"Kimetec GmbH")</f>
        <v>Kimetec GmbH</v>
      </c>
    </row>
    <row r="479">
      <c r="A479" s="6" t="str">
        <f>IFERROR(__xludf.DUMMYFUNCTION("""COMPUTED_VALUE"""),"Kimetec GmbH")</f>
        <v>Kimetec GmbH</v>
      </c>
    </row>
    <row r="480">
      <c r="A480" s="6" t="str">
        <f>IFERROR(__xludf.DUMMYFUNCTION("""COMPUTED_VALUE"""),"Kolb Stahl- und Metallhaus GmbH")</f>
        <v>Kolb Stahl- und Metallhaus GmbH</v>
      </c>
    </row>
    <row r="481">
      <c r="A481" s="6" t="str">
        <f>IFERROR(__xludf.DUMMYFUNCTION("""COMPUTED_VALUE"""),"Kolb Stahl- und Metallhaus GmbH")</f>
        <v>Kolb Stahl- und Metallhaus GmbH</v>
      </c>
    </row>
    <row r="482">
      <c r="A482" s="6" t="str">
        <f>IFERROR(__xludf.DUMMYFUNCTION("""COMPUTED_VALUE"""),"Kompetenzzentrum Biointelligenz e.V.")</f>
        <v>Kompetenzzentrum Biointelligenz e.V.</v>
      </c>
    </row>
    <row r="483">
      <c r="A483" s="6" t="str">
        <f>IFERROR(__xludf.DUMMYFUNCTION("""COMPUTED_VALUE"""),"Kompetenzzentrum Biointelligenz e.V.")</f>
        <v>Kompetenzzentrum Biointelligenz e.V.</v>
      </c>
    </row>
    <row r="484">
      <c r="A484" s="6" t="str">
        <f>IFERROR(__xludf.DUMMYFUNCTION("""COMPUTED_VALUE"""),"Konradin Mediengruppe")</f>
        <v>Konradin Mediengruppe</v>
      </c>
    </row>
    <row r="485">
      <c r="A485" s="6" t="str">
        <f>IFERROR(__xludf.DUMMYFUNCTION("""COMPUTED_VALUE"""),"Konradin Mediengruppe")</f>
        <v>Konradin Mediengruppe</v>
      </c>
    </row>
    <row r="486">
      <c r="A486" s="6" t="str">
        <f>IFERROR(__xludf.DUMMYFUNCTION("""COMPUTED_VALUE"""),"Kurz Kunststoffe GmbH")</f>
        <v>Kurz Kunststoffe GmbH</v>
      </c>
    </row>
    <row r="487">
      <c r="A487" s="6" t="str">
        <f>IFERROR(__xludf.DUMMYFUNCTION("""COMPUTED_VALUE"""),"Kurz Kunststoffe GmbH")</f>
        <v>Kurz Kunststoffe GmbH</v>
      </c>
    </row>
    <row r="488">
      <c r="A488" s="6" t="str">
        <f>IFERROR(__xludf.DUMMYFUNCTION("""COMPUTED_VALUE"""),"KyooBe Tech GmbH")</f>
        <v>KyooBe Tech GmbH</v>
      </c>
    </row>
    <row r="489">
      <c r="A489" s="6" t="str">
        <f>IFERROR(__xludf.DUMMYFUNCTION("""COMPUTED_VALUE"""),"KyooBe Tech GmbH")</f>
        <v>KyooBe Tech GmbH</v>
      </c>
    </row>
    <row r="490">
      <c r="A490" s="6" t="str">
        <f>IFERROR(__xludf.DUMMYFUNCTION("""COMPUTED_VALUE"""),"L-Bank")</f>
        <v>L-Bank</v>
      </c>
    </row>
    <row r="491">
      <c r="A491" s="6" t="str">
        <f>IFERROR(__xludf.DUMMYFUNCTION("""COMPUTED_VALUE"""),"L-Bank")</f>
        <v>L-Bank</v>
      </c>
    </row>
    <row r="492">
      <c r="A492" s="6" t="str">
        <f>IFERROR(__xludf.DUMMYFUNCTION("""COMPUTED_VALUE"""),"Lab Automation Network")</f>
        <v>Lab Automation Network</v>
      </c>
    </row>
    <row r="493">
      <c r="A493" s="6" t="str">
        <f>IFERROR(__xludf.DUMMYFUNCTION("""COMPUTED_VALUE"""),"Lab Automation Network")</f>
        <v>Lab Automation Network</v>
      </c>
    </row>
    <row r="494">
      <c r="A494" s="6" t="str">
        <f>IFERROR(__xludf.DUMMYFUNCTION("""COMPUTED_VALUE"""),"Landesnetzwerk Mechatronik BW GmbH")</f>
        <v>Landesnetzwerk Mechatronik BW GmbH</v>
      </c>
    </row>
    <row r="495">
      <c r="A495" s="6" t="str">
        <f>IFERROR(__xludf.DUMMYFUNCTION("""COMPUTED_VALUE"""),"Landesnetzwerk Mechatronik BW GmbH")</f>
        <v>Landesnetzwerk Mechatronik BW GmbH</v>
      </c>
    </row>
    <row r="496">
      <c r="A496" s="6" t="str">
        <f>IFERROR(__xludf.DUMMYFUNCTION("""COMPUTED_VALUE"""),"Landwirtschaftliche Schule Hohenheim")</f>
        <v>Landwirtschaftliche Schule Hohenheim</v>
      </c>
    </row>
    <row r="497">
      <c r="A497" s="6" t="str">
        <f>IFERROR(__xludf.DUMMYFUNCTION("""COMPUTED_VALUE"""),"Landwirtschaftliche Schule Hohenheim")</f>
        <v>Landwirtschaftliche Schule Hohenheim</v>
      </c>
    </row>
    <row r="498">
      <c r="A498" s="6" t="str">
        <f>IFERROR(__xludf.DUMMYFUNCTION("""COMPUTED_VALUE"""),"Laura-Schradin-Schule Reutlingen")</f>
        <v>Laura-Schradin-Schule Reutlingen</v>
      </c>
    </row>
    <row r="499">
      <c r="A499" s="6" t="str">
        <f>IFERROR(__xludf.DUMMYFUNCTION("""COMPUTED_VALUE"""),"Laura-Schradin-Schule Reutlingen")</f>
        <v>Laura-Schradin-Schule Reutlingen</v>
      </c>
    </row>
    <row r="500">
      <c r="A500" s="6" t="str">
        <f>IFERROR(__xludf.DUMMYFUNCTION("""COMPUTED_VALUE"""),"LBBW Venture Capital GmbH")</f>
        <v>LBBW Venture Capital GmbH</v>
      </c>
    </row>
    <row r="501">
      <c r="A501" s="6" t="str">
        <f>IFERROR(__xludf.DUMMYFUNCTION("""COMPUTED_VALUE"""),"LBBW Venture Capital GmbH")</f>
        <v>LBBW Venture Capital GmbH</v>
      </c>
    </row>
    <row r="502">
      <c r="A502" s="6" t="str">
        <f>IFERROR(__xludf.DUMMYFUNCTION("""COMPUTED_VALUE"""),"LEGIO-GROUP")</f>
        <v>LEGIO-GROUP</v>
      </c>
    </row>
    <row r="503">
      <c r="A503" s="6" t="str">
        <f>IFERROR(__xludf.DUMMYFUNCTION("""COMPUTED_VALUE"""),"LEGIO-GROUP")</f>
        <v>LEGIO-GROUP</v>
      </c>
    </row>
    <row r="504">
      <c r="A504" s="6" t="str">
        <f>IFERROR(__xludf.DUMMYFUNCTION("""COMPUTED_VALUE"""),"LEHNER GmbH SENSOR-SYSTEME")</f>
        <v>LEHNER GmbH SENSOR-SYSTEME</v>
      </c>
    </row>
    <row r="505">
      <c r="A505" s="6" t="str">
        <f>IFERROR(__xludf.DUMMYFUNCTION("""COMPUTED_VALUE"""),"LEHNER GmbH SENSOR-SYSTEME")</f>
        <v>LEHNER GmbH SENSOR-SYSTEME</v>
      </c>
    </row>
    <row r="506">
      <c r="A506" s="6" t="str">
        <f>IFERROR(__xludf.DUMMYFUNCTION("""COMPUTED_VALUE"""),"LIWO Test Automation Lippok &amp; Wolf GmbH")</f>
        <v>LIWO Test Automation Lippok &amp; Wolf GmbH</v>
      </c>
    </row>
    <row r="507">
      <c r="A507" s="6" t="str">
        <f>IFERROR(__xludf.DUMMYFUNCTION("""COMPUTED_VALUE"""),"LIWO Test Automation Lippok &amp; Wolf GmbH")</f>
        <v>LIWO Test Automation Lippok &amp; Wolf GmbH</v>
      </c>
    </row>
    <row r="508">
      <c r="A508" s="6" t="str">
        <f>IFERROR(__xludf.DUMMYFUNCTION("""COMPUTED_VALUE"""),"Loccioni Gruppe (Loccioni Deutschland GmbH)")</f>
        <v>Loccioni Gruppe (Loccioni Deutschland GmbH)</v>
      </c>
    </row>
    <row r="509">
      <c r="A509" s="6" t="str">
        <f>IFERROR(__xludf.DUMMYFUNCTION("""COMPUTED_VALUE"""),"Loccioni Gruppe (Loccioni Deutschland GmbH)")</f>
        <v>Loccioni Gruppe (Loccioni Deutschland GmbH)</v>
      </c>
    </row>
    <row r="510">
      <c r="A510" s="6" t="str">
        <f>IFERROR(__xludf.DUMMYFUNCTION("""COMPUTED_VALUE"""),"LS medcap GmbH")</f>
        <v>LS medcap GmbH</v>
      </c>
    </row>
    <row r="511">
      <c r="A511" s="6" t="str">
        <f>IFERROR(__xludf.DUMMYFUNCTION("""COMPUTED_VALUE"""),"LS medcap GmbH")</f>
        <v>LS medcap GmbH</v>
      </c>
    </row>
    <row r="512">
      <c r="A512" s="6" t="str">
        <f>IFERROR(__xludf.DUMMYFUNCTION("""COMPUTED_VALUE"""),"LuxFlux GmbH")</f>
        <v>LuxFlux GmbH</v>
      </c>
    </row>
    <row r="513">
      <c r="A513" s="6" t="str">
        <f>IFERROR(__xludf.DUMMYFUNCTION("""COMPUTED_VALUE"""),"LuxFlux GmbH")</f>
        <v>LuxFlux GmbH</v>
      </c>
    </row>
    <row r="514">
      <c r="A514" s="6" t="str">
        <f>IFERROR(__xludf.DUMMYFUNCTION("""COMPUTED_VALUE"""),"Malvern Panalytical GmbH")</f>
        <v>Malvern Panalytical GmbH</v>
      </c>
    </row>
    <row r="515">
      <c r="A515" s="6" t="str">
        <f>IFERROR(__xludf.DUMMYFUNCTION("""COMPUTED_VALUE"""),"Malvern Panalytical GmbH")</f>
        <v>Malvern Panalytical GmbH</v>
      </c>
    </row>
    <row r="516">
      <c r="A516" s="6" t="str">
        <f>IFERROR(__xludf.DUMMYFUNCTION("""COMPUTED_VALUE"""),"Manz AG")</f>
        <v>Manz AG</v>
      </c>
    </row>
    <row r="517">
      <c r="A517" s="6" t="str">
        <f>IFERROR(__xludf.DUMMYFUNCTION("""COMPUTED_VALUE"""),"Manz AG")</f>
        <v>Manz AG</v>
      </c>
    </row>
    <row r="518">
      <c r="A518" s="6" t="str">
        <f>IFERROR(__xludf.DUMMYFUNCTION("""COMPUTED_VALUE"""),"Mathilde-Weber-Schule")</f>
        <v>Mathilde-Weber-Schule</v>
      </c>
    </row>
    <row r="519">
      <c r="A519" s="6" t="str">
        <f>IFERROR(__xludf.DUMMYFUNCTION("""COMPUTED_VALUE"""),"Mathilde-Weber-Schule")</f>
        <v>Mathilde-Weber-Schule</v>
      </c>
    </row>
    <row r="520">
      <c r="A520" s="6" t="str">
        <f>IFERROR(__xludf.DUMMYFUNCTION("""COMPUTED_VALUE"""),"Max-Planck-Institut für Intelligente Systeme")</f>
        <v>Max-Planck-Institut für Intelligente Systeme</v>
      </c>
    </row>
    <row r="521">
      <c r="A521" s="6" t="str">
        <f>IFERROR(__xludf.DUMMYFUNCTION("""COMPUTED_VALUE"""),"Max-Planck-Institut für Intelligente Systeme")</f>
        <v>Max-Planck-Institut für Intelligente Systeme</v>
      </c>
    </row>
    <row r="522">
      <c r="A522" s="6" t="str">
        <f>IFERROR(__xludf.DUMMYFUNCTION("""COMPUTED_VALUE"""),"Max Planck Institute for Biological Cybernetics")</f>
        <v>Max Planck Institute for Biological Cybernetics</v>
      </c>
    </row>
    <row r="523">
      <c r="A523" s="6" t="str">
        <f>IFERROR(__xludf.DUMMYFUNCTION("""COMPUTED_VALUE"""),"Max Planck Institute for Biological Cybernetics")</f>
        <v>Max Planck Institute for Biological Cybernetics</v>
      </c>
    </row>
    <row r="524">
      <c r="A524" s="6" t="str">
        <f>IFERROR(__xludf.DUMMYFUNCTION("""COMPUTED_VALUE"""),"Max Planck Institute for Biology Tübingen")</f>
        <v>Max Planck Institute for Biology Tübingen</v>
      </c>
    </row>
    <row r="525">
      <c r="A525" s="6" t="str">
        <f>IFERROR(__xludf.DUMMYFUNCTION("""COMPUTED_VALUE"""),"Max Planck Institute for Biology Tübingen")</f>
        <v>Max Planck Institute for Biology Tübingen</v>
      </c>
    </row>
    <row r="526">
      <c r="A526" s="6" t="str">
        <f>IFERROR(__xludf.DUMMYFUNCTION("""COMPUTED_VALUE"""),"MBG Mittelständische Beteiligungsgesellschaft Baden-Württemberg GmbH")</f>
        <v>MBG Mittelständische Beteiligungsgesellschaft Baden-Württemberg GmbH</v>
      </c>
    </row>
    <row r="527">
      <c r="A527" s="6" t="str">
        <f>IFERROR(__xludf.DUMMYFUNCTION("""COMPUTED_VALUE"""),"MBG Mittelständische Beteiligungsgesellschaft Baden-Württemberg GmbH")</f>
        <v>MBG Mittelständische Beteiligungsgesellschaft Baden-Württemberg GmbH</v>
      </c>
    </row>
    <row r="528">
      <c r="A528" s="6" t="str">
        <f>IFERROR(__xludf.DUMMYFUNCTION("""COMPUTED_VALUE"""),"med2market – Scientific marketing consulting")</f>
        <v>med2market – Scientific marketing consulting</v>
      </c>
    </row>
    <row r="529">
      <c r="A529" s="6" t="str">
        <f>IFERROR(__xludf.DUMMYFUNCTION("""COMPUTED_VALUE"""),"med2market – Scientific marketing consulting")</f>
        <v>med2market – Scientific marketing consulting</v>
      </c>
    </row>
    <row r="530">
      <c r="A530" s="6" t="str">
        <f>IFERROR(__xludf.DUMMYFUNCTION("""COMPUTED_VALUE"""),"medi1one medical gmbh")</f>
        <v>medi1one medical gmbh</v>
      </c>
    </row>
    <row r="531">
      <c r="A531" s="6" t="str">
        <f>IFERROR(__xludf.DUMMYFUNCTION("""COMPUTED_VALUE"""),"medi1one medical gmbh")</f>
        <v>medi1one medical gmbh</v>
      </c>
    </row>
    <row r="532">
      <c r="A532" s="6" t="str">
        <f>IFERROR(__xludf.DUMMYFUNCTION("""COMPUTED_VALUE"""),"Mediagnost Gesellschaft für Forschung und Herstellung von Diagnostika GmbH")</f>
        <v>Mediagnost Gesellschaft für Forschung und Herstellung von Diagnostika GmbH</v>
      </c>
    </row>
    <row r="533">
      <c r="A533" s="6" t="str">
        <f>IFERROR(__xludf.DUMMYFUNCTION("""COMPUTED_VALUE"""),"Mediagnost Gesellschaft für Forschung und Herstellung von Diagnostika GmbH")</f>
        <v>Mediagnost Gesellschaft für Forschung und Herstellung von Diagnostika GmbH</v>
      </c>
    </row>
    <row r="534">
      <c r="A534" s="6" t="str">
        <f>IFERROR(__xludf.DUMMYFUNCTION("""COMPUTED_VALUE"""),"Medical Innovations Incubator GmbH")</f>
        <v>Medical Innovations Incubator GmbH</v>
      </c>
    </row>
    <row r="535">
      <c r="A535" s="6" t="str">
        <f>IFERROR(__xludf.DUMMYFUNCTION("""COMPUTED_VALUE"""),"Medical Innovations Incubator GmbH")</f>
        <v>Medical Innovations Incubator GmbH</v>
      </c>
    </row>
    <row r="536">
      <c r="A536" s="6" t="str">
        <f>IFERROR(__xludf.DUMMYFUNCTION("""COMPUTED_VALUE"""),"Medical Valley Hechingen e. V.")</f>
        <v>Medical Valley Hechingen e. V.</v>
      </c>
    </row>
    <row r="537">
      <c r="A537" s="6" t="str">
        <f>IFERROR(__xludf.DUMMYFUNCTION("""COMPUTED_VALUE"""),"Medical Valley Hechingen e. V.")</f>
        <v>Medical Valley Hechingen e. V.</v>
      </c>
    </row>
    <row r="538">
      <c r="A538" s="6" t="str">
        <f>IFERROR(__xludf.DUMMYFUNCTION("""COMPUTED_VALUE"""),"MEDICHEM Diagnostica GmbH")</f>
        <v>MEDICHEM Diagnostica GmbH</v>
      </c>
    </row>
    <row r="539">
      <c r="A539" s="6" t="str">
        <f>IFERROR(__xludf.DUMMYFUNCTION("""COMPUTED_VALUE"""),"MEDICHEM Diagnostica GmbH")</f>
        <v>MEDICHEM Diagnostica GmbH</v>
      </c>
    </row>
    <row r="540">
      <c r="A540" s="6" t="str">
        <f>IFERROR(__xludf.DUMMYFUNCTION("""COMPUTED_VALUE"""),"medigroba GmbH")</f>
        <v>medigroba GmbH</v>
      </c>
    </row>
    <row r="541">
      <c r="A541" s="6" t="str">
        <f>IFERROR(__xludf.DUMMYFUNCTION("""COMPUTED_VALUE"""),"medigroba GmbH")</f>
        <v>medigroba GmbH</v>
      </c>
    </row>
    <row r="542">
      <c r="A542" s="6" t="str">
        <f>IFERROR(__xludf.DUMMYFUNCTION("""COMPUTED_VALUE"""),"MEDIRA GmbH")</f>
        <v>MEDIRA GmbH</v>
      </c>
    </row>
    <row r="543">
      <c r="A543" s="6" t="str">
        <f>IFERROR(__xludf.DUMMYFUNCTION("""COMPUTED_VALUE"""),"MEDIRA GmbH")</f>
        <v>MEDIRA GmbH</v>
      </c>
    </row>
    <row r="544">
      <c r="A544" s="6" t="str">
        <f>IFERROR(__xludf.DUMMYFUNCTION("""COMPUTED_VALUE"""),"Medizinisch Technische Akademie Esslingen - MTAE")</f>
        <v>Medizinisch Technische Akademie Esslingen - MTAE</v>
      </c>
    </row>
    <row r="545">
      <c r="A545" s="6" t="str">
        <f>IFERROR(__xludf.DUMMYFUNCTION("""COMPUTED_VALUE"""),"Medizinisch Technische Akademie Esslingen - MTAE")</f>
        <v>Medizinisch Technische Akademie Esslingen - MTAE</v>
      </c>
    </row>
    <row r="546">
      <c r="A546" s="6" t="str">
        <f>IFERROR(__xludf.DUMMYFUNCTION("""COMPUTED_VALUE"""),"medizinwelten-services GmbH")</f>
        <v>medizinwelten-services GmbH</v>
      </c>
    </row>
    <row r="547">
      <c r="A547" s="6" t="str">
        <f>IFERROR(__xludf.DUMMYFUNCTION("""COMPUTED_VALUE"""),"medizinwelten-services GmbH")</f>
        <v>medizinwelten-services GmbH</v>
      </c>
    </row>
    <row r="548">
      <c r="A548" s="6" t="str">
        <f>IFERROR(__xludf.DUMMYFUNCTION("""COMPUTED_VALUE"""),"meidrix biomedicals GmbH")</f>
        <v>meidrix biomedicals GmbH</v>
      </c>
    </row>
    <row r="549">
      <c r="A549" s="6" t="str">
        <f>IFERROR(__xludf.DUMMYFUNCTION("""COMPUTED_VALUE"""),"meidrix biomedicals GmbH")</f>
        <v>meidrix biomedicals GmbH</v>
      </c>
    </row>
    <row r="550">
      <c r="A550" s="6" t="str">
        <f>IFERROR(__xludf.DUMMYFUNCTION("""COMPUTED_VALUE"""),"Merz Medizintechnik GmbH")</f>
        <v>Merz Medizintechnik GmbH</v>
      </c>
    </row>
    <row r="551">
      <c r="A551" s="6" t="str">
        <f>IFERROR(__xludf.DUMMYFUNCTION("""COMPUTED_VALUE"""),"Merz Medizintechnik GmbH")</f>
        <v>Merz Medizintechnik GmbH</v>
      </c>
    </row>
    <row r="552">
      <c r="A552" s="6" t="str">
        <f>IFERROR(__xludf.DUMMYFUNCTION("""COMPUTED_VALUE"""),"Metec AG - Ingenieur-Aktiengesellschaft")</f>
        <v>Metec AG - Ingenieur-Aktiengesellschaft</v>
      </c>
    </row>
    <row r="553">
      <c r="A553" s="6" t="str">
        <f>IFERROR(__xludf.DUMMYFUNCTION("""COMPUTED_VALUE"""),"Metec AG - Ingenieur-Aktiengesellschaft")</f>
        <v>Metec AG - Ingenieur-Aktiengesellschaft</v>
      </c>
    </row>
    <row r="554">
      <c r="A554" s="6" t="str">
        <f>IFERROR(__xludf.DUMMYFUNCTION("""COMPUTED_VALUE"""),"Mildred-Scheel-Schule")</f>
        <v>Mildred-Scheel-Schule</v>
      </c>
    </row>
    <row r="555">
      <c r="A555" s="6" t="str">
        <f>IFERROR(__xludf.DUMMYFUNCTION("""COMPUTED_VALUE"""),"Mildred-Scheel-Schule")</f>
        <v>Mildred-Scheel-Schule</v>
      </c>
    </row>
    <row r="556">
      <c r="A556" s="6" t="str">
        <f>IFERROR(__xludf.DUMMYFUNCTION("""COMPUTED_VALUE"""),"Mireca Medicines GmbH")</f>
        <v>Mireca Medicines GmbH</v>
      </c>
    </row>
    <row r="557">
      <c r="A557" s="6" t="str">
        <f>IFERROR(__xludf.DUMMYFUNCTION("""COMPUTED_VALUE"""),"Mireca Medicines GmbH")</f>
        <v>Mireca Medicines GmbH</v>
      </c>
    </row>
    <row r="558">
      <c r="A558" s="6" t="str">
        <f>IFERROR(__xludf.DUMMYFUNCTION("""COMPUTED_VALUE"""),"MORCHER® GmbH")</f>
        <v>MORCHER® GmbH</v>
      </c>
    </row>
    <row r="559">
      <c r="A559" s="6" t="str">
        <f>IFERROR(__xludf.DUMMYFUNCTION("""COMPUTED_VALUE"""),"MORCHER® GmbH")</f>
        <v>MORCHER® GmbH</v>
      </c>
    </row>
    <row r="560">
      <c r="A560" s="6" t="str">
        <f>IFERROR(__xludf.DUMMYFUNCTION("""COMPUTED_VALUE"""),"mrm² automatisierungstechnik gmbh")</f>
        <v>mrm² automatisierungstechnik gmbh</v>
      </c>
    </row>
    <row r="561">
      <c r="A561" s="6" t="str">
        <f>IFERROR(__xludf.DUMMYFUNCTION("""COMPUTED_VALUE"""),"mrm² automatisierungstechnik gmbh")</f>
        <v>mrm² automatisierungstechnik gmbh</v>
      </c>
    </row>
    <row r="562">
      <c r="A562" s="6" t="str">
        <f>IFERROR(__xludf.DUMMYFUNCTION("""COMPUTED_VALUE"""),"Multi Channel Systems MCS GmbH")</f>
        <v>Multi Channel Systems MCS GmbH</v>
      </c>
    </row>
    <row r="563">
      <c r="A563" s="6" t="str">
        <f>IFERROR(__xludf.DUMMYFUNCTION("""COMPUTED_VALUE"""),"Multi Channel Systems MCS GmbH")</f>
        <v>Multi Channel Systems MCS GmbH</v>
      </c>
    </row>
    <row r="564">
      <c r="A564" s="6" t="str">
        <f>IFERROR(__xludf.DUMMYFUNCTION("""COMPUTED_VALUE"""),"Murtfeldt Additive Solutions GmbH ")</f>
        <v>Murtfeldt Additive Solutions GmbH </v>
      </c>
    </row>
    <row r="565">
      <c r="A565" s="6" t="str">
        <f>IFERROR(__xludf.DUMMYFUNCTION("""COMPUTED_VALUE"""),"Murtfeldt Additive Solutions GmbH ")</f>
        <v>Murtfeldt Additive Solutions GmbH </v>
      </c>
    </row>
    <row r="566">
      <c r="A566" s="6" t="str">
        <f>IFERROR(__xludf.DUMMYFUNCTION("""COMPUTED_VALUE"""),"nds Netzwerksysteme GmbH")</f>
        <v>nds Netzwerksysteme GmbH</v>
      </c>
    </row>
    <row r="567">
      <c r="A567" s="6" t="str">
        <f>IFERROR(__xludf.DUMMYFUNCTION("""COMPUTED_VALUE"""),"nds Netzwerksysteme GmbH")</f>
        <v>nds Netzwerksysteme GmbH</v>
      </c>
    </row>
    <row r="568">
      <c r="A568" s="6" t="str">
        <f>IFERROR(__xludf.DUMMYFUNCTION("""COMPUTED_VALUE"""),"Neckar Hub GmbH")</f>
        <v>Neckar Hub GmbH</v>
      </c>
    </row>
    <row r="569">
      <c r="A569" s="6" t="str">
        <f>IFERROR(__xludf.DUMMYFUNCTION("""COMPUTED_VALUE"""),"Neckar Hub GmbH")</f>
        <v>Neckar Hub GmbH</v>
      </c>
    </row>
    <row r="570">
      <c r="A570" s="6" t="str">
        <f>IFERROR(__xludf.DUMMYFUNCTION("""COMPUTED_VALUE"""),"Neura Robotics GmbH")</f>
        <v>Neura Robotics GmbH</v>
      </c>
    </row>
    <row r="571">
      <c r="A571" s="6" t="str">
        <f>IFERROR(__xludf.DUMMYFUNCTION("""COMPUTED_VALUE"""),"Neura Robotics GmbH")</f>
        <v>Neura Robotics GmbH</v>
      </c>
    </row>
    <row r="572">
      <c r="A572" s="6" t="str">
        <f>IFERROR(__xludf.DUMMYFUNCTION("""COMPUTED_VALUE"""),"Neurostar GmbH")</f>
        <v>Neurostar GmbH</v>
      </c>
    </row>
    <row r="573">
      <c r="A573" s="6" t="str">
        <f>IFERROR(__xludf.DUMMYFUNCTION("""COMPUTED_VALUE"""),"Neurostar GmbH")</f>
        <v>Neurostar GmbH</v>
      </c>
    </row>
    <row r="574">
      <c r="A574" s="6" t="str">
        <f>IFERROR(__xludf.DUMMYFUNCTION("""COMPUTED_VALUE"""),"nICLAS Innovation Center für Laborautomatisierung Stuttgart")</f>
        <v>nICLAS Innovation Center für Laborautomatisierung Stuttgart</v>
      </c>
    </row>
    <row r="575">
      <c r="A575" s="6" t="str">
        <f>IFERROR(__xludf.DUMMYFUNCTION("""COMPUTED_VALUE"""),"nICLAS Innovation Center für Laborautomatisierung Stuttgart")</f>
        <v>nICLAS Innovation Center für Laborautomatisierung Stuttgart</v>
      </c>
    </row>
    <row r="576">
      <c r="A576" s="6" t="str">
        <f>IFERROR(__xludf.DUMMYFUNCTION("""COMPUTED_VALUE"""),"NMI Natural and Medical Sciences Institute at the University of Tübingen")</f>
        <v>NMI Natural and Medical Sciences Institute at the University of Tübingen</v>
      </c>
    </row>
    <row r="577">
      <c r="A577" s="6" t="str">
        <f>IFERROR(__xludf.DUMMYFUNCTION("""COMPUTED_VALUE"""),"NMI Natural and Medical Sciences Institute at the University of Tübingen")</f>
        <v>NMI Natural and Medical Sciences Institute at the University of Tübingen</v>
      </c>
    </row>
    <row r="578">
      <c r="A578" s="6" t="str">
        <f>IFERROR(__xludf.DUMMYFUNCTION("""COMPUTED_VALUE"""),"NMI Technologietransfer GmbH")</f>
        <v>NMI Technologietransfer GmbH</v>
      </c>
    </row>
    <row r="579">
      <c r="A579" s="6" t="str">
        <f>IFERROR(__xludf.DUMMYFUNCTION("""COMPUTED_VALUE"""),"NMI Technologietransfer GmbH")</f>
        <v>NMI Technologietransfer GmbH</v>
      </c>
    </row>
    <row r="580">
      <c r="A580" s="6" t="str">
        <f>IFERROR(__xludf.DUMMYFUNCTION("""COMPUTED_VALUE"""),"Nocubi Deutschland GmbH")</f>
        <v>Nocubi Deutschland GmbH</v>
      </c>
    </row>
    <row r="581">
      <c r="A581" s="6" t="str">
        <f>IFERROR(__xludf.DUMMYFUNCTION("""COMPUTED_VALUE"""),"Nocubi Deutschland GmbH")</f>
        <v>Nocubi Deutschland GmbH</v>
      </c>
    </row>
    <row r="582">
      <c r="A582" s="6" t="str">
        <f>IFERROR(__xludf.DUMMYFUNCTION("""COMPUTED_VALUE"""),"novineon CRO GmbH")</f>
        <v>novineon CRO GmbH</v>
      </c>
    </row>
    <row r="583">
      <c r="A583" s="6" t="str">
        <f>IFERROR(__xludf.DUMMYFUNCTION("""COMPUTED_VALUE"""),"novineon CRO GmbH")</f>
        <v>novineon CRO GmbH</v>
      </c>
    </row>
    <row r="584">
      <c r="A584" s="6" t="str">
        <f>IFERROR(__xludf.DUMMYFUNCTION("""COMPUTED_VALUE"""),"Novis GmbH")</f>
        <v>Novis GmbH</v>
      </c>
    </row>
    <row r="585">
      <c r="A585" s="6" t="str">
        <f>IFERROR(__xludf.DUMMYFUNCTION("""COMPUTED_VALUE"""),"Novis GmbH")</f>
        <v>Novis GmbH</v>
      </c>
    </row>
    <row r="586">
      <c r="A586" s="6" t="str">
        <f>IFERROR(__xludf.DUMMYFUNCTION("""COMPUTED_VALUE"""),"npi electronic GmbH")</f>
        <v>npi electronic GmbH</v>
      </c>
    </row>
    <row r="587">
      <c r="A587" s="6" t="str">
        <f>IFERROR(__xludf.DUMMYFUNCTION("""COMPUTED_VALUE"""),"npi electronic GmbH")</f>
        <v>npi electronic GmbH</v>
      </c>
    </row>
    <row r="588">
      <c r="A588" s="6" t="str">
        <f>IFERROR(__xludf.DUMMYFUNCTION("""COMPUTED_VALUE"""),"Numerus Ltd.")</f>
        <v>Numerus Ltd.</v>
      </c>
    </row>
    <row r="589">
      <c r="A589" s="6" t="str">
        <f>IFERROR(__xludf.DUMMYFUNCTION("""COMPUTED_VALUE"""),"Numerus Ltd.")</f>
        <v>Numerus Ltd.</v>
      </c>
    </row>
    <row r="590">
      <c r="A590" s="6" t="str">
        <f>IFERROR(__xludf.DUMMYFUNCTION("""COMPUTED_VALUE"""),"NVT GmbH - New Valve Technology")</f>
        <v>NVT GmbH - New Valve Technology</v>
      </c>
    </row>
    <row r="591">
      <c r="A591" s="6" t="str">
        <f>IFERROR(__xludf.DUMMYFUNCTION("""COMPUTED_VALUE"""),"NVT GmbH - New Valve Technology")</f>
        <v>NVT GmbH - New Valve Technology</v>
      </c>
    </row>
    <row r="592">
      <c r="A592" s="6" t="str">
        <f>IFERROR(__xludf.DUMMYFUNCTION("""COMPUTED_VALUE"""),"Ocean Optics Germany GmbH")</f>
        <v>Ocean Optics Germany GmbH</v>
      </c>
    </row>
    <row r="593">
      <c r="A593" s="6" t="str">
        <f>IFERROR(__xludf.DUMMYFUNCTION("""COMPUTED_VALUE"""),"Ocean Optics Germany GmbH")</f>
        <v>Ocean Optics Germany GmbH</v>
      </c>
    </row>
    <row r="594">
      <c r="A594" s="6" t="str">
        <f>IFERROR(__xludf.DUMMYFUNCTION("""COMPUTED_VALUE"""),"OC Recruitment GmbH &amp; Co. KG")</f>
        <v>OC Recruitment GmbH &amp; Co. KG</v>
      </c>
    </row>
    <row r="595">
      <c r="A595" s="6" t="str">
        <f>IFERROR(__xludf.DUMMYFUNCTION("""COMPUTED_VALUE"""),"OC Recruitment GmbH &amp; Co. KG")</f>
        <v>OC Recruitment GmbH &amp; Co. KG</v>
      </c>
    </row>
    <row r="596">
      <c r="A596" s="6" t="str">
        <f>IFERROR(__xludf.DUMMYFUNCTION("""COMPUTED_VALUE"""),"OrgaConnect GmbH")</f>
        <v>OrgaConnect GmbH</v>
      </c>
    </row>
    <row r="597">
      <c r="A597" s="6" t="str">
        <f>IFERROR(__xludf.DUMMYFUNCTION("""COMPUTED_VALUE"""),"OrgaConnect GmbH")</f>
        <v>OrgaConnect GmbH</v>
      </c>
    </row>
    <row r="598">
      <c r="A598" s="6" t="str">
        <f>IFERROR(__xludf.DUMMYFUNCTION("""COMPUTED_VALUE"""),"Orthopädie Brillinger GmbH &amp; Co. KG")</f>
        <v>Orthopädie Brillinger GmbH &amp; Co. KG</v>
      </c>
    </row>
    <row r="599">
      <c r="A599" s="6" t="str">
        <f>IFERROR(__xludf.DUMMYFUNCTION("""COMPUTED_VALUE"""),"Orthopädie Brillinger GmbH &amp; Co. KG")</f>
        <v>Orthopädie Brillinger GmbH &amp; Co. KG</v>
      </c>
    </row>
    <row r="600">
      <c r="A600" s="6" t="str">
        <f>IFERROR(__xludf.DUMMYFUNCTION("""COMPUTED_VALUE"""),"Ostrakon Software GmbH")</f>
        <v>Ostrakon Software GmbH</v>
      </c>
    </row>
    <row r="601">
      <c r="A601" s="6" t="str">
        <f>IFERROR(__xludf.DUMMYFUNCTION("""COMPUTED_VALUE"""),"Ostrakon Software GmbH")</f>
        <v>Ostrakon Software GmbH</v>
      </c>
    </row>
    <row r="602">
      <c r="A602" s="6" t="str">
        <f>IFERROR(__xludf.DUMMYFUNCTION("""COMPUTED_VALUE"""),"Otto Klumpp GmbH")</f>
        <v>Otto Klumpp GmbH</v>
      </c>
    </row>
    <row r="603">
      <c r="A603" s="6" t="str">
        <f>IFERROR(__xludf.DUMMYFUNCTION("""COMPUTED_VALUE"""),"Otto Klumpp GmbH")</f>
        <v>Otto Klumpp GmbH</v>
      </c>
    </row>
    <row r="604">
      <c r="A604" s="6" t="str">
        <f>IFERROR(__xludf.DUMMYFUNCTION("""COMPUTED_VALUE"""),"Ovesco Endoscopy AG")</f>
        <v>Ovesco Endoscopy AG</v>
      </c>
    </row>
    <row r="605">
      <c r="A605" s="6" t="str">
        <f>IFERROR(__xludf.DUMMYFUNCTION("""COMPUTED_VALUE"""),"Ovesco Endoscopy AG")</f>
        <v>Ovesco Endoscopy AG</v>
      </c>
    </row>
    <row r="606">
      <c r="A606" s="6" t="str">
        <f>IFERROR(__xludf.DUMMYFUNCTION("""COMPUTED_VALUE"""),"Owisan – Biotechnische Entwicklungen und Vertrieb OHG")</f>
        <v>Owisan – Biotechnische Entwicklungen und Vertrieb OHG</v>
      </c>
    </row>
    <row r="607">
      <c r="A607" s="6" t="str">
        <f>IFERROR(__xludf.DUMMYFUNCTION("""COMPUTED_VALUE"""),"Owisan – Biotechnische Entwicklungen und Vertrieb OHG")</f>
        <v>Owisan – Biotechnische Entwicklungen und Vertrieb OHG</v>
      </c>
    </row>
    <row r="608">
      <c r="A608" s="6" t="str">
        <f>IFERROR(__xludf.DUMMYFUNCTION("""COMPUTED_VALUE"""),"Patent- und Markenzentrum Baden-Württemberg")</f>
        <v>Patent- und Markenzentrum Baden-Württemberg</v>
      </c>
    </row>
    <row r="609">
      <c r="A609" s="6" t="str">
        <f>IFERROR(__xludf.DUMMYFUNCTION("""COMPUTED_VALUE"""),"Patent- und Markenzentrum Baden-Württemberg")</f>
        <v>Patent- und Markenzentrum Baden-Württemberg</v>
      </c>
    </row>
    <row r="610">
      <c r="A610" s="6" t="str">
        <f>IFERROR(__xludf.DUMMYFUNCTION("""COMPUTED_VALUE"""),"Pegasus Fachgesellschaft Arbeitsmedizin mbH")</f>
        <v>Pegasus Fachgesellschaft Arbeitsmedizin mbH</v>
      </c>
    </row>
    <row r="611">
      <c r="A611" s="6" t="str">
        <f>IFERROR(__xludf.DUMMYFUNCTION("""COMPUTED_VALUE"""),"Pegasus Fachgesellschaft Arbeitsmedizin mbH")</f>
        <v>Pegasus Fachgesellschaft Arbeitsmedizin mbH</v>
      </c>
    </row>
    <row r="612">
      <c r="A612" s="6" t="str">
        <f>IFERROR(__xludf.DUMMYFUNCTION("""COMPUTED_VALUE"""),"PEZET AG")</f>
        <v>PEZET AG</v>
      </c>
    </row>
    <row r="613">
      <c r="A613" s="6" t="str">
        <f>IFERROR(__xludf.DUMMYFUNCTION("""COMPUTED_VALUE"""),"PEZET AG")</f>
        <v>PEZET AG</v>
      </c>
    </row>
    <row r="614">
      <c r="A614" s="6" t="str">
        <f>IFERROR(__xludf.DUMMYFUNCTION("""COMPUTED_VALUE"""),"Philips Medizin Systeme Böblingen GmbH")</f>
        <v>Philips Medizin Systeme Böblingen GmbH</v>
      </c>
    </row>
    <row r="615">
      <c r="A615" s="6" t="str">
        <f>IFERROR(__xludf.DUMMYFUNCTION("""COMPUTED_VALUE"""),"Philips Medizin Systeme Böblingen GmbH")</f>
        <v>Philips Medizin Systeme Böblingen GmbH</v>
      </c>
    </row>
    <row r="616">
      <c r="A616" s="6" t="str">
        <f>IFERROR(__xludf.DUMMYFUNCTION("""COMPUTED_VALUE"""),"pme Familienservice GmbH")</f>
        <v>pme Familienservice GmbH</v>
      </c>
    </row>
    <row r="617">
      <c r="A617" s="6" t="str">
        <f>IFERROR(__xludf.DUMMYFUNCTION("""COMPUTED_VALUE"""),"pme Familienservice GmbH")</f>
        <v>pme Familienservice GmbH</v>
      </c>
    </row>
    <row r="618">
      <c r="A618" s="6" t="str">
        <f>IFERROR(__xludf.DUMMYFUNCTION("""COMPUTED_VALUE"""),"PolyMedics Innovations GmbH (PMI)")</f>
        <v>PolyMedics Innovations GmbH (PMI)</v>
      </c>
    </row>
    <row r="619">
      <c r="A619" s="6" t="str">
        <f>IFERROR(__xludf.DUMMYFUNCTION("""COMPUTED_VALUE"""),"PolyMedics Innovations GmbH (PMI)")</f>
        <v>PolyMedics Innovations GmbH (PMI)</v>
      </c>
    </row>
    <row r="620">
      <c r="A620" s="6" t="str">
        <f>IFERROR(__xludf.DUMMYFUNCTION("""COMPUTED_VALUE"""),"Prime Vector Technologies GmbH")</f>
        <v>Prime Vector Technologies GmbH</v>
      </c>
    </row>
    <row r="621">
      <c r="A621" s="6" t="str">
        <f>IFERROR(__xludf.DUMMYFUNCTION("""COMPUTED_VALUE"""),"Prime Vector Technologies GmbH")</f>
        <v>Prime Vector Technologies GmbH</v>
      </c>
    </row>
    <row r="622">
      <c r="A622" s="6" t="str">
        <f>IFERROR(__xludf.DUMMYFUNCTION("""COMPUTED_VALUE"""),"Proplanta GmbH &amp; Co. KG")</f>
        <v>Proplanta GmbH &amp; Co. KG</v>
      </c>
    </row>
    <row r="623">
      <c r="A623" s="6" t="str">
        <f>IFERROR(__xludf.DUMMYFUNCTION("""COMPUTED_VALUE"""),"Proplanta GmbH &amp; Co. KG")</f>
        <v>Proplanta GmbH &amp; Co. KG</v>
      </c>
    </row>
    <row r="624">
      <c r="A624" s="6" t="str">
        <f>IFERROR(__xludf.DUMMYFUNCTION("""COMPUTED_VALUE"""),"PROTEC GmbH &amp; Co. KG")</f>
        <v>PROTEC GmbH &amp; Co. KG</v>
      </c>
    </row>
    <row r="625">
      <c r="A625" s="6" t="str">
        <f>IFERROR(__xludf.DUMMYFUNCTION("""COMPUTED_VALUE"""),"PROTEC GmbH &amp; Co. KG")</f>
        <v>PROTEC GmbH &amp; Co. KG</v>
      </c>
    </row>
    <row r="626">
      <c r="A626" s="6" t="str">
        <f>IFERROR(__xludf.DUMMYFUNCTION("""COMPUTED_VALUE"""),"Proteom Centrum Tübingen – Universität Tübingen, Institut für Zellbiologie")</f>
        <v>Proteom Centrum Tübingen – Universität Tübingen, Institut für Zellbiologie</v>
      </c>
    </row>
    <row r="627">
      <c r="A627" s="6" t="str">
        <f>IFERROR(__xludf.DUMMYFUNCTION("""COMPUTED_VALUE"""),"Proteom Centrum Tübingen – Universität Tübingen, Institut für Zellbiologie")</f>
        <v>Proteom Centrum Tübingen – Universität Tübingen, Institut für Zellbiologie</v>
      </c>
    </row>
    <row r="628">
      <c r="A628" s="6" t="str">
        <f>IFERROR(__xludf.DUMMYFUNCTION("""COMPUTED_VALUE"""),"QraGo GmbH")</f>
        <v>QraGo GmbH</v>
      </c>
    </row>
    <row r="629">
      <c r="A629" s="6" t="str">
        <f>IFERROR(__xludf.DUMMYFUNCTION("""COMPUTED_VALUE"""),"QraGo GmbH")</f>
        <v>QraGo GmbH</v>
      </c>
    </row>
    <row r="630">
      <c r="A630" s="6" t="str">
        <f>IFERROR(__xludf.DUMMYFUNCTION("""COMPUTED_VALUE"""),"Rapp Polymere GmbH")</f>
        <v>Rapp Polymere GmbH</v>
      </c>
    </row>
    <row r="631">
      <c r="A631" s="6" t="str">
        <f>IFERROR(__xludf.DUMMYFUNCTION("""COMPUTED_VALUE"""),"Rapp Polymere GmbH")</f>
        <v>Rapp Polymere GmbH</v>
      </c>
    </row>
    <row r="632">
      <c r="A632" s="6" t="str">
        <f>IFERROR(__xludf.DUMMYFUNCTION("""COMPUTED_VALUE"""),"RAYLYTIC GmbH")</f>
        <v>RAYLYTIC GmbH</v>
      </c>
    </row>
    <row r="633">
      <c r="A633" s="6" t="str">
        <f>IFERROR(__xludf.DUMMYFUNCTION("""COMPUTED_VALUE"""),"RAYLYTIC GmbH")</f>
        <v>RAYLYTIC GmbH</v>
      </c>
    </row>
    <row r="634">
      <c r="A634" s="6" t="str">
        <f>IFERROR(__xludf.DUMMYFUNCTION("""COMPUTED_VALUE"""),"Reinhold Hummel GmbH+Co.KG")</f>
        <v>Reinhold Hummel GmbH+Co.KG</v>
      </c>
    </row>
    <row r="635">
      <c r="A635" s="6" t="str">
        <f>IFERROR(__xludf.DUMMYFUNCTION("""COMPUTED_VALUE"""),"Reinhold Hummel GmbH+Co.KG")</f>
        <v>Reinhold Hummel GmbH+Co.KG</v>
      </c>
    </row>
    <row r="636">
      <c r="A636" s="6" t="str">
        <f>IFERROR(__xludf.DUMMYFUNCTION("""COMPUTED_VALUE"""),"Relyon AG")</f>
        <v>Relyon AG</v>
      </c>
    </row>
    <row r="637">
      <c r="A637" s="6" t="str">
        <f>IFERROR(__xludf.DUMMYFUNCTION("""COMPUTED_VALUE"""),"Relyon AG")</f>
        <v>Relyon AG</v>
      </c>
    </row>
    <row r="638">
      <c r="A638" s="6" t="str">
        <f>IFERROR(__xludf.DUMMYFUNCTION("""COMPUTED_VALUE"""),"REMSGOLD Chemie GmbH &amp; Co. KG")</f>
        <v>REMSGOLD Chemie GmbH &amp; Co. KG</v>
      </c>
    </row>
    <row r="639">
      <c r="A639" s="6" t="str">
        <f>IFERROR(__xludf.DUMMYFUNCTION("""COMPUTED_VALUE"""),"REMSGOLD Chemie GmbH &amp; Co. KG")</f>
        <v>REMSGOLD Chemie GmbH &amp; Co. KG</v>
      </c>
    </row>
    <row r="640">
      <c r="A640" s="6" t="str">
        <f>IFERROR(__xludf.DUMMYFUNCTION("""COMPUTED_VALUE"""),"rent-a-lab Dr. Carsten Tober")</f>
        <v>rent-a-lab Dr. Carsten Tober</v>
      </c>
    </row>
    <row r="641">
      <c r="A641" s="6" t="str">
        <f>IFERROR(__xludf.DUMMYFUNCTION("""COMPUTED_VALUE"""),"rent-a-lab Dr. Carsten Tober")</f>
        <v>rent-a-lab Dr. Carsten Tober</v>
      </c>
    </row>
    <row r="642">
      <c r="A642" s="6" t="str">
        <f>IFERROR(__xludf.DUMMYFUNCTION("""COMPUTED_VALUE"""),"Riebesam GmbH &amp; Co. KG")</f>
        <v>Riebesam GmbH &amp; Co. KG</v>
      </c>
    </row>
    <row r="643">
      <c r="A643" s="6" t="str">
        <f>IFERROR(__xludf.DUMMYFUNCTION("""COMPUTED_VALUE"""),"Riebesam GmbH &amp; Co. KG")</f>
        <v>Riebesam GmbH &amp; Co. KG</v>
      </c>
    </row>
    <row r="644">
      <c r="A644" s="6" t="str">
        <f>IFERROR(__xludf.DUMMYFUNCTION("""COMPUTED_VALUE"""),"RKW Baden-Württemberg GmbH")</f>
        <v>RKW Baden-Württemberg GmbH</v>
      </c>
    </row>
    <row r="645">
      <c r="A645" s="6" t="str">
        <f>IFERROR(__xludf.DUMMYFUNCTION("""COMPUTED_VALUE"""),"RKW Baden-Württemberg GmbH")</f>
        <v>RKW Baden-Württemberg GmbH</v>
      </c>
    </row>
    <row r="646">
      <c r="A646" s="6" t="str">
        <f>IFERROR(__xludf.DUMMYFUNCTION("""COMPUTED_VALUE"""),"Robert-Bosch-Krankenhaus GmbH")</f>
        <v>Robert-Bosch-Krankenhaus GmbH</v>
      </c>
    </row>
    <row r="647">
      <c r="A647" s="6" t="str">
        <f>IFERROR(__xludf.DUMMYFUNCTION("""COMPUTED_VALUE"""),"Robert-Bosch-Krankenhaus GmbH")</f>
        <v>Robert-Bosch-Krankenhaus GmbH</v>
      </c>
    </row>
    <row r="648">
      <c r="A648" s="6" t="str">
        <f>IFERROR(__xludf.DUMMYFUNCTION("""COMPUTED_VALUE"""),"Robugen GmbH, Pharmazeutische Fabrik")</f>
        <v>Robugen GmbH, Pharmazeutische Fabrik</v>
      </c>
    </row>
    <row r="649">
      <c r="A649" s="6" t="str">
        <f>IFERROR(__xludf.DUMMYFUNCTION("""COMPUTED_VALUE"""),"Robugen GmbH, Pharmazeutische Fabrik")</f>
        <v>Robugen GmbH, Pharmazeutische Fabrik</v>
      </c>
    </row>
    <row r="650">
      <c r="A650" s="6" t="str">
        <f>IFERROR(__xludf.DUMMYFUNCTION("""COMPUTED_VALUE"""),"ROESER Medical GmbH")</f>
        <v>ROESER Medical GmbH</v>
      </c>
    </row>
    <row r="651">
      <c r="A651" s="6" t="str">
        <f>IFERROR(__xludf.DUMMYFUNCTION("""COMPUTED_VALUE"""),"ROESER Medical GmbH")</f>
        <v>ROESER Medical GmbH</v>
      </c>
    </row>
    <row r="652">
      <c r="A652" s="6" t="str">
        <f>IFERROR(__xludf.DUMMYFUNCTION("""COMPUTED_VALUE"""),"rollerwerk-medical engineering &amp; consulting")</f>
        <v>rollerwerk-medical engineering &amp; consulting</v>
      </c>
    </row>
    <row r="653">
      <c r="A653" s="6" t="str">
        <f>IFERROR(__xludf.DUMMYFUNCTION("""COMPUTED_VALUE"""),"rollerwerk-medical engineering &amp; consulting")</f>
        <v>rollerwerk-medical engineering &amp; consulting</v>
      </c>
    </row>
    <row r="654">
      <c r="A654" s="6" t="str">
        <f>IFERROR(__xludf.DUMMYFUNCTION("""COMPUTED_VALUE"""),"Rudolf Riester GmbH")</f>
        <v>Rudolf Riester GmbH</v>
      </c>
    </row>
    <row r="655">
      <c r="A655" s="6" t="str">
        <f>IFERROR(__xludf.DUMMYFUNCTION("""COMPUTED_VALUE"""),"Rudolf Riester GmbH")</f>
        <v>Rudolf Riester GmbH</v>
      </c>
    </row>
    <row r="656">
      <c r="A656" s="6" t="str">
        <f>IFERROR(__xludf.DUMMYFUNCTION("""COMPUTED_VALUE"""),"Sagacity GmbH")</f>
        <v>Sagacity GmbH</v>
      </c>
    </row>
    <row r="657">
      <c r="A657" s="6" t="str">
        <f>IFERROR(__xludf.DUMMYFUNCTION("""COMPUTED_VALUE"""),"Sagacity GmbH")</f>
        <v>Sagacity GmbH</v>
      </c>
    </row>
    <row r="658">
      <c r="A658" s="6" t="str">
        <f>IFERROR(__xludf.DUMMYFUNCTION("""COMPUTED_VALUE"""),"SAS hagmann GmbH &amp; Co. KG")</f>
        <v>SAS hagmann GmbH &amp; Co. KG</v>
      </c>
    </row>
    <row r="659">
      <c r="A659" s="6" t="str">
        <f>IFERROR(__xludf.DUMMYFUNCTION("""COMPUTED_VALUE"""),"SAS hagmann GmbH &amp; Co. KG")</f>
        <v>SAS hagmann GmbH &amp; Co. KG</v>
      </c>
    </row>
    <row r="660">
      <c r="A660" s="6" t="str">
        <f>IFERROR(__xludf.DUMMYFUNCTION("""COMPUTED_VALUE"""),"SCHOBER medicare GmbH")</f>
        <v>SCHOBER medicare GmbH</v>
      </c>
    </row>
    <row r="661">
      <c r="A661" s="6" t="str">
        <f>IFERROR(__xludf.DUMMYFUNCTION("""COMPUTED_VALUE"""),"SCHOBER medicare GmbH")</f>
        <v>SCHOBER medicare GmbH</v>
      </c>
    </row>
    <row r="662">
      <c r="A662" s="6" t="str">
        <f>IFERROR(__xludf.DUMMYFUNCTION("""COMPUTED_VALUE"""),"Schrack &amp; Partner Ingenieure, Naturwissenschaftler")</f>
        <v>Schrack &amp; Partner Ingenieure, Naturwissenschaftler</v>
      </c>
    </row>
    <row r="663">
      <c r="A663" s="6" t="str">
        <f>IFERROR(__xludf.DUMMYFUNCTION("""COMPUTED_VALUE"""),"Schrack &amp; Partner Ingenieure, Naturwissenschaftler")</f>
        <v>Schrack &amp; Partner Ingenieure, Naturwissenschaftler</v>
      </c>
    </row>
    <row r="664">
      <c r="A664" s="6" t="str">
        <f>IFERROR(__xludf.DUMMYFUNCTION("""COMPUTED_VALUE"""),"Schülerlabor Neurowissenschaft")</f>
        <v>Schülerlabor Neurowissenschaft</v>
      </c>
    </row>
    <row r="665">
      <c r="A665" s="6" t="str">
        <f>IFERROR(__xludf.DUMMYFUNCTION("""COMPUTED_VALUE"""),"Schülerlabor Neurowissenschaft")</f>
        <v>Schülerlabor Neurowissenschaft</v>
      </c>
    </row>
    <row r="666">
      <c r="A666" s="6" t="str">
        <f>IFERROR(__xludf.DUMMYFUNCTION("""COMPUTED_VALUE"""),"scienceDISPLAY")</f>
        <v>scienceDISPLAY</v>
      </c>
    </row>
    <row r="667">
      <c r="A667" s="6" t="str">
        <f>IFERROR(__xludf.DUMMYFUNCTION("""COMPUTED_VALUE"""),"scienceDISPLAY")</f>
        <v>scienceDISPLAY</v>
      </c>
    </row>
    <row r="668">
      <c r="A668" s="6" t="str">
        <f>IFERROR(__xludf.DUMMYFUNCTION("""COMPUTED_VALUE"""),"Seeber + Partner - Das Ingenieurunternehmen.")</f>
        <v>Seeber + Partner - Das Ingenieurunternehmen.</v>
      </c>
    </row>
    <row r="669">
      <c r="A669" s="6" t="str">
        <f>IFERROR(__xludf.DUMMYFUNCTION("""COMPUTED_VALUE"""),"Seeber + Partner - Das Ingenieurunternehmen.")</f>
        <v>Seeber + Partner - Das Ingenieurunternehmen.</v>
      </c>
    </row>
    <row r="670">
      <c r="A670" s="6" t="str">
        <f>IFERROR(__xludf.DUMMYFUNCTION("""COMPUTED_VALUE"""),"Seedfonds BW")</f>
        <v>Seedfonds BW</v>
      </c>
    </row>
    <row r="671">
      <c r="A671" s="6" t="str">
        <f>IFERROR(__xludf.DUMMYFUNCTION("""COMPUTED_VALUE"""),"Seedfonds BW")</f>
        <v>Seedfonds BW</v>
      </c>
    </row>
    <row r="672">
      <c r="A672" s="6" t="str">
        <f>IFERROR(__xludf.DUMMYFUNCTION("""COMPUTED_VALUE"""),"Selecta Klemm GmbH &amp; Co. KG")</f>
        <v>Selecta Klemm GmbH &amp; Co. KG</v>
      </c>
    </row>
    <row r="673">
      <c r="A673" s="6" t="str">
        <f>IFERROR(__xludf.DUMMYFUNCTION("""COMPUTED_VALUE"""),"Selecta Klemm GmbH &amp; Co. KG")</f>
        <v>Selecta Klemm GmbH &amp; Co. KG</v>
      </c>
    </row>
    <row r="674">
      <c r="A674" s="6" t="str">
        <f>IFERROR(__xludf.DUMMYFUNCTION("""COMPUTED_VALUE"""),"SensoRun GmbH &amp; Co. KG")</f>
        <v>SensoRun GmbH &amp; Co. KG</v>
      </c>
    </row>
    <row r="675">
      <c r="A675" s="6" t="str">
        <f>IFERROR(__xludf.DUMMYFUNCTION("""COMPUTED_VALUE"""),"SensoRun GmbH &amp; Co. KG")</f>
        <v>SensoRun GmbH &amp; Co. KG</v>
      </c>
    </row>
    <row r="676">
      <c r="A676" s="6" t="str">
        <f>IFERROR(__xludf.DUMMYFUNCTION("""COMPUTED_VALUE"""),"SHS Gesellschaft für Beteiligungsmanagement mbH")</f>
        <v>SHS Gesellschaft für Beteiligungsmanagement mbH</v>
      </c>
    </row>
    <row r="677">
      <c r="A677" s="6" t="str">
        <f>IFERROR(__xludf.DUMMYFUNCTION("""COMPUTED_VALUE"""),"SHS Gesellschaft für Beteiligungsmanagement mbH")</f>
        <v>SHS Gesellschaft für Beteiligungsmanagement mbH</v>
      </c>
    </row>
    <row r="678">
      <c r="A678" s="6" t="str">
        <f>IFERROR(__xludf.DUMMYFUNCTION("""COMPUTED_VALUE"""),"SICOS BW GmbH")</f>
        <v>SICOS BW GmbH</v>
      </c>
    </row>
    <row r="679">
      <c r="A679" s="6" t="str">
        <f>IFERROR(__xludf.DUMMYFUNCTION("""COMPUTED_VALUE"""),"SICOS BW GmbH")</f>
        <v>SICOS BW GmbH</v>
      </c>
    </row>
    <row r="680">
      <c r="A680" s="6" t="str">
        <f>IFERROR(__xludf.DUMMYFUNCTION("""COMPUTED_VALUE"""),"Signatope GmbH")</f>
        <v>Signatope GmbH</v>
      </c>
    </row>
    <row r="681">
      <c r="A681" s="6" t="str">
        <f>IFERROR(__xludf.DUMMYFUNCTION("""COMPUTED_VALUE"""),"Signatope GmbH")</f>
        <v>Signatope GmbH</v>
      </c>
    </row>
    <row r="682">
      <c r="A682" s="6" t="str">
        <f>IFERROR(__xludf.DUMMYFUNCTION("""COMPUTED_VALUE"""),"Silcos GmbH")</f>
        <v>Silcos GmbH</v>
      </c>
    </row>
    <row r="683">
      <c r="A683" s="6" t="str">
        <f>IFERROR(__xludf.DUMMYFUNCTION("""COMPUTED_VALUE"""),"Silcos GmbH")</f>
        <v>Silcos GmbH</v>
      </c>
    </row>
    <row r="684">
      <c r="A684" s="6" t="str">
        <f>IFERROR(__xludf.DUMMYFUNCTION("""COMPUTED_VALUE"""),"Silony Medical GmbH")</f>
        <v>Silony Medical GmbH</v>
      </c>
    </row>
    <row r="685">
      <c r="A685" s="6" t="str">
        <f>IFERROR(__xludf.DUMMYFUNCTION("""COMPUTED_VALUE"""),"Silony Medical GmbH")</f>
        <v>Silony Medical GmbH</v>
      </c>
    </row>
    <row r="686">
      <c r="A686" s="6" t="str">
        <f>IFERROR(__xludf.DUMMYFUNCTION("""COMPUTED_VALUE"""),"SIMT Competence Center of Management and Technology")</f>
        <v>SIMT Competence Center of Management and Technology</v>
      </c>
    </row>
    <row r="687">
      <c r="A687" s="6" t="str">
        <f>IFERROR(__xludf.DUMMYFUNCTION("""COMPUTED_VALUE"""),"SIMT Competence Center of Management and Technology")</f>
        <v>SIMT Competence Center of Management and Technology</v>
      </c>
    </row>
    <row r="688">
      <c r="A688" s="6" t="str">
        <f>IFERROR(__xludf.DUMMYFUNCTION("""COMPUTED_VALUE"""),"SMP GmbH Prüfen Validieren Forschen")</f>
        <v>SMP GmbH Prüfen Validieren Forschen</v>
      </c>
    </row>
    <row r="689">
      <c r="A689" s="6" t="str">
        <f>IFERROR(__xludf.DUMMYFUNCTION("""COMPUTED_VALUE"""),"SMP GmbH Prüfen Validieren Forschen")</f>
        <v>SMP GmbH Prüfen Validieren Forschen</v>
      </c>
    </row>
    <row r="690">
      <c r="A690" s="6" t="str">
        <f>IFERROR(__xludf.DUMMYFUNCTION("""COMPUTED_VALUE"""),"Soehnle Industrial Solutions GmbH")</f>
        <v>Soehnle Industrial Solutions GmbH</v>
      </c>
    </row>
    <row r="691">
      <c r="A691" s="6" t="str">
        <f>IFERROR(__xludf.DUMMYFUNCTION("""COMPUTED_VALUE"""),"Soehnle Industrial Solutions GmbH")</f>
        <v>Soehnle Industrial Solutions GmbH</v>
      </c>
    </row>
    <row r="692">
      <c r="A692" s="6" t="str">
        <f>IFERROR(__xludf.DUMMYFUNCTION("""COMPUTED_VALUE"""),"Sohena GmbH")</f>
        <v>Sohena GmbH</v>
      </c>
    </row>
    <row r="693">
      <c r="A693" s="6" t="str">
        <f>IFERROR(__xludf.DUMMYFUNCTION("""COMPUTED_VALUE"""),"Sohena GmbH")</f>
        <v>Sohena GmbH</v>
      </c>
    </row>
    <row r="694">
      <c r="A694" s="6" t="str">
        <f>IFERROR(__xludf.DUMMYFUNCTION("""COMPUTED_VALUE"""),"Solios diagnostics GmbH")</f>
        <v>Solios diagnostics GmbH</v>
      </c>
    </row>
    <row r="695">
      <c r="A695" s="6" t="str">
        <f>IFERROR(__xludf.DUMMYFUNCTION("""COMPUTED_VALUE"""),"Solios diagnostics GmbH")</f>
        <v>Solios diagnostics GmbH</v>
      </c>
    </row>
    <row r="696">
      <c r="A696" s="6" t="str">
        <f>IFERROR(__xludf.DUMMYFUNCTION("""COMPUTED_VALUE"""),"SPORLASTIC GmbH")</f>
        <v>SPORLASTIC GmbH</v>
      </c>
    </row>
    <row r="697">
      <c r="A697" s="6" t="str">
        <f>IFERROR(__xludf.DUMMYFUNCTION("""COMPUTED_VALUE"""),"SPORLASTIC GmbH")</f>
        <v>SPORLASTIC GmbH</v>
      </c>
    </row>
    <row r="698">
      <c r="A698" s="6" t="str">
        <f>IFERROR(__xludf.DUMMYFUNCTION("""COMPUTED_VALUE"""),"SP Sourcon Padena GmbH")</f>
        <v>SP Sourcon Padena GmbH</v>
      </c>
    </row>
    <row r="699">
      <c r="A699" s="6" t="str">
        <f>IFERROR(__xludf.DUMMYFUNCTION("""COMPUTED_VALUE"""),"SP Sourcon Padena GmbH")</f>
        <v>SP Sourcon Padena GmbH</v>
      </c>
    </row>
    <row r="700">
      <c r="A700" s="6" t="str">
        <f>IFERROR(__xludf.DUMMYFUNCTION("""COMPUTED_VALUE"""),"Standortagentur Tübingen-Reutlingen-Zollernalb GmbH")</f>
        <v>Standortagentur Tübingen-Reutlingen-Zollernalb GmbH</v>
      </c>
    </row>
    <row r="701">
      <c r="A701" s="6" t="str">
        <f>IFERROR(__xludf.DUMMYFUNCTION("""COMPUTED_VALUE"""),"Standortagentur Tübingen-Reutlingen-Zollernalb GmbH")</f>
        <v>Standortagentur Tübingen-Reutlingen-Zollernalb GmbH</v>
      </c>
    </row>
    <row r="702">
      <c r="A702" s="6" t="str">
        <f>IFERROR(__xludf.DUMMYFUNCTION("""COMPUTED_VALUE"""),"Start-up BW ")</f>
        <v>Start-up BW </v>
      </c>
    </row>
    <row r="703">
      <c r="A703" s="6" t="str">
        <f>IFERROR(__xludf.DUMMYFUNCTION("""COMPUTED_VALUE"""),"Start-up BW ")</f>
        <v>Start-up BW </v>
      </c>
    </row>
    <row r="704">
      <c r="A704" s="6" t="str">
        <f>IFERROR(__xludf.DUMMYFUNCTION("""COMPUTED_VALUE"""),"Startup Center - Eberhard Karls Universität Tübingen")</f>
        <v>Startup Center - Eberhard Karls Universität Tübingen</v>
      </c>
    </row>
    <row r="705">
      <c r="A705" s="6" t="str">
        <f>IFERROR(__xludf.DUMMYFUNCTION("""COMPUTED_VALUE"""),"Startup Center - Eberhard Karls Universität Tübingen")</f>
        <v>Startup Center - Eberhard Karls Universität Tübingen</v>
      </c>
    </row>
    <row r="706">
      <c r="A706" s="6" t="str">
        <f>IFERROR(__xludf.DUMMYFUNCTION("""COMPUTED_VALUE"""),"Steinbeis Beratungszentren GmbH")</f>
        <v>Steinbeis Beratungszentren GmbH</v>
      </c>
    </row>
    <row r="707">
      <c r="A707" s="6" t="str">
        <f>IFERROR(__xludf.DUMMYFUNCTION("""COMPUTED_VALUE"""),"Steinbeis Beratungszentren GmbH")</f>
        <v>Steinbeis Beratungszentren GmbH</v>
      </c>
    </row>
    <row r="708">
      <c r="A708" s="6" t="str">
        <f>IFERROR(__xludf.DUMMYFUNCTION("""COMPUTED_VALUE"""),"Steinbeis Consulting Center Technic in Health and Care")</f>
        <v>Steinbeis Consulting Center Technic in Health and Care</v>
      </c>
    </row>
    <row r="709">
      <c r="A709" s="6" t="str">
        <f>IFERROR(__xludf.DUMMYFUNCTION("""COMPUTED_VALUE"""),"Steinbeis Consulting Center Technic in Health and Care")</f>
        <v>Steinbeis Consulting Center Technic in Health and Care</v>
      </c>
    </row>
    <row r="710">
      <c r="A710" s="6" t="str">
        <f>IFERROR(__xludf.DUMMYFUNCTION("""COMPUTED_VALUE"""),"Steinbeis Europa Zentrum")</f>
        <v>Steinbeis Europa Zentrum</v>
      </c>
    </row>
    <row r="711">
      <c r="A711" s="6" t="str">
        <f>IFERROR(__xludf.DUMMYFUNCTION("""COMPUTED_VALUE"""),"Steinbeis Europa Zentrum")</f>
        <v>Steinbeis Europa Zentrum</v>
      </c>
    </row>
    <row r="712">
      <c r="A712" s="6" t="str">
        <f>IFERROR(__xludf.DUMMYFUNCTION("""COMPUTED_VALUE"""),"Steinbeis GmbH &amp; Co. KG für Technologietransfer")</f>
        <v>Steinbeis GmbH &amp; Co. KG für Technologietransfer</v>
      </c>
    </row>
    <row r="713">
      <c r="A713" s="6" t="str">
        <f>IFERROR(__xludf.DUMMYFUNCTION("""COMPUTED_VALUE"""),"Steinbeis GmbH &amp; Co. KG für Technologietransfer")</f>
        <v>Steinbeis GmbH &amp; Co. KG für Technologietransfer</v>
      </c>
    </row>
    <row r="714">
      <c r="A714" s="6" t="str">
        <f>IFERROR(__xludf.DUMMYFUNCTION("""COMPUTED_VALUE"""),"Steinbeis Innovation Center Research in Health and Care")</f>
        <v>Steinbeis Innovation Center Research in Health and Care</v>
      </c>
    </row>
    <row r="715">
      <c r="A715" s="6" t="str">
        <f>IFERROR(__xludf.DUMMYFUNCTION("""COMPUTED_VALUE"""),"Steinbeis Innovation Center Research in Health and Care")</f>
        <v>Steinbeis Innovation Center Research in Health and Care</v>
      </c>
    </row>
    <row r="716">
      <c r="A716" s="6" t="str">
        <f>IFERROR(__xludf.DUMMYFUNCTION("""COMPUTED_VALUE"""),"Stiegler und Karger GmbH")</f>
        <v>Stiegler und Karger GmbH</v>
      </c>
    </row>
    <row r="717">
      <c r="A717" s="6" t="str">
        <f>IFERROR(__xludf.DUMMYFUNCTION("""COMPUTED_VALUE"""),"Stiegler und Karger GmbH")</f>
        <v>Stiegler und Karger GmbH</v>
      </c>
    </row>
    <row r="718">
      <c r="A718" s="6" t="str">
        <f>IFERROR(__xludf.DUMMYFUNCTION("""COMPUTED_VALUE"""),"Stiel Kälte + Klima GmbH ")</f>
        <v>Stiel Kälte + Klima GmbH </v>
      </c>
    </row>
    <row r="719">
      <c r="A719" s="6" t="str">
        <f>IFERROR(__xludf.DUMMYFUNCTION("""COMPUTED_VALUE"""),"Stiel Kälte + Klima GmbH ")</f>
        <v>Stiel Kälte + Klima GmbH </v>
      </c>
    </row>
    <row r="720">
      <c r="A720" s="6" t="str">
        <f>IFERROR(__xludf.DUMMYFUNCTION("""COMPUTED_VALUE"""),"Striatech GmbH")</f>
        <v>Striatech GmbH</v>
      </c>
    </row>
    <row r="721">
      <c r="A721" s="6" t="str">
        <f>IFERROR(__xludf.DUMMYFUNCTION("""COMPUTED_VALUE"""),"Striatech GmbH")</f>
        <v>Striatech GmbH</v>
      </c>
    </row>
    <row r="722">
      <c r="A722" s="6" t="str">
        <f>IFERROR(__xludf.DUMMYFUNCTION("""COMPUTED_VALUE"""),"STZ eyetrial at the Center for Ophthalmology")</f>
        <v>STZ eyetrial at the Center for Ophthalmology</v>
      </c>
    </row>
    <row r="723">
      <c r="A723" s="6" t="str">
        <f>IFERROR(__xludf.DUMMYFUNCTION("""COMPUTED_VALUE"""),"STZ eyetrial at the Center for Ophthalmology")</f>
        <v>STZ eyetrial at the Center for Ophthalmology</v>
      </c>
    </row>
    <row r="724">
      <c r="A724" s="6" t="str">
        <f>IFERROR(__xludf.DUMMYFUNCTION("""COMPUTED_VALUE"""),"Subitec GmbH")</f>
        <v>Subitec GmbH</v>
      </c>
    </row>
    <row r="725">
      <c r="A725" s="6" t="str">
        <f>IFERROR(__xludf.DUMMYFUNCTION("""COMPUTED_VALUE"""),"Subitec GmbH")</f>
        <v>Subitec GmbH</v>
      </c>
    </row>
    <row r="726">
      <c r="A726" s="6" t="str">
        <f>IFERROR(__xludf.DUMMYFUNCTION("""COMPUTED_VALUE"""),"Sunexx GmbH")</f>
        <v>Sunexx GmbH</v>
      </c>
    </row>
    <row r="727">
      <c r="A727" s="6" t="str">
        <f>IFERROR(__xludf.DUMMYFUNCTION("""COMPUTED_VALUE"""),"Sunexx GmbH")</f>
        <v>Sunexx GmbH</v>
      </c>
    </row>
    <row r="728">
      <c r="A728" s="6" t="str">
        <f>IFERROR(__xludf.DUMMYFUNCTION("""COMPUTED_VALUE"""),"Swabian Instruments GmbH")</f>
        <v>Swabian Instruments GmbH</v>
      </c>
    </row>
    <row r="729">
      <c r="A729" s="6" t="str">
        <f>IFERROR(__xludf.DUMMYFUNCTION("""COMPUTED_VALUE"""),"Swabian Instruments GmbH")</f>
        <v>Swabian Instruments GmbH</v>
      </c>
    </row>
    <row r="730">
      <c r="A730" s="6" t="str">
        <f>IFERROR(__xludf.DUMMYFUNCTION("""COMPUTED_VALUE"""),"sync2brain GmbH")</f>
        <v>sync2brain GmbH</v>
      </c>
    </row>
    <row r="731">
      <c r="A731" s="6" t="str">
        <f>IFERROR(__xludf.DUMMYFUNCTION("""COMPUTED_VALUE"""),"sync2brain GmbH")</f>
        <v>sync2brain GmbH</v>
      </c>
    </row>
    <row r="732">
      <c r="A732" s="6" t="str">
        <f>IFERROR(__xludf.DUMMYFUNCTION("""COMPUTED_VALUE"""),"SYNIMMUNE GmbH")</f>
        <v>SYNIMMUNE GmbH</v>
      </c>
    </row>
    <row r="733">
      <c r="A733" s="6" t="str">
        <f>IFERROR(__xludf.DUMMYFUNCTION("""COMPUTED_VALUE"""),"SYNIMMUNE GmbH")</f>
        <v>SYNIMMUNE GmbH</v>
      </c>
    </row>
    <row r="734">
      <c r="A734" s="6" t="str">
        <f>IFERROR(__xludf.DUMMYFUNCTION("""COMPUTED_VALUE"""),"Synovo GmbH")</f>
        <v>Synovo GmbH</v>
      </c>
    </row>
    <row r="735">
      <c r="A735" s="6" t="str">
        <f>IFERROR(__xludf.DUMMYFUNCTION("""COMPUTED_VALUE"""),"Synovo GmbH")</f>
        <v>Synovo GmbH</v>
      </c>
    </row>
    <row r="736">
      <c r="A736" s="6" t="str">
        <f>IFERROR(__xludf.DUMMYFUNCTION("""COMPUTED_VALUE"""),"T5 Interface GmbH")</f>
        <v>T5 Interface GmbH</v>
      </c>
    </row>
    <row r="737">
      <c r="A737" s="6" t="str">
        <f>IFERROR(__xludf.DUMMYFUNCTION("""COMPUTED_VALUE"""),"T5 Interface GmbH")</f>
        <v>T5 Interface GmbH</v>
      </c>
    </row>
    <row r="738">
      <c r="A738" s="6" t="str">
        <f>IFERROR(__xludf.DUMMYFUNCTION("""COMPUTED_VALUE"""),"TEAMPLAN GmbH")</f>
        <v>TEAMPLAN GmbH</v>
      </c>
    </row>
    <row r="739">
      <c r="A739" s="6" t="str">
        <f>IFERROR(__xludf.DUMMYFUNCTION("""COMPUTED_VALUE"""),"TEAMPLAN GmbH")</f>
        <v>TEAMPLAN GmbH</v>
      </c>
    </row>
    <row r="740">
      <c r="A740" s="6" t="str">
        <f>IFERROR(__xludf.DUMMYFUNCTION("""COMPUTED_VALUE"""),"teamtechnik Maschinen und Anlagen GmbH")</f>
        <v>teamtechnik Maschinen und Anlagen GmbH</v>
      </c>
    </row>
    <row r="741">
      <c r="A741" s="6" t="str">
        <f>IFERROR(__xludf.DUMMYFUNCTION("""COMPUTED_VALUE"""),"teamtechnik Maschinen und Anlagen GmbH")</f>
        <v>teamtechnik Maschinen und Anlagen GmbH</v>
      </c>
    </row>
    <row r="742">
      <c r="A742" s="6" t="str">
        <f>IFERROR(__xludf.DUMMYFUNCTION("""COMPUTED_VALUE"""),"TECHNIA GmbH")</f>
        <v>TECHNIA GmbH</v>
      </c>
    </row>
    <row r="743">
      <c r="A743" s="6" t="str">
        <f>IFERROR(__xludf.DUMMYFUNCTION("""COMPUTED_VALUE"""),"TECHNIA GmbH")</f>
        <v>TECHNIA GmbH</v>
      </c>
    </row>
    <row r="744">
      <c r="A744" s="6" t="str">
        <f>IFERROR(__xludf.DUMMYFUNCTION("""COMPUTED_VALUE"""),"Technische Akademie Esslingen e. V.")</f>
        <v>Technische Akademie Esslingen e. V.</v>
      </c>
    </row>
    <row r="745">
      <c r="A745" s="6" t="str">
        <f>IFERROR(__xludf.DUMMYFUNCTION("""COMPUTED_VALUE"""),"Technische Akademie Esslingen e. V.")</f>
        <v>Technische Akademie Esslingen e. V.</v>
      </c>
    </row>
    <row r="746">
      <c r="A746" s="6" t="str">
        <f>IFERROR(__xludf.DUMMYFUNCTION("""COMPUTED_VALUE"""),"Technologie-Transferstelle der Universität Tübingen")</f>
        <v>Technologie-Transferstelle der Universität Tübingen</v>
      </c>
    </row>
    <row r="747">
      <c r="A747" s="6" t="str">
        <f>IFERROR(__xludf.DUMMYFUNCTION("""COMPUTED_VALUE"""),"Technologie-Transferstelle der Universität Tübingen")</f>
        <v>Technologie-Transferstelle der Universität Tübingen</v>
      </c>
    </row>
    <row r="748">
      <c r="A748" s="6" t="str">
        <f>IFERROR(__xludf.DUMMYFUNCTION("""COMPUTED_VALUE"""),"Technologieförderung Reutlingen-Tübingen GmbH")</f>
        <v>Technologieförderung Reutlingen-Tübingen GmbH</v>
      </c>
    </row>
    <row r="749">
      <c r="A749" s="6" t="str">
        <f>IFERROR(__xludf.DUMMYFUNCTION("""COMPUTED_VALUE"""),"Technologieförderung Reutlingen-Tübingen GmbH")</f>
        <v>Technologieförderung Reutlingen-Tübingen GmbH</v>
      </c>
    </row>
    <row r="750">
      <c r="A750" s="6" t="str">
        <f>IFERROR(__xludf.DUMMYFUNCTION("""COMPUTED_VALUE"""),"Teleflex Medical")</f>
        <v>Teleflex Medical</v>
      </c>
    </row>
    <row r="751">
      <c r="A751" s="6" t="str">
        <f>IFERROR(__xludf.DUMMYFUNCTION("""COMPUTED_VALUE"""),"Teleflex Medical")</f>
        <v>Teleflex Medical</v>
      </c>
    </row>
    <row r="752">
      <c r="A752" s="6" t="str">
        <f>IFERROR(__xludf.DUMMYFUNCTION("""COMPUTED_VALUE"""),"TETEC AG")</f>
        <v>TETEC AG</v>
      </c>
    </row>
    <row r="753">
      <c r="A753" s="6" t="str">
        <f>IFERROR(__xludf.DUMMYFUNCTION("""COMPUTED_VALUE"""),"TETEC AG")</f>
        <v>TETEC AG</v>
      </c>
    </row>
    <row r="754">
      <c r="A754" s="6" t="str">
        <f>IFERROR(__xludf.DUMMYFUNCTION("""COMPUTED_VALUE"""),"Thieme TeleCare GmbH ")</f>
        <v>Thieme TeleCare GmbH </v>
      </c>
    </row>
    <row r="755">
      <c r="A755" s="6" t="str">
        <f>IFERROR(__xludf.DUMMYFUNCTION("""COMPUTED_VALUE"""),"Thieme TeleCare GmbH ")</f>
        <v>Thieme TeleCare GmbH </v>
      </c>
    </row>
    <row r="756">
      <c r="A756" s="6" t="str">
        <f>IFERROR(__xludf.DUMMYFUNCTION("""COMPUTED_VALUE"""),"Thieme Verlag")</f>
        <v>Thieme Verlag</v>
      </c>
    </row>
    <row r="757">
      <c r="A757" s="6" t="str">
        <f>IFERROR(__xludf.DUMMYFUNCTION("""COMPUTED_VALUE"""),"Thieme Verlag")</f>
        <v>Thieme Verlag</v>
      </c>
    </row>
    <row r="758">
      <c r="A758" s="6" t="str">
        <f>IFERROR(__xludf.DUMMYFUNCTION("""COMPUTED_VALUE"""),"Transline Deutschland GmbH")</f>
        <v>Transline Deutschland GmbH</v>
      </c>
    </row>
    <row r="759">
      <c r="A759" s="6" t="str">
        <f>IFERROR(__xludf.DUMMYFUNCTION("""COMPUTED_VALUE"""),"Transline Deutschland GmbH")</f>
        <v>Transline Deutschland GmbH</v>
      </c>
    </row>
    <row r="760">
      <c r="A760" s="6" t="str">
        <f>IFERROR(__xludf.DUMMYFUNCTION("""COMPUTED_VALUE"""),"Translumina GmbH")</f>
        <v>Translumina GmbH</v>
      </c>
    </row>
    <row r="761">
      <c r="A761" s="6" t="str">
        <f>IFERROR(__xludf.DUMMYFUNCTION("""COMPUTED_VALUE"""),"Translumina GmbH")</f>
        <v>Translumina GmbH</v>
      </c>
    </row>
    <row r="762">
      <c r="A762" s="6" t="str">
        <f>IFERROR(__xludf.DUMMYFUNCTION("""COMPUTED_VALUE"""),"Trelleborg Healthcare &amp; Medical")</f>
        <v>Trelleborg Healthcare &amp; Medical</v>
      </c>
    </row>
    <row r="763">
      <c r="A763" s="6" t="str">
        <f>IFERROR(__xludf.DUMMYFUNCTION("""COMPUTED_VALUE"""),"Trelleborg Healthcare &amp; Medical")</f>
        <v>Trelleborg Healthcare &amp; Medical</v>
      </c>
    </row>
    <row r="764">
      <c r="A764" s="6" t="str">
        <f>IFERROR(__xludf.DUMMYFUNCTION("""COMPUTED_VALUE"""),"Tropenklinik Paul-Lechler-Krankenhaus")</f>
        <v>Tropenklinik Paul-Lechler-Krankenhaus</v>
      </c>
    </row>
    <row r="765">
      <c r="A765" s="6" t="str">
        <f>IFERROR(__xludf.DUMMYFUNCTION("""COMPUTED_VALUE"""),"Tropenklinik Paul-Lechler-Krankenhaus")</f>
        <v>Tropenklinik Paul-Lechler-Krankenhaus</v>
      </c>
    </row>
    <row r="766">
      <c r="A766" s="6" t="str">
        <f>IFERROR(__xludf.DUMMYFUNCTION("""COMPUTED_VALUE"""),"TTI GmbH")</f>
        <v>TTI GmbH</v>
      </c>
    </row>
    <row r="767">
      <c r="A767" s="6" t="str">
        <f>IFERROR(__xludf.DUMMYFUNCTION("""COMPUTED_VALUE"""),"TTI GmbH")</f>
        <v>TTI GmbH</v>
      </c>
    </row>
    <row r="768">
      <c r="A768" s="6" t="str">
        <f>IFERROR(__xludf.DUMMYFUNCTION("""COMPUTED_VALUE"""),"TTR Technologieparks Tübingen-Reutlingen GmbH")</f>
        <v>TTR Technologieparks Tübingen-Reutlingen GmbH</v>
      </c>
    </row>
    <row r="769">
      <c r="A769" s="6" t="str">
        <f>IFERROR(__xludf.DUMMYFUNCTION("""COMPUTED_VALUE"""),"TTR Technologieparks Tübingen-Reutlingen GmbH")</f>
        <v>TTR Technologieparks Tübingen-Reutlingen GmbH</v>
      </c>
    </row>
    <row r="770">
      <c r="A770" s="6" t="str">
        <f>IFERROR(__xludf.DUMMYFUNCTION("""COMPUTED_VALUE"""),"Tuebingen Scientific Medical GmbH")</f>
        <v>Tuebingen Scientific Medical GmbH</v>
      </c>
    </row>
    <row r="771">
      <c r="A771" s="6" t="str">
        <f>IFERROR(__xludf.DUMMYFUNCTION("""COMPUTED_VALUE"""),"Tuebingen Scientific Medical GmbH")</f>
        <v>Tuebingen Scientific Medical GmbH</v>
      </c>
    </row>
    <row r="772">
      <c r="A772" s="6" t="str">
        <f>IFERROR(__xludf.DUMMYFUNCTION("""COMPUTED_VALUE"""),"TZM GmbH")</f>
        <v>TZM GmbH</v>
      </c>
    </row>
    <row r="773">
      <c r="A773" s="6" t="str">
        <f>IFERROR(__xludf.DUMMYFUNCTION("""COMPUTED_VALUE"""),"TZM GmbH")</f>
        <v>TZM GmbH</v>
      </c>
    </row>
    <row r="774">
      <c r="A774" s="6" t="str">
        <f>IFERROR(__xludf.DUMMYFUNCTION("""COMPUTED_VALUE"""),"Universität Hohenheim")</f>
        <v>Universität Hohenheim</v>
      </c>
    </row>
    <row r="775">
      <c r="A775" s="6" t="str">
        <f>IFERROR(__xludf.DUMMYFUNCTION("""COMPUTED_VALUE"""),"Universität Hohenheim")</f>
        <v>Universität Hohenheim</v>
      </c>
    </row>
    <row r="776">
      <c r="A776" s="6" t="str">
        <f>IFERROR(__xludf.DUMMYFUNCTION("""COMPUTED_VALUE"""),"Universitätsklinikum Tübingen")</f>
        <v>Universitätsklinikum Tübingen</v>
      </c>
    </row>
    <row r="777">
      <c r="A777" s="6" t="str">
        <f>IFERROR(__xludf.DUMMYFUNCTION("""COMPUTED_VALUE"""),"Universitätsklinikum Tübingen")</f>
        <v>Universitätsklinikum Tübingen</v>
      </c>
    </row>
    <row r="778">
      <c r="A778" s="6" t="str">
        <f>IFERROR(__xludf.DUMMYFUNCTION("""COMPUTED_VALUE"""),"University Hospital Tübingen / c.ATG genomics core facility")</f>
        <v>University Hospital Tübingen / c.ATG genomics core facility</v>
      </c>
    </row>
    <row r="779">
      <c r="A779" s="6" t="str">
        <f>IFERROR(__xludf.DUMMYFUNCTION("""COMPUTED_VALUE"""),"University Hospital Tübingen / c.ATG genomics core facility")</f>
        <v>University Hospital Tübingen / c.ATG genomics core facility</v>
      </c>
    </row>
    <row r="780">
      <c r="A780" s="6" t="str">
        <f>IFERROR(__xludf.DUMMYFUNCTION("""COMPUTED_VALUE"""),"University of Stuttgart")</f>
        <v>University of Stuttgart</v>
      </c>
    </row>
    <row r="781">
      <c r="A781" s="6" t="str">
        <f>IFERROR(__xludf.DUMMYFUNCTION("""COMPUTED_VALUE"""),"University of Stuttgart")</f>
        <v>University of Stuttgart</v>
      </c>
    </row>
    <row r="782">
      <c r="A782" s="6" t="str">
        <f>IFERROR(__xludf.DUMMYFUNCTION("""COMPUTED_VALUE"""),"USE-Ing. GmbH")</f>
        <v>USE-Ing. GmbH</v>
      </c>
    </row>
    <row r="783">
      <c r="A783" s="6" t="str">
        <f>IFERROR(__xludf.DUMMYFUNCTION("""COMPUTED_VALUE"""),"USE-Ing. GmbH")</f>
        <v>USE-Ing. GmbH</v>
      </c>
    </row>
    <row r="784">
      <c r="A784" s="6" t="str">
        <f>IFERROR(__xludf.DUMMYFUNCTION("""COMPUTED_VALUE"""),"Variolytics GmbH")</f>
        <v>Variolytics GmbH</v>
      </c>
    </row>
    <row r="785">
      <c r="A785" s="6" t="str">
        <f>IFERROR(__xludf.DUMMYFUNCTION("""COMPUTED_VALUE"""),"Variolytics GmbH")</f>
        <v>Variolytics GmbH</v>
      </c>
    </row>
    <row r="786">
      <c r="A786" s="6" t="str">
        <f>IFERROR(__xludf.DUMMYFUNCTION("""COMPUTED_VALUE"""),"VAVisual Abstract GmbH")</f>
        <v>VAVisual Abstract GmbH</v>
      </c>
    </row>
    <row r="787">
      <c r="A787" s="6" t="str">
        <f>IFERROR(__xludf.DUMMYFUNCTION("""COMPUTED_VALUE"""),"VAVisual Abstract GmbH")</f>
        <v>VAVisual Abstract GmbH</v>
      </c>
    </row>
    <row r="788">
      <c r="A788" s="6" t="str">
        <f>IFERROR(__xludf.DUMMYFUNCTION("""COMPUTED_VALUE"""),"VIOONIC GmbH")</f>
        <v>VIOONIC GmbH</v>
      </c>
    </row>
    <row r="789">
      <c r="A789" s="6" t="str">
        <f>IFERROR(__xludf.DUMMYFUNCTION("""COMPUTED_VALUE"""),"VIOONIC GmbH")</f>
        <v>VIOONIC GmbH</v>
      </c>
    </row>
    <row r="790">
      <c r="A790" s="6" t="str">
        <f>IFERROR(__xludf.DUMMYFUNCTION("""COMPUTED_VALUE"""),"Virex GmbH")</f>
        <v>Virex GmbH</v>
      </c>
    </row>
    <row r="791">
      <c r="A791" s="6" t="str">
        <f>IFERROR(__xludf.DUMMYFUNCTION("""COMPUTED_VALUE"""),"Virex GmbH")</f>
        <v>Virex GmbH</v>
      </c>
    </row>
    <row r="792">
      <c r="A792" s="6" t="str">
        <f>IFERROR(__xludf.DUMMYFUNCTION("""COMPUTED_VALUE"""),"Virtual Dimension Center (VDC) Fellbach")</f>
        <v>Virtual Dimension Center (VDC) Fellbach</v>
      </c>
    </row>
    <row r="793">
      <c r="A793" s="6" t="str">
        <f>IFERROR(__xludf.DUMMYFUNCTION("""COMPUTED_VALUE"""),"Virtual Dimension Center (VDC) Fellbach")</f>
        <v>Virtual Dimension Center (VDC) Fellbach</v>
      </c>
    </row>
    <row r="794">
      <c r="A794" s="6" t="str">
        <f>IFERROR(__xludf.DUMMYFUNCTION("""COMPUTED_VALUE"""),"Vivat Lingua! Sprachtrainingsprogramme GmbH")</f>
        <v>Vivat Lingua! Sprachtrainingsprogramme GmbH</v>
      </c>
    </row>
    <row r="795">
      <c r="A795" s="6" t="str">
        <f>IFERROR(__xludf.DUMMYFUNCTION("""COMPUTED_VALUE"""),"Vivat Lingua! Sprachtrainingsprogramme GmbH")</f>
        <v>Vivat Lingua! Sprachtrainingsprogramme GmbH</v>
      </c>
    </row>
    <row r="796">
      <c r="A796" s="6" t="str">
        <f>IFERROR(__xludf.DUMMYFUNCTION("""COMPUTED_VALUE"""),"VOELKER &amp; Partner mbB")</f>
        <v>VOELKER &amp; Partner mbB</v>
      </c>
    </row>
    <row r="797">
      <c r="A797" s="6" t="str">
        <f>IFERROR(__xludf.DUMMYFUNCTION("""COMPUTED_VALUE"""),"VOELKER &amp; Partner mbB")</f>
        <v>VOELKER &amp; Partner mbB</v>
      </c>
    </row>
    <row r="798">
      <c r="A798" s="6" t="str">
        <f>IFERROR(__xludf.DUMMYFUNCTION("""COMPUTED_VALUE"""),"Walther-Groz-Schule")</f>
        <v>Walther-Groz-Schule</v>
      </c>
    </row>
    <row r="799">
      <c r="A799" s="6" t="str">
        <f>IFERROR(__xludf.DUMMYFUNCTION("""COMPUTED_VALUE"""),"Walther-Groz-Schule")</f>
        <v>Walther-Groz-Schule</v>
      </c>
    </row>
    <row r="800">
      <c r="A800" s="6" t="str">
        <f>IFERROR(__xludf.DUMMYFUNCTION("""COMPUTED_VALUE"""),"WEGASOFT Software-Entwicklungs GmbH")</f>
        <v>WEGASOFT Software-Entwicklungs GmbH</v>
      </c>
    </row>
    <row r="801">
      <c r="A801" s="6" t="str">
        <f>IFERROR(__xludf.DUMMYFUNCTION("""COMPUTED_VALUE"""),"WEGASOFT Software-Entwicklungs GmbH")</f>
        <v>WEGASOFT Software-Entwicklungs GmbH</v>
      </c>
    </row>
    <row r="802">
      <c r="A802" s="6" t="str">
        <f>IFERROR(__xludf.DUMMYFUNCTION("""COMPUTED_VALUE"""),"Welch Allyn GmbH &amp; Co. KG")</f>
        <v>Welch Allyn GmbH &amp; Co. KG</v>
      </c>
    </row>
    <row r="803">
      <c r="A803" s="6" t="str">
        <f>IFERROR(__xludf.DUMMYFUNCTION("""COMPUTED_VALUE"""),"Welch Allyn GmbH &amp; Co. KG")</f>
        <v>Welch Allyn GmbH &amp; Co. KG</v>
      </c>
    </row>
    <row r="804">
      <c r="A804" s="6" t="str">
        <f>IFERROR(__xludf.DUMMYFUNCTION("""COMPUTED_VALUE"""),"widecare GmbH")</f>
        <v>widecare GmbH</v>
      </c>
    </row>
    <row r="805">
      <c r="A805" s="6" t="str">
        <f>IFERROR(__xludf.DUMMYFUNCTION("""COMPUTED_VALUE"""),"widecare GmbH")</f>
        <v>widecare GmbH</v>
      </c>
    </row>
    <row r="806">
      <c r="A806" s="6" t="str">
        <f>IFERROR(__xludf.DUMMYFUNCTION("""COMPUTED_VALUE"""),"Wilhelmshilfe e.V.")</f>
        <v>Wilhelmshilfe e.V.</v>
      </c>
    </row>
    <row r="807">
      <c r="A807" s="6" t="str">
        <f>IFERROR(__xludf.DUMMYFUNCTION("""COMPUTED_VALUE"""),"Wilhelmshilfe e.V.")</f>
        <v>Wilhelmshilfe e.V.</v>
      </c>
    </row>
    <row r="808">
      <c r="A808" s="6" t="str">
        <f>IFERROR(__xludf.DUMMYFUNCTION("""COMPUTED_VALUE"""),"Wilhelm Spring GmbH &amp; Co. KG")</f>
        <v>Wilhelm Spring GmbH &amp; Co. KG</v>
      </c>
    </row>
    <row r="809">
      <c r="A809" s="6" t="str">
        <f>IFERROR(__xludf.DUMMYFUNCTION("""COMPUTED_VALUE"""),"Wilhelm Spring GmbH &amp; Co. KG")</f>
        <v>Wilhelm Spring GmbH &amp; Co. KG</v>
      </c>
    </row>
    <row r="810">
      <c r="A810" s="6" t="str">
        <f>IFERROR(__xludf.DUMMYFUNCTION("""COMPUTED_VALUE"""),"Willi Kopp e. K. Verpackungssysteme")</f>
        <v>Willi Kopp e. K. Verpackungssysteme</v>
      </c>
    </row>
    <row r="811">
      <c r="A811" s="6" t="str">
        <f>IFERROR(__xludf.DUMMYFUNCTION("""COMPUTED_VALUE"""),"Willi Kopp e. K. Verpackungssysteme")</f>
        <v>Willi Kopp e. K. Verpackungssysteme</v>
      </c>
    </row>
    <row r="812">
      <c r="A812" s="6" t="str">
        <f>IFERROR(__xludf.DUMMYFUNCTION("""COMPUTED_VALUE"""),"Winghofer Medicum Plus GmbH")</f>
        <v>Winghofer Medicum Plus GmbH</v>
      </c>
    </row>
    <row r="813">
      <c r="A813" s="6" t="str">
        <f>IFERROR(__xludf.DUMMYFUNCTION("""COMPUTED_VALUE"""),"Winghofer Medicum Plus GmbH")</f>
        <v>Winghofer Medicum Plus GmbH</v>
      </c>
    </row>
    <row r="814">
      <c r="A814" s="6" t="str">
        <f>IFERROR(__xludf.DUMMYFUNCTION("""COMPUTED_VALUE"""),"Witte, Weller &amp; Partner Patent Attorneys")</f>
        <v>Witte, Weller &amp; Partner Patent Attorneys</v>
      </c>
    </row>
    <row r="815">
      <c r="A815" s="6" t="str">
        <f>IFERROR(__xludf.DUMMYFUNCTION("""COMPUTED_VALUE"""),"Witte, Weller &amp; Partner Patent Attorneys")</f>
        <v>Witte, Weller &amp; Partner Patent Attorneys</v>
      </c>
    </row>
    <row r="816">
      <c r="A816" s="6" t="str">
        <f>IFERROR(__xludf.DUMMYFUNCTION("""COMPUTED_VALUE"""),"Yokogawa Insilico Biotechnology GmbH")</f>
        <v>Yokogawa Insilico Biotechnology GmbH</v>
      </c>
    </row>
    <row r="817">
      <c r="A817" s="6" t="str">
        <f>IFERROR(__xludf.DUMMYFUNCTION("""COMPUTED_VALUE"""),"Yokogawa Insilico Biotechnology GmbH")</f>
        <v>Yokogawa Insilico Biotechnology GmbH</v>
      </c>
    </row>
    <row r="818">
      <c r="A818" s="6" t="str">
        <f>IFERROR(__xludf.DUMMYFUNCTION("""COMPUTED_VALUE"""),"Zeisberg GmbH")</f>
        <v>Zeisberg GmbH</v>
      </c>
    </row>
    <row r="819">
      <c r="A819" s="6" t="str">
        <f>IFERROR(__xludf.DUMMYFUNCTION("""COMPUTED_VALUE"""),"Zeisberg GmbH")</f>
        <v>Zeisberg GmbH</v>
      </c>
    </row>
    <row r="820">
      <c r="A820" s="6" t="str">
        <f>IFERROR(__xludf.DUMMYFUNCTION("""COMPUTED_VALUE"""),"ZELTWANGER Automation GmbH")</f>
        <v>ZELTWANGER Automation GmbH</v>
      </c>
    </row>
    <row r="821">
      <c r="A821" s="6" t="str">
        <f>IFERROR(__xludf.DUMMYFUNCTION("""COMPUTED_VALUE"""),"ZELTWANGER Automation GmbH")</f>
        <v>ZELTWANGER Automation GmbH</v>
      </c>
    </row>
    <row r="822">
      <c r="A822" s="6" t="str">
        <f>IFERROR(__xludf.DUMMYFUNCTION("""COMPUTED_VALUE"""),"Zentrum für Ernährungsmedizin Tübingen-Hohenheim (ZEM)")</f>
        <v>Zentrum für Ernährungsmedizin Tübingen-Hohenheim (ZEM)</v>
      </c>
    </row>
    <row r="823">
      <c r="A823" s="6" t="str">
        <f>IFERROR(__xludf.DUMMYFUNCTION("""COMPUTED_VALUE"""),"Zentrum für Ernährungsmedizin Tübingen-Hohenheim (ZEM)")</f>
        <v>Zentrum für Ernährungsmedizin Tübingen-Hohenheim (ZEM)</v>
      </c>
    </row>
    <row r="824">
      <c r="A824" s="6" t="str">
        <f>IFERROR(__xludf.DUMMYFUNCTION("""COMPUTED_VALUE"""),"Zentrum für Humangenetik Tübingen")</f>
        <v>Zentrum für Humangenetik Tübingen</v>
      </c>
    </row>
    <row r="825">
      <c r="A825" s="6" t="str">
        <f>IFERROR(__xludf.DUMMYFUNCTION("""COMPUTED_VALUE"""),"Zentrum für Humangenetik Tübingen")</f>
        <v>Zentrum für Humangenetik Tübingen</v>
      </c>
    </row>
    <row r="826">
      <c r="A826" s="6" t="str">
        <f>IFERROR(__xludf.DUMMYFUNCTION("""COMPUTED_VALUE"""),"Zentrum für Interdisziplinäre Klinische Immunologie, Rheumatologie und 
Autoimmunerkrankungen INDIRA")</f>
        <v>Zentrum für Interdisziplinäre Klinische Immunologie, Rheumatologie und 
Autoimmunerkrankungen INDIRA</v>
      </c>
    </row>
    <row r="827">
      <c r="A827" s="6" t="str">
        <f>IFERROR(__xludf.DUMMYFUNCTION("""COMPUTED_VALUE"""),"Zentrum für Interdisziplinäre Klinische Immunologie, Rheumatologie und 
Autoimmunerkrankungen INDIRA")</f>
        <v>Zentrum für Interdisziplinäre Klinische Immunologie, Rheumatologie und 
Autoimmunerkrankungen INDIRA</v>
      </c>
    </row>
    <row r="828">
      <c r="A828" s="6" t="str">
        <f>IFERROR(__xludf.DUMMYFUNCTION("""COMPUTED_VALUE"""),"Zentrum für Klinische Studien ZKS Tübingen")</f>
        <v>Zentrum für Klinische Studien ZKS Tübingen</v>
      </c>
    </row>
    <row r="829">
      <c r="A829" s="6" t="str">
        <f>IFERROR(__xludf.DUMMYFUNCTION("""COMPUTED_VALUE"""),"Zentrum für Klinische Studien ZKS Tübingen")</f>
        <v>Zentrum für Klinische Studien ZKS Tübingen</v>
      </c>
    </row>
    <row r="830">
      <c r="A830" s="6" t="str">
        <f>IFERROR(__xludf.DUMMYFUNCTION("""COMPUTED_VALUE"""),"Zentrum für Klinische Transfusionsmedizin Tübingen gGmbH")</f>
        <v>Zentrum für Klinische Transfusionsmedizin Tübingen gGmbH</v>
      </c>
    </row>
    <row r="831">
      <c r="A831" s="6" t="str">
        <f>IFERROR(__xludf.DUMMYFUNCTION("""COMPUTED_VALUE"""),"Zentrum für Klinische Transfusionsmedizin Tübingen gGmbH")</f>
        <v>Zentrum für Klinische Transfusionsmedizin Tübingen gGmbH</v>
      </c>
    </row>
    <row r="832">
      <c r="A832" s="6" t="str">
        <f>IFERROR(__xludf.DUMMYFUNCTION("""COMPUTED_VALUE"""),"Zentrum für Molekularbiologie der Pflanzen ZMBP")</f>
        <v>Zentrum für Molekularbiologie der Pflanzen ZMBP</v>
      </c>
    </row>
    <row r="833">
      <c r="A833" s="6" t="str">
        <f>IFERROR(__xludf.DUMMYFUNCTION("""COMPUTED_VALUE"""),"Zentrum für Molekularbiologie der Pflanzen ZMBP")</f>
        <v>Zentrum für Molekularbiologie der Pflanzen ZMBP</v>
      </c>
    </row>
    <row r="834">
      <c r="A834" s="6" t="str">
        <f>IFERROR(__xludf.DUMMYFUNCTION("""COMPUTED_VALUE"""),"Zentrum für Quantitative Biologie (QBiC)")</f>
        <v>Zentrum für Quantitative Biologie (QBiC)</v>
      </c>
    </row>
    <row r="835">
      <c r="A835" s="6" t="str">
        <f>IFERROR(__xludf.DUMMYFUNCTION("""COMPUTED_VALUE"""),"Zentrum für Quantitative Biologie (QBiC)")</f>
        <v>Zentrum für Quantitative Biologie (QBiC)</v>
      </c>
    </row>
    <row r="836">
      <c r="A836" s="6" t="str">
        <f>IFERROR(__xludf.DUMMYFUNCTION("""COMPUTED_VALUE"""),"ZSE Tübingen - Behandlungs- und Forschungszentrum für Seltene Erkrankungen")</f>
        <v>ZSE Tübingen - Behandlungs- und Forschungszentrum für Seltene Erkrankungen</v>
      </c>
    </row>
    <row r="837">
      <c r="A837" s="6" t="str">
        <f>IFERROR(__xludf.DUMMYFUNCTION("""COMPUTED_VALUE"""),"ZSE Tübingen - Behandlungs- und Forschungszentrum für Seltene Erkrankungen")</f>
        <v>ZSE Tübingen - Behandlungs- und Forschungszentrum für Seltene Erkrankungen</v>
      </c>
    </row>
    <row r="838">
      <c r="A838" s="6" t="str">
        <f>IFERROR(__xludf.DUMMYFUNCTION("""COMPUTED_VALUE"""),"Privacy Statement")</f>
        <v>Privacy Statement</v>
      </c>
    </row>
    <row r="839">
      <c r="A839" s="6" t="str">
        <f>IFERROR(__xludf.DUMMYFUNCTION("""COMPUTED_VALUE"""),"Imprint")</f>
        <v>Imprint</v>
      </c>
    </row>
    <row r="840">
      <c r="A840" s="6" t="str">
        <f>IFERROR(__xludf.DUMMYFUNCTION("""COMPUTED_VALUE"""),"RSS")</f>
        <v>RSS</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1262</v>
      </c>
      <c r="B1" s="2" t="s">
        <v>1263</v>
      </c>
      <c r="C1" s="22" t="s">
        <v>5</v>
      </c>
      <c r="E1" s="12"/>
    </row>
    <row r="2">
      <c r="A2" s="1" t="s">
        <v>1264</v>
      </c>
      <c r="C2" s="6" t="str">
        <f>IFERROR(__xludf.DUMMYFUNCTION("IMPORTXML(A1,B1)"),"Cropler")</f>
        <v>Cropler</v>
      </c>
      <c r="D2" s="8"/>
      <c r="G2" s="8"/>
    </row>
    <row r="3">
      <c r="A3" s="23" t="s">
        <v>1265</v>
      </c>
      <c r="C3" s="6" t="str">
        <f>IFERROR(__xludf.DUMMYFUNCTION("""COMPUTED_VALUE"""),"AllesHealth")</f>
        <v>AllesHealth</v>
      </c>
    </row>
    <row r="4">
      <c r="A4" s="1" t="s">
        <v>1266</v>
      </c>
      <c r="C4" s="6" t="str">
        <f>IFERROR(__xludf.DUMMYFUNCTION("""COMPUTED_VALUE"""),"simpli.codes")</f>
        <v>simpli.codes</v>
      </c>
    </row>
    <row r="5">
      <c r="A5" s="1" t="s">
        <v>1267</v>
      </c>
      <c r="C5" s="6" t="str">
        <f>IFERROR(__xludf.DUMMYFUNCTION("""COMPUTED_VALUE"""),"Newel Health")</f>
        <v>Newel Health</v>
      </c>
    </row>
    <row r="6">
      <c r="A6" s="1" t="s">
        <v>1268</v>
      </c>
      <c r="C6" s="6" t="str">
        <f>IFERROR(__xludf.DUMMYFUNCTION("""COMPUTED_VALUE"""),"La Ruche Health")</f>
        <v>La Ruche Health</v>
      </c>
    </row>
    <row r="7">
      <c r="A7" s="1" t="s">
        <v>1269</v>
      </c>
      <c r="C7" s="6" t="str">
        <f>IFERROR(__xludf.DUMMYFUNCTION("""COMPUTED_VALUE"""),"Enhance-d")</f>
        <v>Enhance-d</v>
      </c>
      <c r="F7" s="12"/>
    </row>
    <row r="8">
      <c r="A8" s="1" t="s">
        <v>1270</v>
      </c>
      <c r="C8" s="6" t="str">
        <f>IFERROR(__xludf.DUMMYFUNCTION("""COMPUTED_VALUE"""),"All Well")</f>
        <v>All Well</v>
      </c>
    </row>
    <row r="9">
      <c r="A9" s="1" t="s">
        <v>1271</v>
      </c>
      <c r="C9" s="6" t="str">
        <f>IFERROR(__xludf.DUMMYFUNCTION("""COMPUTED_VALUE"""),"Ohana")</f>
        <v>Ohana</v>
      </c>
    </row>
    <row r="10">
      <c r="A10" s="1" t="s">
        <v>1272</v>
      </c>
      <c r="C10" s="6" t="str">
        <f>IFERROR(__xludf.DUMMYFUNCTION("""COMPUTED_VALUE"""),"EOXSense")</f>
        <v>EOXSense</v>
      </c>
    </row>
    <row r="11">
      <c r="A11" s="1" t="s">
        <v>1273</v>
      </c>
      <c r="C11" s="6" t="str">
        <f>IFERROR(__xludf.DUMMYFUNCTION("""COMPUTED_VALUE"""),"Doki App")</f>
        <v>Doki App</v>
      </c>
    </row>
    <row r="12">
      <c r="A12" s="1" t="s">
        <v>1274</v>
      </c>
      <c r="C12" s="6" t="str">
        <f>IFERROR(__xludf.DUMMYFUNCTION("""COMPUTED_VALUE"""),"AIP Hungary")</f>
        <v>AIP Hungary</v>
      </c>
    </row>
    <row r="13">
      <c r="A13" s="1" t="s">
        <v>1275</v>
      </c>
      <c r="C13" s="8" t="str">
        <f>IFERROR(__xludf.DUMMYFUNCTION("IMPORTXML(A2,B1)"),"Windmill")</f>
        <v>Windmill</v>
      </c>
    </row>
    <row r="14">
      <c r="A14" s="1" t="s">
        <v>1276</v>
      </c>
      <c r="C14" s="6" t="str">
        <f>IFERROR(__xludf.DUMMYFUNCTION("""COMPUTED_VALUE"""),"Habinator")</f>
        <v>Habinator</v>
      </c>
    </row>
    <row r="15">
      <c r="A15" s="1" t="s">
        <v>1277</v>
      </c>
      <c r="C15" s="6" t="str">
        <f>IFERROR(__xludf.DUMMYFUNCTION("""COMPUTED_VALUE"""),"Salu")</f>
        <v>Salu</v>
      </c>
    </row>
    <row r="16">
      <c r="A16" s="1" t="s">
        <v>1278</v>
      </c>
      <c r="C16" s="6" t="str">
        <f>IFERROR(__xludf.DUMMYFUNCTION("""COMPUTED_VALUE"""),"Sinegon")</f>
        <v>Sinegon</v>
      </c>
    </row>
    <row r="17">
      <c r="A17" s="1" t="s">
        <v>1279</v>
      </c>
      <c r="C17" s="6" t="str">
        <f>IFERROR(__xludf.DUMMYFUNCTION("""COMPUTED_VALUE"""),"sqior medical")</f>
        <v>sqior medical</v>
      </c>
    </row>
    <row r="18">
      <c r="A18" s="1" t="s">
        <v>1280</v>
      </c>
      <c r="C18" s="6" t="str">
        <f>IFERROR(__xludf.DUMMYFUNCTION("""COMPUTED_VALUE"""),"Maila Health")</f>
        <v>Maila Health</v>
      </c>
    </row>
    <row r="19">
      <c r="A19" s="1" t="s">
        <v>1281</v>
      </c>
      <c r="C19" s="6" t="str">
        <f>IFERROR(__xludf.DUMMYFUNCTION("""COMPUTED_VALUE"""),"Trifork Portugal")</f>
        <v>Trifork Portugal</v>
      </c>
    </row>
    <row r="20">
      <c r="A20" s="1" t="s">
        <v>1282</v>
      </c>
      <c r="C20" s="6" t="str">
        <f>IFERROR(__xludf.DUMMYFUNCTION("""COMPUTED_VALUE"""),"Stirred")</f>
        <v>Stirred</v>
      </c>
    </row>
    <row r="21">
      <c r="A21" s="1" t="s">
        <v>1283</v>
      </c>
      <c r="C21" s="6" t="str">
        <f>IFERROR(__xludf.DUMMYFUNCTION("""COMPUTED_VALUE"""),"Yealthy")</f>
        <v>Yealthy</v>
      </c>
    </row>
    <row r="22">
      <c r="A22" s="1" t="s">
        <v>1284</v>
      </c>
      <c r="C22" s="6" t="str">
        <f>IFERROR(__xludf.DUMMYFUNCTION("""COMPUTED_VALUE"""),"Amino Health")</f>
        <v>Amino Health</v>
      </c>
    </row>
    <row r="23">
      <c r="A23" s="1" t="s">
        <v>1285</v>
      </c>
      <c r="C23" s="6" t="str">
        <f>IFERROR(__xludf.DUMMYFUNCTION("""COMPUTED_VALUE"""),"Grape")</f>
        <v>Grape</v>
      </c>
    </row>
    <row r="24">
      <c r="A24" s="1" t="s">
        <v>1286</v>
      </c>
      <c r="C24" s="6" t="str">
        <f>IFERROR(__xludf.DUMMYFUNCTION("IMPORTXML(A3,B1)"),"onyo")</f>
        <v>onyo</v>
      </c>
    </row>
    <row r="25">
      <c r="A25" s="1" t="s">
        <v>1287</v>
      </c>
      <c r="C25" s="6" t="str">
        <f>IFERROR(__xludf.DUMMYFUNCTION("""COMPUTED_VALUE"""),"Femilog Holding")</f>
        <v>Femilog Holding</v>
      </c>
    </row>
    <row r="26">
      <c r="A26" s="1" t="s">
        <v>1288</v>
      </c>
      <c r="C26" s="6" t="str">
        <f>IFERROR(__xludf.DUMMYFUNCTION("""COMPUTED_VALUE"""),"Yoptimise")</f>
        <v>Yoptimise</v>
      </c>
    </row>
    <row r="27">
      <c r="A27" s="1" t="s">
        <v>1289</v>
      </c>
      <c r="C27" s="6" t="str">
        <f>IFERROR(__xludf.DUMMYFUNCTION("""COMPUTED_VALUE"""),"Kyan Health")</f>
        <v>Kyan Health</v>
      </c>
    </row>
    <row r="28">
      <c r="A28" s="1" t="s">
        <v>1290</v>
      </c>
      <c r="C28" s="6" t="str">
        <f>IFERROR(__xludf.DUMMYFUNCTION("""COMPUTED_VALUE"""),"mindDay")</f>
        <v>mindDay</v>
      </c>
    </row>
    <row r="29">
      <c r="A29" s="1" t="s">
        <v>1291</v>
      </c>
      <c r="C29" s="6" t="str">
        <f>IFERROR(__xludf.DUMMYFUNCTION("""COMPUTED_VALUE"""),"Teale")</f>
        <v>Teale</v>
      </c>
    </row>
    <row r="30">
      <c r="A30" s="1" t="s">
        <v>1292</v>
      </c>
      <c r="C30" s="6" t="str">
        <f>IFERROR(__xludf.DUMMYFUNCTION("""COMPUTED_VALUE"""),"FOROS")</f>
        <v>FOROS</v>
      </c>
    </row>
    <row r="31">
      <c r="A31" s="1" t="s">
        <v>1293</v>
      </c>
      <c r="C31" s="6" t="str">
        <f>IFERROR(__xludf.DUMMYFUNCTION("""COMPUTED_VALUE"""),"Zario")</f>
        <v>Zario</v>
      </c>
    </row>
    <row r="32">
      <c r="A32" s="1" t="s">
        <v>1294</v>
      </c>
      <c r="C32" s="6" t="str">
        <f>IFERROR(__xludf.DUMMYFUNCTION("""COMPUTED_VALUE"""),"Sendance")</f>
        <v>Sendance</v>
      </c>
    </row>
    <row r="33">
      <c r="A33" s="1" t="s">
        <v>1295</v>
      </c>
      <c r="C33" s="6" t="str">
        <f>IFERROR(__xludf.DUMMYFUNCTION("""COMPUTED_VALUE"""),"Novafarma")</f>
        <v>Novafarma</v>
      </c>
    </row>
    <row r="34">
      <c r="A34" s="1" t="s">
        <v>1296</v>
      </c>
      <c r="C34" s="6" t="str">
        <f>IFERROR(__xludf.DUMMYFUNCTION("""COMPUTED_VALUE"""),"Ephion Health")</f>
        <v>Ephion Health</v>
      </c>
    </row>
    <row r="35">
      <c r="A35" s="1" t="s">
        <v>1297</v>
      </c>
      <c r="C35" s="8" t="str">
        <f>IFERROR(__xludf.DUMMYFUNCTION("IMPORTXML(A4,B1)"),"Loading...")</f>
        <v>Loading...</v>
      </c>
    </row>
    <row r="46">
      <c r="C46" s="8" t="str">
        <f>IFERROR(__xludf.DUMMYFUNCTION("IMPORTXML(A5,B1)"),"Loading...")</f>
        <v>Loading...</v>
      </c>
    </row>
    <row r="57">
      <c r="C57" s="6" t="str">
        <f>IFERROR(__xludf.DUMMYFUNCTION("IMPORTXML(A6,B1)"),"Loading...")</f>
        <v>Loading...</v>
      </c>
    </row>
    <row r="68">
      <c r="C68" s="6" t="str">
        <f>IFERROR(__xludf.DUMMYFUNCTION("IMPORTXML(A7,B1)"),"SEETALABS")</f>
        <v>SEETALABS</v>
      </c>
    </row>
    <row r="69">
      <c r="C69" s="6" t="str">
        <f>IFERROR(__xludf.DUMMYFUNCTION("""COMPUTED_VALUE"""),"Curoflow")</f>
        <v>Curoflow</v>
      </c>
    </row>
    <row r="70">
      <c r="C70" s="6" t="str">
        <f>IFERROR(__xludf.DUMMYFUNCTION("""COMPUTED_VALUE"""),"HEITS Digital")</f>
        <v>HEITS Digital</v>
      </c>
    </row>
    <row r="71">
      <c r="C71" s="6" t="str">
        <f>IFERROR(__xludf.DUMMYFUNCTION("""COMPUTED_VALUE"""),"asistensi")</f>
        <v>asistensi</v>
      </c>
    </row>
    <row r="72">
      <c r="C72" s="6" t="str">
        <f>IFERROR(__xludf.DUMMYFUNCTION("""COMPUTED_VALUE"""),"Vira Health")</f>
        <v>Vira Health</v>
      </c>
    </row>
    <row r="73">
      <c r="C73" s="6" t="str">
        <f>IFERROR(__xludf.DUMMYFUNCTION("""COMPUTED_VALUE"""),"CoronaFree")</f>
        <v>CoronaFree</v>
      </c>
    </row>
    <row r="74">
      <c r="C74" s="6" t="str">
        <f>IFERROR(__xludf.DUMMYFUNCTION("""COMPUTED_VALUE"""),"Velmio")</f>
        <v>Velmio</v>
      </c>
    </row>
    <row r="75">
      <c r="C75" s="6" t="str">
        <f>IFERROR(__xludf.DUMMYFUNCTION("""COMPUTED_VALUE"""),"MoonRise")</f>
        <v>MoonRise</v>
      </c>
    </row>
    <row r="76">
      <c r="C76" s="6" t="str">
        <f>IFERROR(__xludf.DUMMYFUNCTION("""COMPUTED_VALUE"""),"Lifelancer")</f>
        <v>Lifelancer</v>
      </c>
    </row>
    <row r="77">
      <c r="C77" s="6" t="str">
        <f>IFERROR(__xludf.DUMMYFUNCTION("""COMPUTED_VALUE"""),"rotable technologies")</f>
        <v>rotable technologies</v>
      </c>
    </row>
    <row r="78">
      <c r="C78" s="6" t="str">
        <f>IFERROR(__xludf.DUMMYFUNCTION("""COMPUTED_VALUE"""),"Diabetech")</f>
        <v>Diabetech</v>
      </c>
    </row>
    <row r="79">
      <c r="C79" s="6" t="str">
        <f>IFERROR(__xludf.DUMMYFUNCTION("IMPORTXML(A8,B1)"),"Loading...")</f>
        <v>Loading...</v>
      </c>
    </row>
    <row r="90">
      <c r="C90" s="6" t="str">
        <f>IFERROR(__xludf.DUMMYFUNCTION("IMPORTXML(A9,B1)"),"Loading...")</f>
        <v>Loading...</v>
      </c>
    </row>
    <row r="101">
      <c r="C101" s="6" t="str">
        <f>IFERROR(__xludf.DUMMYFUNCTION("IMPORTXML(A10,B1)"),"Ruddy")</f>
        <v>Ruddy</v>
      </c>
    </row>
    <row r="102">
      <c r="C102" s="6" t="str">
        <f>IFERROR(__xludf.DUMMYFUNCTION("""COMPUTED_VALUE"""),"Skinlync")</f>
        <v>Skinlync</v>
      </c>
    </row>
    <row r="103">
      <c r="C103" s="6" t="str">
        <f>IFERROR(__xludf.DUMMYFUNCTION("""COMPUTED_VALUE"""),"Timblo")</f>
        <v>Timblo</v>
      </c>
    </row>
    <row r="104">
      <c r="C104" s="6" t="str">
        <f>IFERROR(__xludf.DUMMYFUNCTION("""COMPUTED_VALUE"""),"Actimi")</f>
        <v>Actimi</v>
      </c>
    </row>
    <row r="105">
      <c r="C105" s="6" t="str">
        <f>IFERROR(__xludf.DUMMYFUNCTION("""COMPUTED_VALUE"""),"ANNEA")</f>
        <v>ANNEA</v>
      </c>
    </row>
    <row r="106">
      <c r="C106" s="6" t="str">
        <f>IFERROR(__xludf.DUMMYFUNCTION("""COMPUTED_VALUE"""),"Lumino")</f>
        <v>Lumino</v>
      </c>
    </row>
    <row r="107">
      <c r="C107" s="6" t="str">
        <f>IFERROR(__xludf.DUMMYFUNCTION("""COMPUTED_VALUE"""),"OptiChroniX")</f>
        <v>OptiChroniX</v>
      </c>
    </row>
    <row r="108">
      <c r="C108" s="6" t="str">
        <f>IFERROR(__xludf.DUMMYFUNCTION("""COMPUTED_VALUE"""),"Lenus Health")</f>
        <v>Lenus Health</v>
      </c>
    </row>
    <row r="109">
      <c r="C109" s="6" t="str">
        <f>IFERROR(__xludf.DUMMYFUNCTION("""COMPUTED_VALUE"""),"Kranus Health")</f>
        <v>Kranus Health</v>
      </c>
    </row>
    <row r="110">
      <c r="C110" s="6" t="str">
        <f>IFERROR(__xludf.DUMMYFUNCTION("""COMPUTED_VALUE"""),"Kelvin Health")</f>
        <v>Kelvin Health</v>
      </c>
    </row>
    <row r="111">
      <c r="C111" s="6" t="str">
        <f>IFERROR(__xludf.DUMMYFUNCTION("""COMPUTED_VALUE"""),"Salute360")</f>
        <v>Salute360</v>
      </c>
    </row>
    <row r="112">
      <c r="C112" s="6" t="str">
        <f>IFERROR(__xludf.DUMMYFUNCTION("IMPORTXML(A11,B1)"),"Loading...")</f>
        <v>Loading...</v>
      </c>
    </row>
    <row r="123">
      <c r="C123" s="6" t="str">
        <f>IFERROR(__xludf.DUMMYFUNCTION("IMPORTXML(A12,B1)"),"4eat")</f>
        <v>4eat</v>
      </c>
    </row>
    <row r="124">
      <c r="C124" s="6" t="str">
        <f>IFERROR(__xludf.DUMMYFUNCTION("""COMPUTED_VALUE"""),"Pastoral")</f>
        <v>Pastoral</v>
      </c>
    </row>
    <row r="125">
      <c r="C125" s="6" t="str">
        <f>IFERROR(__xludf.DUMMYFUNCTION("""COMPUTED_VALUE"""),"Zorgi")</f>
        <v>Zorgi</v>
      </c>
    </row>
    <row r="126">
      <c r="C126" s="6" t="str">
        <f>IFERROR(__xludf.DUMMYFUNCTION("""COMPUTED_VALUE"""),"Yorbl Technologies")</f>
        <v>Yorbl Technologies</v>
      </c>
    </row>
    <row r="127">
      <c r="C127" s="6" t="str">
        <f>IFERROR(__xludf.DUMMYFUNCTION("""COMPUTED_VALUE"""),"Well")</f>
        <v>Well</v>
      </c>
    </row>
    <row r="128">
      <c r="C128" s="6" t="str">
        <f>IFERROR(__xludf.DUMMYFUNCTION("""COMPUTED_VALUE"""),"Twio")</f>
        <v>Twio</v>
      </c>
    </row>
    <row r="129">
      <c r="C129" s="6" t="str">
        <f>IFERROR(__xludf.DUMMYFUNCTION("""COMPUTED_VALUE"""),"Sticky Menus")</f>
        <v>Sticky Menus</v>
      </c>
    </row>
    <row r="130">
      <c r="C130" s="6" t="str">
        <f>IFERROR(__xludf.DUMMYFUNCTION("""COMPUTED_VALUE"""),"Sapien Health")</f>
        <v>Sapien Health</v>
      </c>
    </row>
    <row r="131">
      <c r="C131" s="6" t="str">
        <f>IFERROR(__xludf.DUMMYFUNCTION("""COMPUTED_VALUE"""),"Revolab")</f>
        <v>Revolab</v>
      </c>
    </row>
    <row r="132">
      <c r="C132" s="6" t="str">
        <f>IFERROR(__xludf.DUMMYFUNCTION("""COMPUTED_VALUE"""),"Reasoned Art")</f>
        <v>Reasoned Art</v>
      </c>
    </row>
    <row r="133">
      <c r="C133" s="6" t="str">
        <f>IFERROR(__xludf.DUMMYFUNCTION("""COMPUTED_VALUE"""),"PRECISE4Q")</f>
        <v>PRECISE4Q</v>
      </c>
    </row>
    <row r="134">
      <c r="C134" s="6" t="str">
        <f>IFERROR(__xludf.DUMMYFUNCTION("IMPORTXML(A13,B1)"),"Pillar")</f>
        <v>Pillar</v>
      </c>
    </row>
    <row r="135">
      <c r="C135" s="6" t="str">
        <f>IFERROR(__xludf.DUMMYFUNCTION("""COMPUTED_VALUE"""),"Oliva Therapy")</f>
        <v>Oliva Therapy</v>
      </c>
    </row>
    <row r="136">
      <c r="C136" s="6" t="str">
        <f>IFERROR(__xludf.DUMMYFUNCTION("""COMPUTED_VALUE"""),"Olivia")</f>
        <v>Olivia</v>
      </c>
    </row>
    <row r="137">
      <c r="C137" s="6" t="str">
        <f>IFERROR(__xludf.DUMMYFUNCTION("""COMPUTED_VALUE"""),"No Big Deal")</f>
        <v>No Big Deal</v>
      </c>
    </row>
    <row r="138">
      <c r="C138" s="6" t="str">
        <f>IFERROR(__xludf.DUMMYFUNCTION("""COMPUTED_VALUE"""),"NeoPrediX")</f>
        <v>NeoPrediX</v>
      </c>
    </row>
    <row r="139">
      <c r="C139" s="6" t="str">
        <f>IFERROR(__xludf.DUMMYFUNCTION("""COMPUTED_VALUE"""),"Moment One")</f>
        <v>Moment One</v>
      </c>
    </row>
    <row r="140">
      <c r="C140" s="6" t="str">
        <f>IFERROR(__xludf.DUMMYFUNCTION("""COMPUTED_VALUE"""),"Logifect")</f>
        <v>Logifect</v>
      </c>
    </row>
    <row r="141">
      <c r="C141" s="6" t="str">
        <f>IFERROR(__xludf.DUMMYFUNCTION("""COMPUTED_VALUE"""),"HealthCaters")</f>
        <v>HealthCaters</v>
      </c>
    </row>
    <row r="142">
      <c r="C142" s="6" t="str">
        <f>IFERROR(__xludf.DUMMYFUNCTION("""COMPUTED_VALUE"""),"Healthblocks")</f>
        <v>Healthblocks</v>
      </c>
    </row>
    <row r="143">
      <c r="C143" s="6" t="str">
        <f>IFERROR(__xludf.DUMMYFUNCTION("""COMPUTED_VALUE"""),"Habito Health")</f>
        <v>Habito Health</v>
      </c>
    </row>
    <row r="144">
      <c r="C144" s="6" t="str">
        <f>IFERROR(__xludf.DUMMYFUNCTION("""COMPUTED_VALUE"""),"FitSit")</f>
        <v>FitSit</v>
      </c>
    </row>
    <row r="145">
      <c r="C145" s="6" t="str">
        <f>IFERROR(__xludf.DUMMYFUNCTION("IMPORTXML(A14,B1)"),"Fettle")</f>
        <v>Fettle</v>
      </c>
    </row>
    <row r="146">
      <c r="C146" s="6" t="str">
        <f>IFERROR(__xludf.DUMMYFUNCTION("""COMPUTED_VALUE"""),"Eva Health Technologies")</f>
        <v>Eva Health Technologies</v>
      </c>
    </row>
    <row r="147">
      <c r="C147" s="6" t="str">
        <f>IFERROR(__xludf.DUMMYFUNCTION("""COMPUTED_VALUE"""),"Vitadio")</f>
        <v>Vitadio</v>
      </c>
    </row>
    <row r="148">
      <c r="C148" s="6" t="str">
        <f>IFERROR(__xludf.DUMMYFUNCTION("""COMPUTED_VALUE"""),"HealthHero")</f>
        <v>HealthHero</v>
      </c>
    </row>
    <row r="149">
      <c r="C149" s="6" t="str">
        <f>IFERROR(__xludf.DUMMYFUNCTION("""COMPUTED_VALUE"""),"Healsens")</f>
        <v>Healsens</v>
      </c>
    </row>
    <row r="150">
      <c r="C150" s="6" t="str">
        <f>IFERROR(__xludf.DUMMYFUNCTION("""COMPUTED_VALUE"""),"Chordata Motion")</f>
        <v>Chordata Motion</v>
      </c>
    </row>
    <row r="151">
      <c r="C151" s="6" t="str">
        <f>IFERROR(__xludf.DUMMYFUNCTION("""COMPUTED_VALUE"""),"Medical Admin")</f>
        <v>Medical Admin</v>
      </c>
    </row>
    <row r="152">
      <c r="C152" s="6" t="str">
        <f>IFERROR(__xludf.DUMMYFUNCTION("""COMPUTED_VALUE"""),"Digid")</f>
        <v>Digid</v>
      </c>
    </row>
    <row r="153">
      <c r="C153" s="6" t="str">
        <f>IFERROR(__xludf.DUMMYFUNCTION("""COMPUTED_VALUE"""),"ASTUCORP")</f>
        <v>ASTUCORP</v>
      </c>
    </row>
    <row r="154">
      <c r="C154" s="6" t="str">
        <f>IFERROR(__xludf.DUMMYFUNCTION("""COMPUTED_VALUE"""),"Lime")</f>
        <v>Lime</v>
      </c>
    </row>
    <row r="155">
      <c r="C155" s="6" t="str">
        <f>IFERROR(__xludf.DUMMYFUNCTION("""COMPUTED_VALUE"""),"felmo")</f>
        <v>felmo</v>
      </c>
    </row>
    <row r="156">
      <c r="C156" s="6" t="str">
        <f>IFERROR(__xludf.DUMMYFUNCTION("IMPORTXML(A15,B1)"),"AfriMed Health")</f>
        <v>AfriMed Health</v>
      </c>
    </row>
    <row r="157">
      <c r="C157" s="6" t="str">
        <f>IFERROR(__xludf.DUMMYFUNCTION("""COMPUTED_VALUE"""),"Boleron")</f>
        <v>Boleron</v>
      </c>
    </row>
    <row r="158">
      <c r="C158" s="6" t="str">
        <f>IFERROR(__xludf.DUMMYFUNCTION("""COMPUTED_VALUE"""),"Existo")</f>
        <v>Existo</v>
      </c>
    </row>
    <row r="159">
      <c r="C159" s="6" t="str">
        <f>IFERROR(__xludf.DUMMYFUNCTION("""COMPUTED_VALUE"""),"UNAVETS")</f>
        <v>UNAVETS</v>
      </c>
    </row>
    <row r="160">
      <c r="C160" s="6" t="str">
        <f>IFERROR(__xludf.DUMMYFUNCTION("""COMPUTED_VALUE"""),"Savia")</f>
        <v>Savia</v>
      </c>
    </row>
    <row r="161">
      <c r="C161" s="6" t="str">
        <f>IFERROR(__xludf.DUMMYFUNCTION("""COMPUTED_VALUE"""),"Clinicgram")</f>
        <v>Clinicgram</v>
      </c>
    </row>
    <row r="162">
      <c r="C162" s="6" t="str">
        <f>IFERROR(__xludf.DUMMYFUNCTION("""COMPUTED_VALUE"""),"El CoCo")</f>
        <v>El CoCo</v>
      </c>
    </row>
    <row r="163">
      <c r="C163" s="6" t="str">
        <f>IFERROR(__xludf.DUMMYFUNCTION("""COMPUTED_VALUE"""),"Medarca")</f>
        <v>Medarca</v>
      </c>
    </row>
    <row r="164">
      <c r="C164" s="6" t="str">
        <f>IFERROR(__xludf.DUMMYFUNCTION("""COMPUTED_VALUE"""),"Influence Vibes")</f>
        <v>Influence Vibes</v>
      </c>
    </row>
    <row r="165">
      <c r="C165" s="6" t="str">
        <f>IFERROR(__xludf.DUMMYFUNCTION("""COMPUTED_VALUE"""),"i4SEE TECH")</f>
        <v>i4SEE TECH</v>
      </c>
    </row>
    <row r="166">
      <c r="C166" s="6" t="str">
        <f>IFERROR(__xludf.DUMMYFUNCTION("""COMPUTED_VALUE"""),"HeartKinetics")</f>
        <v>HeartKinetics</v>
      </c>
    </row>
    <row r="167">
      <c r="C167" s="6" t="str">
        <f>IFERROR(__xludf.DUMMYFUNCTION("IMPORTXML(A16,B1)"),"Loading...")</f>
        <v>Loading...</v>
      </c>
    </row>
    <row r="178">
      <c r="C178" s="6" t="str">
        <f>IFERROR(__xludf.DUMMYFUNCTION("IMPORTXML(A17,B1)"),"OmicEra Diagnostics")</f>
        <v>OmicEra Diagnostics</v>
      </c>
    </row>
    <row r="179">
      <c r="C179" s="6" t="str">
        <f>IFERROR(__xludf.DUMMYFUNCTION("""COMPUTED_VALUE"""),"Ebenbuild")</f>
        <v>Ebenbuild</v>
      </c>
    </row>
    <row r="180">
      <c r="C180" s="6" t="str">
        <f>IFERROR(__xludf.DUMMYFUNCTION("""COMPUTED_VALUE"""),"Atrify")</f>
        <v>Atrify</v>
      </c>
    </row>
    <row r="181">
      <c r="C181" s="6" t="str">
        <f>IFERROR(__xludf.DUMMYFUNCTION("""COMPUTED_VALUE"""),"Vila Health")</f>
        <v>Vila Health</v>
      </c>
    </row>
    <row r="182">
      <c r="C182" s="6" t="str">
        <f>IFERROR(__xludf.DUMMYFUNCTION("""COMPUTED_VALUE"""),"XbyX")</f>
        <v>XbyX</v>
      </c>
    </row>
    <row r="183">
      <c r="C183" s="6" t="str">
        <f>IFERROR(__xludf.DUMMYFUNCTION("""COMPUTED_VALUE"""),"Andsafe")</f>
        <v>Andsafe</v>
      </c>
    </row>
    <row r="184">
      <c r="C184" s="6" t="str">
        <f>IFERROR(__xludf.DUMMYFUNCTION("""COMPUTED_VALUE"""),"Senseble Health")</f>
        <v>Senseble Health</v>
      </c>
    </row>
    <row r="185">
      <c r="C185" s="6" t="str">
        <f>IFERROR(__xludf.DUMMYFUNCTION("""COMPUTED_VALUE"""),"Smart Meals")</f>
        <v>Smart Meals</v>
      </c>
    </row>
    <row r="186">
      <c r="C186" s="6" t="str">
        <f>IFERROR(__xludf.DUMMYFUNCTION("""COMPUTED_VALUE"""),"ToolKitX")</f>
        <v>ToolKitX</v>
      </c>
    </row>
    <row r="187">
      <c r="C187" s="6" t="str">
        <f>IFERROR(__xludf.DUMMYFUNCTION("""COMPUTED_VALUE"""),"VR-Learning")</f>
        <v>VR-Learning</v>
      </c>
    </row>
    <row r="188">
      <c r="C188" s="6" t="str">
        <f>IFERROR(__xludf.DUMMYFUNCTION("""COMPUTED_VALUE"""),"nilo.health")</f>
        <v>nilo.health</v>
      </c>
    </row>
    <row r="189">
      <c r="C189" s="6" t="str">
        <f>IFERROR(__xludf.DUMMYFUNCTION("IMPORTXML(A18,B1)"),"FUN WITH BALLS")</f>
        <v>FUN WITH BALLS</v>
      </c>
    </row>
    <row r="190">
      <c r="C190" s="6" t="str">
        <f>IFERROR(__xludf.DUMMYFUNCTION("""COMPUTED_VALUE"""),"Nevaro")</f>
        <v>Nevaro</v>
      </c>
    </row>
    <row r="191">
      <c r="C191" s="6" t="str">
        <f>IFERROR(__xludf.DUMMYFUNCTION("""COMPUTED_VALUE"""),"Insiliance")</f>
        <v>Insiliance</v>
      </c>
    </row>
    <row r="192">
      <c r="C192" s="6" t="str">
        <f>IFERROR(__xludf.DUMMYFUNCTION("""COMPUTED_VALUE"""),"DocPal")</f>
        <v>DocPal</v>
      </c>
    </row>
    <row r="193">
      <c r="C193" s="6" t="str">
        <f>IFERROR(__xludf.DUMMYFUNCTION("""COMPUTED_VALUE"""),"Gumzzz")</f>
        <v>Gumzzz</v>
      </c>
    </row>
    <row r="194">
      <c r="C194" s="6" t="str">
        <f>IFERROR(__xludf.DUMMYFUNCTION("""COMPUTED_VALUE"""),"Sharp Therapeutics")</f>
        <v>Sharp Therapeutics</v>
      </c>
    </row>
    <row r="195">
      <c r="C195" s="6" t="str">
        <f>IFERROR(__xludf.DUMMYFUNCTION("""COMPUTED_VALUE"""),"KORE Technologies")</f>
        <v>KORE Technologies</v>
      </c>
    </row>
    <row r="196">
      <c r="C196" s="6" t="str">
        <f>IFERROR(__xludf.DUMMYFUNCTION("""COMPUTED_VALUE"""),"FetoLife Science")</f>
        <v>FetoLife Science</v>
      </c>
    </row>
    <row r="197">
      <c r="C197" s="6" t="str">
        <f>IFERROR(__xludf.DUMMYFUNCTION("""COMPUTED_VALUE"""),"Wellster Healthtech Group")</f>
        <v>Wellster Healthtech Group</v>
      </c>
    </row>
    <row r="198">
      <c r="C198" s="6" t="str">
        <f>IFERROR(__xludf.DUMMYFUNCTION("""COMPUTED_VALUE"""),"Medudoc")</f>
        <v>Medudoc</v>
      </c>
    </row>
    <row r="199">
      <c r="C199" s="6" t="str">
        <f>IFERROR(__xludf.DUMMYFUNCTION("""COMPUTED_VALUE"""),"XUND")</f>
        <v>XUND</v>
      </c>
    </row>
    <row r="200">
      <c r="C200" s="7" t="str">
        <f>IFERROR(__xludf.DUMMYFUNCTION("IMPORTXML(A19,B1)"),"fraud.com")</f>
        <v>fraud.com</v>
      </c>
    </row>
    <row r="201">
      <c r="C201" s="6" t="str">
        <f>IFERROR(__xludf.DUMMYFUNCTION("""COMPUTED_VALUE"""),"Hooli Healthcare")</f>
        <v>Hooli Healthcare</v>
      </c>
    </row>
    <row r="202">
      <c r="C202" s="6" t="str">
        <f>IFERROR(__xludf.DUMMYFUNCTION("""COMPUTED_VALUE"""),"CureAssist")</f>
        <v>CureAssist</v>
      </c>
    </row>
    <row r="203">
      <c r="C203" s="6" t="str">
        <f>IFERROR(__xludf.DUMMYFUNCTION("""COMPUTED_VALUE"""),"Dahna")</f>
        <v>Dahna</v>
      </c>
    </row>
    <row r="204">
      <c r="C204" s="6" t="str">
        <f>IFERROR(__xludf.DUMMYFUNCTION("""COMPUTED_VALUE"""),"Poonyah Care Services")</f>
        <v>Poonyah Care Services</v>
      </c>
    </row>
    <row r="205">
      <c r="C205" s="6" t="str">
        <f>IFERROR(__xludf.DUMMYFUNCTION("""COMPUTED_VALUE"""),"grandmama")</f>
        <v>grandmama</v>
      </c>
    </row>
    <row r="206">
      <c r="C206" s="6" t="str">
        <f>IFERROR(__xludf.DUMMYFUNCTION("""COMPUTED_VALUE"""),"SafeSide")</f>
        <v>SafeSide</v>
      </c>
    </row>
    <row r="207">
      <c r="C207" s="6" t="str">
        <f>IFERROR(__xludf.DUMMYFUNCTION("""COMPUTED_VALUE"""),"hi.health")</f>
        <v>hi.health</v>
      </c>
    </row>
    <row r="208">
      <c r="C208" s="6" t="str">
        <f>IFERROR(__xludf.DUMMYFUNCTION("""COMPUTED_VALUE"""),"Spectrum.Life")</f>
        <v>Spectrum.Life</v>
      </c>
    </row>
    <row r="209">
      <c r="C209" s="6" t="str">
        <f>IFERROR(__xludf.DUMMYFUNCTION("""COMPUTED_VALUE"""),"SafeSide")</f>
        <v>SafeSide</v>
      </c>
    </row>
    <row r="210">
      <c r="C210" s="6" t="str">
        <f>IFERROR(__xludf.DUMMYFUNCTION("""COMPUTED_VALUE"""),"Solkie")</f>
        <v>Solkie</v>
      </c>
    </row>
    <row r="211">
      <c r="C211" s="6" t="str">
        <f>IFERROR(__xludf.DUMMYFUNCTION("IMPORTXML(A20,B1)"),"Virtuleap")</f>
        <v>Virtuleap</v>
      </c>
    </row>
    <row r="212">
      <c r="C212" s="6" t="str">
        <f>IFERROR(__xludf.DUMMYFUNCTION("""COMPUTED_VALUE"""),"Elephant Healthcare")</f>
        <v>Elephant Healthcare</v>
      </c>
    </row>
    <row r="213">
      <c r="C213" s="6" t="str">
        <f>IFERROR(__xludf.DUMMYFUNCTION("""COMPUTED_VALUE"""),"Peppy")</f>
        <v>Peppy</v>
      </c>
    </row>
    <row r="214">
      <c r="C214" s="6" t="str">
        <f>IFERROR(__xludf.DUMMYFUNCTION("""COMPUTED_VALUE"""),"Mini Mealtimes")</f>
        <v>Mini Mealtimes</v>
      </c>
    </row>
    <row r="215">
      <c r="C215" s="6" t="str">
        <f>IFERROR(__xludf.DUMMYFUNCTION("""COMPUTED_VALUE"""),"Wellster")</f>
        <v>Wellster</v>
      </c>
    </row>
    <row r="216">
      <c r="C216" s="6" t="str">
        <f>IFERROR(__xludf.DUMMYFUNCTION("""COMPUTED_VALUE"""),"ColorSensing")</f>
        <v>ColorSensing</v>
      </c>
    </row>
    <row r="217">
      <c r="C217" s="6" t="str">
        <f>IFERROR(__xludf.DUMMYFUNCTION("""COMPUTED_VALUE"""),"Sonohaler")</f>
        <v>Sonohaler</v>
      </c>
    </row>
    <row r="218">
      <c r="C218" s="6" t="str">
        <f>IFERROR(__xludf.DUMMYFUNCTION("""COMPUTED_VALUE"""),"Nubentos")</f>
        <v>Nubentos</v>
      </c>
    </row>
    <row r="219">
      <c r="C219" s="6" t="str">
        <f>IFERROR(__xludf.DUMMYFUNCTION("""COMPUTED_VALUE"""),"Pie Systems")</f>
        <v>Pie Systems</v>
      </c>
    </row>
    <row r="220">
      <c r="C220" s="6" t="str">
        <f>IFERROR(__xludf.DUMMYFUNCTION("""COMPUTED_VALUE"""),"homedoctor")</f>
        <v>homedoctor</v>
      </c>
    </row>
    <row r="221">
      <c r="C221" s="6" t="str">
        <f>IFERROR(__xludf.DUMMYFUNCTION("""COMPUTED_VALUE"""),"Empeal")</f>
        <v>Empeal</v>
      </c>
    </row>
    <row r="222">
      <c r="C222" s="6" t="str">
        <f>IFERROR(__xludf.DUMMYFUNCTION("IMPORTXML(A21,B1)"),"Braincats")</f>
        <v>Braincats</v>
      </c>
    </row>
    <row r="223">
      <c r="C223" s="6" t="str">
        <f>IFERROR(__xludf.DUMMYFUNCTION("""COMPUTED_VALUE"""),"Knodd")</f>
        <v>Knodd</v>
      </c>
    </row>
    <row r="224">
      <c r="C224" s="6" t="str">
        <f>IFERROR(__xludf.DUMMYFUNCTION("""COMPUTED_VALUE"""),"Care to Translate")</f>
        <v>Care to Translate</v>
      </c>
    </row>
    <row r="225">
      <c r="C225" s="6" t="str">
        <f>IFERROR(__xludf.DUMMYFUNCTION("""COMPUTED_VALUE"""),"Brainwave Hub")</f>
        <v>Brainwave Hub</v>
      </c>
    </row>
    <row r="226">
      <c r="C226" s="6" t="str">
        <f>IFERROR(__xludf.DUMMYFUNCTION("""COMPUTED_VALUE"""),"LOFINO")</f>
        <v>LOFINO</v>
      </c>
    </row>
    <row r="227">
      <c r="C227" s="6" t="str">
        <f>IFERROR(__xludf.DUMMYFUNCTION("""COMPUTED_VALUE"""),"tooz technologies")</f>
        <v>tooz technologies</v>
      </c>
    </row>
    <row r="228">
      <c r="C228" s="6" t="str">
        <f>IFERROR(__xludf.DUMMYFUNCTION("""COMPUTED_VALUE"""),"Mindable Health")</f>
        <v>Mindable Health</v>
      </c>
    </row>
    <row r="229">
      <c r="C229" s="6" t="str">
        <f>IFERROR(__xludf.DUMMYFUNCTION("""COMPUTED_VALUE"""),"Breakthrough")</f>
        <v>Breakthrough</v>
      </c>
    </row>
    <row r="230">
      <c r="C230" s="6" t="str">
        <f>IFERROR(__xludf.DUMMYFUNCTION("""COMPUTED_VALUE"""),"XO Life")</f>
        <v>XO Life</v>
      </c>
    </row>
    <row r="231">
      <c r="C231" s="6" t="str">
        <f>IFERROR(__xludf.DUMMYFUNCTION("""COMPUTED_VALUE"""),"Kwara")</f>
        <v>Kwara</v>
      </c>
    </row>
    <row r="232">
      <c r="C232" s="6" t="str">
        <f>IFERROR(__xludf.DUMMYFUNCTION("""COMPUTED_VALUE"""),"Clynx")</f>
        <v>Clynx</v>
      </c>
    </row>
    <row r="233">
      <c r="C233" s="6" t="str">
        <f>IFERROR(__xludf.DUMMYFUNCTION("IMPORTXML(A22,B1)"),"Alex Therapeutics")</f>
        <v>Alex Therapeutics</v>
      </c>
    </row>
    <row r="234">
      <c r="C234" s="6" t="str">
        <f>IFERROR(__xludf.DUMMYFUNCTION("""COMPUTED_VALUE"""),"HelloSelf")</f>
        <v>HelloSelf</v>
      </c>
    </row>
    <row r="235">
      <c r="C235" s="6" t="str">
        <f>IFERROR(__xludf.DUMMYFUNCTION("""COMPUTED_VALUE"""),"Nutrition Ivy")</f>
        <v>Nutrition Ivy</v>
      </c>
    </row>
    <row r="236">
      <c r="C236" s="6" t="str">
        <f>IFERROR(__xludf.DUMMYFUNCTION("""COMPUTED_VALUE"""),"TeiaCare")</f>
        <v>TeiaCare</v>
      </c>
    </row>
    <row r="237">
      <c r="C237" s="6" t="str">
        <f>IFERROR(__xludf.DUMMYFUNCTION("""COMPUTED_VALUE"""),"Foviatech")</f>
        <v>Foviatech</v>
      </c>
    </row>
    <row r="238">
      <c r="C238" s="6" t="str">
        <f>IFERROR(__xludf.DUMMYFUNCTION("""COMPUTED_VALUE"""),"H4 Customized Software")</f>
        <v>H4 Customized Software</v>
      </c>
    </row>
    <row r="239">
      <c r="C239" s="6" t="str">
        <f>IFERROR(__xludf.DUMMYFUNCTION("""COMPUTED_VALUE"""),"MiMedicus")</f>
        <v>MiMedicus</v>
      </c>
    </row>
    <row r="240">
      <c r="C240" s="6" t="str">
        <f>IFERROR(__xludf.DUMMYFUNCTION("""COMPUTED_VALUE"""),"YuMuuv")</f>
        <v>YuMuuv</v>
      </c>
    </row>
    <row r="241">
      <c r="C241" s="6" t="str">
        <f>IFERROR(__xludf.DUMMYFUNCTION("""COMPUTED_VALUE"""),"CareOS")</f>
        <v>CareOS</v>
      </c>
    </row>
    <row r="242">
      <c r="C242" s="6" t="str">
        <f>IFERROR(__xludf.DUMMYFUNCTION("""COMPUTED_VALUE"""),"Adapt My Web")</f>
        <v>Adapt My Web</v>
      </c>
    </row>
    <row r="243">
      <c r="C243" s="6" t="str">
        <f>IFERROR(__xludf.DUMMYFUNCTION("""COMPUTED_VALUE"""),"CircaGene")</f>
        <v>CircaGene</v>
      </c>
    </row>
    <row r="244">
      <c r="C244" s="6" t="str">
        <f>IFERROR(__xludf.DUMMYFUNCTION("IMPORTXML(A23,B1)"),"Amazing Fables")</f>
        <v>Amazing Fables</v>
      </c>
    </row>
    <row r="245">
      <c r="C245" s="6" t="str">
        <f>IFERROR(__xludf.DUMMYFUNCTION("""COMPUTED_VALUE"""),"bn digital")</f>
        <v>bn digital</v>
      </c>
    </row>
    <row r="246">
      <c r="C246" s="6" t="str">
        <f>IFERROR(__xludf.DUMMYFUNCTION("""COMPUTED_VALUE"""),"Skyviews Life Science")</f>
        <v>Skyviews Life Science</v>
      </c>
    </row>
    <row r="247">
      <c r="C247" s="6" t="str">
        <f>IFERROR(__xludf.DUMMYFUNCTION("""COMPUTED_VALUE"""),"Credenxia")</f>
        <v>Credenxia</v>
      </c>
    </row>
    <row r="248">
      <c r="C248" s="6" t="str">
        <f>IFERROR(__xludf.DUMMYFUNCTION("""COMPUTED_VALUE"""),"cubemos")</f>
        <v>cubemos</v>
      </c>
    </row>
    <row r="249">
      <c r="C249" s="6" t="str">
        <f>IFERROR(__xludf.DUMMYFUNCTION("""COMPUTED_VALUE"""),"Moneyflow")</f>
        <v>Moneyflow</v>
      </c>
    </row>
    <row r="250">
      <c r="C250" s="6" t="str">
        <f>IFERROR(__xludf.DUMMYFUNCTION("""COMPUTED_VALUE"""),"Medics2You")</f>
        <v>Medics2You</v>
      </c>
    </row>
    <row r="251">
      <c r="C251" s="6" t="str">
        <f>IFERROR(__xludf.DUMMYFUNCTION("""COMPUTED_VALUE"""),"Medispring")</f>
        <v>Medispring</v>
      </c>
    </row>
    <row r="252">
      <c r="C252" s="6" t="str">
        <f>IFERROR(__xludf.DUMMYFUNCTION("""COMPUTED_VALUE"""),"MiiCare")</f>
        <v>MiiCare</v>
      </c>
    </row>
    <row r="253">
      <c r="C253" s="6" t="str">
        <f>IFERROR(__xludf.DUMMYFUNCTION("""COMPUTED_VALUE"""),"Sensyne Health")</f>
        <v>Sensyne Health</v>
      </c>
    </row>
    <row r="254">
      <c r="C254" s="6" t="str">
        <f>IFERROR(__xludf.DUMMYFUNCTION("""COMPUTED_VALUE"""),"Ampersand Health")</f>
        <v>Ampersand Health</v>
      </c>
    </row>
    <row r="255">
      <c r="C255" s="6" t="str">
        <f>IFERROR(__xludf.DUMMYFUNCTION("IMPORTXML(A24,B1)"),"Loading...")</f>
        <v>Loading...</v>
      </c>
    </row>
    <row r="266">
      <c r="C266" s="6" t="str">
        <f>IFERROR(__xludf.DUMMYFUNCTION("IMPORTXML(A25,B1)"),"Loading...")</f>
        <v>Loading...</v>
      </c>
    </row>
    <row r="277">
      <c r="C277" s="6" t="str">
        <f>IFERROR(__xludf.DUMMYFUNCTION("IMPORTXML(A26,B1)"),"Neotiv")</f>
        <v>Neotiv</v>
      </c>
    </row>
    <row r="278">
      <c r="C278" s="6" t="str">
        <f>IFERROR(__xludf.DUMMYFUNCTION("""COMPUTED_VALUE"""),"Arztkonsultation AK")</f>
        <v>Arztkonsultation AK</v>
      </c>
    </row>
    <row r="279">
      <c r="C279" s="6" t="str">
        <f>IFERROR(__xludf.DUMMYFUNCTION("""COMPUTED_VALUE"""),"lawpilots")</f>
        <v>lawpilots</v>
      </c>
    </row>
    <row r="280">
      <c r="C280" s="6" t="str">
        <f>IFERROR(__xludf.DUMMYFUNCTION("""COMPUTED_VALUE"""),"Curalie")</f>
        <v>Curalie</v>
      </c>
    </row>
    <row r="281">
      <c r="C281" s="6" t="str">
        <f>IFERROR(__xludf.DUMMYFUNCTION("""COMPUTED_VALUE"""),"Vivy")</f>
        <v>Vivy</v>
      </c>
    </row>
    <row r="282">
      <c r="C282" s="6" t="str">
        <f>IFERROR(__xludf.DUMMYFUNCTION("""COMPUTED_VALUE"""),"MOIO GmbH")</f>
        <v>MOIO GmbH</v>
      </c>
    </row>
    <row r="283">
      <c r="C283" s="6" t="str">
        <f>IFERROR(__xludf.DUMMYFUNCTION("""COMPUTED_VALUE"""),"Dopavision")</f>
        <v>Dopavision</v>
      </c>
    </row>
    <row r="284">
      <c r="C284" s="6" t="str">
        <f>IFERROR(__xludf.DUMMYFUNCTION("""COMPUTED_VALUE"""),"Prosoma")</f>
        <v>Prosoma</v>
      </c>
    </row>
    <row r="285">
      <c r="C285" s="6" t="str">
        <f>IFERROR(__xludf.DUMMYFUNCTION("""COMPUTED_VALUE"""),"Lindera")</f>
        <v>Lindera</v>
      </c>
    </row>
    <row r="286">
      <c r="C286" s="6" t="str">
        <f>IFERROR(__xludf.DUMMYFUNCTION("""COMPUTED_VALUE"""),"Her1")</f>
        <v>Her1</v>
      </c>
    </row>
    <row r="287">
      <c r="C287" s="6" t="str">
        <f>IFERROR(__xludf.DUMMYFUNCTION("""COMPUTED_VALUE"""),"Sympatient")</f>
        <v>Sympatient</v>
      </c>
    </row>
    <row r="288">
      <c r="C288" s="6" t="str">
        <f>IFERROR(__xludf.DUMMYFUNCTION("IMPORTXML(A27,B1)"),"Dr.Dropin")</f>
        <v>Dr.Dropin</v>
      </c>
    </row>
    <row r="289">
      <c r="C289" s="6" t="str">
        <f>IFERROR(__xludf.DUMMYFUNCTION("""COMPUTED_VALUE"""),"Collective Minds Radiology")</f>
        <v>Collective Minds Radiology</v>
      </c>
    </row>
    <row r="290">
      <c r="C290" s="6" t="str">
        <f>IFERROR(__xludf.DUMMYFUNCTION("""COMPUTED_VALUE"""),"iBreve")</f>
        <v>iBreve</v>
      </c>
    </row>
    <row r="291">
      <c r="C291" s="6" t="str">
        <f>IFERROR(__xludf.DUMMYFUNCTION("""COMPUTED_VALUE"""),"The Holistic Concept")</f>
        <v>The Holistic Concept</v>
      </c>
    </row>
    <row r="292">
      <c r="C292" s="6" t="str">
        <f>IFERROR(__xludf.DUMMYFUNCTION("""COMPUTED_VALUE"""),"medical-note srl")</f>
        <v>medical-note srl</v>
      </c>
    </row>
    <row r="293">
      <c r="C293" s="6" t="str">
        <f>IFERROR(__xludf.DUMMYFUNCTION("""COMPUTED_VALUE"""),"Syrona Women")</f>
        <v>Syrona Women</v>
      </c>
    </row>
    <row r="294">
      <c r="C294" s="6" t="str">
        <f>IFERROR(__xludf.DUMMYFUNCTION("""COMPUTED_VALUE"""),"DOCYET")</f>
        <v>DOCYET</v>
      </c>
    </row>
    <row r="295">
      <c r="C295" s="6" t="str">
        <f>IFERROR(__xludf.DUMMYFUNCTION("""COMPUTED_VALUE"""),"Grace Health")</f>
        <v>Grace Health</v>
      </c>
    </row>
    <row r="296">
      <c r="C296" s="6" t="str">
        <f>IFERROR(__xludf.DUMMYFUNCTION("""COMPUTED_VALUE"""),"Climedo")</f>
        <v>Climedo</v>
      </c>
    </row>
    <row r="297">
      <c r="C297" s="6" t="str">
        <f>IFERROR(__xludf.DUMMYFUNCTION("""COMPUTED_VALUE"""),"Smart EpiGenetX")</f>
        <v>Smart EpiGenetX</v>
      </c>
    </row>
    <row r="298">
      <c r="C298" s="6" t="str">
        <f>IFERROR(__xludf.DUMMYFUNCTION("""COMPUTED_VALUE"""),"YOLO Insurance")</f>
        <v>YOLO Insurance</v>
      </c>
    </row>
    <row r="299">
      <c r="C299" s="6" t="str">
        <f>IFERROR(__xludf.DUMMYFUNCTION("IMPORTXML(A28,B1)"),"Ordoclic")</f>
        <v>Ordoclic</v>
      </c>
    </row>
    <row r="300">
      <c r="C300" s="6" t="str">
        <f>IFERROR(__xludf.DUMMYFUNCTION("""COMPUTED_VALUE"""),"Healthy Mind")</f>
        <v>Healthy Mind</v>
      </c>
    </row>
    <row r="301">
      <c r="C301" s="6" t="str">
        <f>IFERROR(__xludf.DUMMYFUNCTION("""COMPUTED_VALUE"""),"Fitpuli")</f>
        <v>Fitpuli</v>
      </c>
    </row>
    <row r="302">
      <c r="C302" s="6" t="str">
        <f>IFERROR(__xludf.DUMMYFUNCTION("""COMPUTED_VALUE"""),"Anamnese")</f>
        <v>Anamnese</v>
      </c>
    </row>
    <row r="303">
      <c r="C303" s="6" t="str">
        <f>IFERROR(__xludf.DUMMYFUNCTION("""COMPUTED_VALUE"""),"Elma")</f>
        <v>Elma</v>
      </c>
    </row>
    <row r="304">
      <c r="C304" s="6" t="str">
        <f>IFERROR(__xludf.DUMMYFUNCTION("""COMPUTED_VALUE"""),"Healo")</f>
        <v>Healo</v>
      </c>
    </row>
    <row r="305">
      <c r="C305" s="6" t="str">
        <f>IFERROR(__xludf.DUMMYFUNCTION("""COMPUTED_VALUE"""),"Tympa Health Technologies")</f>
        <v>Tympa Health Technologies</v>
      </c>
    </row>
    <row r="306">
      <c r="C306" s="6" t="str">
        <f>IFERROR(__xludf.DUMMYFUNCTION("""COMPUTED_VALUE"""),"WelMed")</f>
        <v>WelMed</v>
      </c>
    </row>
    <row r="307">
      <c r="C307" s="6" t="str">
        <f>IFERROR(__xludf.DUMMYFUNCTION("""COMPUTED_VALUE"""),"Yoppie")</f>
        <v>Yoppie</v>
      </c>
    </row>
    <row r="308">
      <c r="C308" s="6" t="str">
        <f>IFERROR(__xludf.DUMMYFUNCTION("""COMPUTED_VALUE"""),"FoodMarble")</f>
        <v>FoodMarble</v>
      </c>
    </row>
    <row r="309">
      <c r="C309" s="6" t="str">
        <f>IFERROR(__xludf.DUMMYFUNCTION("""COMPUTED_VALUE"""),"Be Sure Healthcare")</f>
        <v>Be Sure Healthcare</v>
      </c>
    </row>
    <row r="310">
      <c r="C310" s="6" t="str">
        <f>IFERROR(__xludf.DUMMYFUNCTION("IMPORTXML(A29,B1)"),"Bounce Works")</f>
        <v>Bounce Works</v>
      </c>
    </row>
    <row r="311">
      <c r="C311" s="6" t="str">
        <f>IFERROR(__xludf.DUMMYFUNCTION("""COMPUTED_VALUE"""),"Kinetikos")</f>
        <v>Kinetikos</v>
      </c>
    </row>
    <row r="312">
      <c r="C312" s="6" t="str">
        <f>IFERROR(__xludf.DUMMYFUNCTION("""COMPUTED_VALUE"""),"Aurora Health")</f>
        <v>Aurora Health</v>
      </c>
    </row>
    <row r="313">
      <c r="C313" s="6" t="str">
        <f>IFERROR(__xludf.DUMMYFUNCTION("""COMPUTED_VALUE"""),"Caspar-Health")</f>
        <v>Caspar-Health</v>
      </c>
    </row>
    <row r="314">
      <c r="C314" s="6" t="str">
        <f>IFERROR(__xludf.DUMMYFUNCTION("""COMPUTED_VALUE"""),"Unmind")</f>
        <v>Unmind</v>
      </c>
    </row>
    <row r="315">
      <c r="C315" s="6" t="str">
        <f>IFERROR(__xludf.DUMMYFUNCTION("""COMPUTED_VALUE"""),"Mode Sensors")</f>
        <v>Mode Sensors</v>
      </c>
    </row>
    <row r="316">
      <c r="C316" s="6" t="str">
        <f>IFERROR(__xludf.DUMMYFUNCTION("""COMPUTED_VALUE"""),"Opseeker")</f>
        <v>Opseeker</v>
      </c>
    </row>
    <row r="317">
      <c r="C317" s="6" t="str">
        <f>IFERROR(__xludf.DUMMYFUNCTION("""COMPUTED_VALUE"""),"Lifekeys")</f>
        <v>Lifekeys</v>
      </c>
    </row>
    <row r="318">
      <c r="C318" s="6" t="str">
        <f>IFERROR(__xludf.DUMMYFUNCTION("""COMPUTED_VALUE"""),"Dawn Health")</f>
        <v>Dawn Health</v>
      </c>
    </row>
    <row r="319">
      <c r="C319" s="6" t="str">
        <f>IFERROR(__xludf.DUMMYFUNCTION("""COMPUTED_VALUE"""),"Jinga.Life")</f>
        <v>Jinga.Life</v>
      </c>
    </row>
    <row r="320">
      <c r="C320" s="6" t="str">
        <f>IFERROR(__xludf.DUMMYFUNCTION("""COMPUTED_VALUE"""),"Libheros")</f>
        <v>Libheros</v>
      </c>
    </row>
    <row r="321">
      <c r="C321" s="6" t="str">
        <f>IFERROR(__xludf.DUMMYFUNCTION("IMPORTXML(A30,B1)"),"Hellocare")</f>
        <v>Hellocare</v>
      </c>
    </row>
    <row r="322">
      <c r="C322" s="6" t="str">
        <f>IFERROR(__xludf.DUMMYFUNCTION("""COMPUTED_VALUE"""),"Cera")</f>
        <v>Cera</v>
      </c>
    </row>
    <row r="323">
      <c r="C323" s="6" t="str">
        <f>IFERROR(__xludf.DUMMYFUNCTION("""COMPUTED_VALUE"""),"OneDoc")</f>
        <v>OneDoc</v>
      </c>
    </row>
    <row r="324">
      <c r="C324" s="6" t="str">
        <f>IFERROR(__xludf.DUMMYFUNCTION("""COMPUTED_VALUE"""),"Changing Health")</f>
        <v>Changing Health</v>
      </c>
    </row>
    <row r="325">
      <c r="C325" s="6" t="str">
        <f>IFERROR(__xludf.DUMMYFUNCTION("""COMPUTED_VALUE"""),"Xplora")</f>
        <v>Xplora</v>
      </c>
    </row>
    <row r="326">
      <c r="C326" s="6" t="str">
        <f>IFERROR(__xludf.DUMMYFUNCTION("""COMPUTED_VALUE"""),"Humanoo")</f>
        <v>Humanoo</v>
      </c>
    </row>
    <row r="327">
      <c r="C327" s="6" t="str">
        <f>IFERROR(__xludf.DUMMYFUNCTION("""COMPUTED_VALUE"""),"CorLife")</f>
        <v>CorLife</v>
      </c>
    </row>
    <row r="328">
      <c r="C328" s="6" t="str">
        <f>IFERROR(__xludf.DUMMYFUNCTION("""COMPUTED_VALUE"""),"Healee")</f>
        <v>Healee</v>
      </c>
    </row>
    <row r="329">
      <c r="C329" s="6" t="str">
        <f>IFERROR(__xludf.DUMMYFUNCTION("""COMPUTED_VALUE"""),"Hublo")</f>
        <v>Hublo</v>
      </c>
    </row>
    <row r="330">
      <c r="C330" s="6" t="str">
        <f>IFERROR(__xludf.DUMMYFUNCTION("""COMPUTED_VALUE"""),"Docandu")</f>
        <v>Docandu</v>
      </c>
    </row>
    <row r="331">
      <c r="C331" s="6" t="str">
        <f>IFERROR(__xludf.DUMMYFUNCTION("""COMPUTED_VALUE"""),"Kap Code")</f>
        <v>Kap Code</v>
      </c>
    </row>
    <row r="332">
      <c r="C332" s="6" t="str">
        <f>IFERROR(__xludf.DUMMYFUNCTION("IMPORTXML(A31,B1)"),"Koa Health")</f>
        <v>Koa Health</v>
      </c>
    </row>
    <row r="333">
      <c r="C333" s="6" t="str">
        <f>IFERROR(__xludf.DUMMYFUNCTION("""COMPUTED_VALUE"""),"Stockal")</f>
        <v>Stockal</v>
      </c>
    </row>
    <row r="334">
      <c r="C334" s="6" t="str">
        <f>IFERROR(__xludf.DUMMYFUNCTION("""COMPUTED_VALUE"""),"Medesk")</f>
        <v>Medesk</v>
      </c>
    </row>
    <row r="335">
      <c r="C335" s="6" t="str">
        <f>IFERROR(__xludf.DUMMYFUNCTION("""COMPUTED_VALUE"""),"Newsenselab")</f>
        <v>Newsenselab</v>
      </c>
    </row>
    <row r="336">
      <c r="C336" s="6" t="str">
        <f>IFERROR(__xludf.DUMMYFUNCTION("""COMPUTED_VALUE"""),"OnlineDoctor")</f>
        <v>OnlineDoctor</v>
      </c>
    </row>
    <row r="337">
      <c r="C337" s="6" t="str">
        <f>IFERROR(__xludf.DUMMYFUNCTION("""COMPUTED_VALUE"""),"Synopsis Healthcare")</f>
        <v>Synopsis Healthcare</v>
      </c>
    </row>
    <row r="338">
      <c r="C338" s="6" t="str">
        <f>IFERROR(__xludf.DUMMYFUNCTION("""COMPUTED_VALUE"""),"Sulzer Schmid")</f>
        <v>Sulzer Schmid</v>
      </c>
    </row>
    <row r="339">
      <c r="C339" s="6" t="str">
        <f>IFERROR(__xludf.DUMMYFUNCTION("""COMPUTED_VALUE"""),"OTH")</f>
        <v>OTH</v>
      </c>
    </row>
    <row r="340">
      <c r="C340" s="6" t="str">
        <f>IFERROR(__xludf.DUMMYFUNCTION("""COMPUTED_VALUE"""),"Nutrium")</f>
        <v>Nutrium</v>
      </c>
    </row>
    <row r="341">
      <c r="C341" s="6" t="str">
        <f>IFERROR(__xludf.DUMMYFUNCTION("""COMPUTED_VALUE"""),"Practio")</f>
        <v>Practio</v>
      </c>
    </row>
    <row r="342">
      <c r="C342" s="6" t="str">
        <f>IFERROR(__xludf.DUMMYFUNCTION("""COMPUTED_VALUE"""),"Cake")</f>
        <v>Cake</v>
      </c>
    </row>
    <row r="343">
      <c r="C343" s="6" t="str">
        <f>IFERROR(__xludf.DUMMYFUNCTION("IMPORTXML(A32,B1)"),"Landratech")</f>
        <v>Landratech</v>
      </c>
    </row>
    <row r="344">
      <c r="C344" s="6" t="str">
        <f>IFERROR(__xludf.DUMMYFUNCTION("""COMPUTED_VALUE"""),"D-EYE")</f>
        <v>D-EYE</v>
      </c>
    </row>
    <row r="345">
      <c r="C345" s="6" t="str">
        <f>IFERROR(__xludf.DUMMYFUNCTION("""COMPUTED_VALUE"""),"UpHill")</f>
        <v>UpHill</v>
      </c>
    </row>
    <row r="346">
      <c r="C346" s="6" t="str">
        <f>IFERROR(__xludf.DUMMYFUNCTION("""COMPUTED_VALUE"""),"Visitami")</f>
        <v>Visitami</v>
      </c>
    </row>
    <row r="347">
      <c r="C347" s="6" t="str">
        <f>IFERROR(__xludf.DUMMYFUNCTION("""COMPUTED_VALUE"""),"BYON8")</f>
        <v>BYON8</v>
      </c>
    </row>
    <row r="348">
      <c r="C348" s="6" t="str">
        <f>IFERROR(__xludf.DUMMYFUNCTION("""COMPUTED_VALUE"""),"MEDIjobs")</f>
        <v>MEDIjobs</v>
      </c>
    </row>
    <row r="349">
      <c r="C349" s="6" t="str">
        <f>IFERROR(__xludf.DUMMYFUNCTION("""COMPUTED_VALUE"""),"MEDx.Care")</f>
        <v>MEDx.Care</v>
      </c>
    </row>
    <row r="350">
      <c r="C350" s="6" t="str">
        <f>IFERROR(__xludf.DUMMYFUNCTION("""COMPUTED_VALUE"""),"Meru Health")</f>
        <v>Meru Health</v>
      </c>
    </row>
    <row r="351">
      <c r="C351" s="6" t="str">
        <f>IFERROR(__xludf.DUMMYFUNCTION("""COMPUTED_VALUE"""),"MedAngel")</f>
        <v>MedAngel</v>
      </c>
    </row>
    <row r="352">
      <c r="C352" s="6" t="str">
        <f>IFERROR(__xludf.DUMMYFUNCTION("""COMPUTED_VALUE"""),"Lifen")</f>
        <v>Lifen</v>
      </c>
    </row>
    <row r="353">
      <c r="C353" s="6" t="str">
        <f>IFERROR(__xludf.DUMMYFUNCTION("""COMPUTED_VALUE"""),"Amiko")</f>
        <v>Amiko</v>
      </c>
    </row>
    <row r="354">
      <c r="C354" s="8" t="str">
        <f>IFERROR(__xludf.DUMMYFUNCTION("IMPORTXML(A33,B1)"),"BrainWaveBank")</f>
        <v>BrainWaveBank</v>
      </c>
    </row>
    <row r="355">
      <c r="C355" s="6" t="str">
        <f>IFERROR(__xludf.DUMMYFUNCTION("""COMPUTED_VALUE"""),"iResTech")</f>
        <v>iResTech</v>
      </c>
    </row>
    <row r="356">
      <c r="C356" s="6" t="str">
        <f>IFERROR(__xludf.DUMMYFUNCTION("""COMPUTED_VALUE"""),"HiSonia")</f>
        <v>HiSonia</v>
      </c>
    </row>
    <row r="357">
      <c r="C357" s="6" t="str">
        <f>IFERROR(__xludf.DUMMYFUNCTION("""COMPUTED_VALUE"""),"EMed HealthTech Pvt Ltd")</f>
        <v>EMed HealthTech Pvt Ltd</v>
      </c>
    </row>
    <row r="358">
      <c r="C358" s="6" t="str">
        <f>IFERROR(__xludf.DUMMYFUNCTION("""COMPUTED_VALUE"""),"HelloBetter")</f>
        <v>HelloBetter</v>
      </c>
    </row>
    <row r="359">
      <c r="C359" s="6" t="str">
        <f>IFERROR(__xludf.DUMMYFUNCTION("""COMPUTED_VALUE"""),"CarePay")</f>
        <v>CarePay</v>
      </c>
    </row>
    <row r="360">
      <c r="C360" s="6" t="str">
        <f>IFERROR(__xludf.DUMMYFUNCTION("""COMPUTED_VALUE"""),"Medicus AI")</f>
        <v>Medicus AI</v>
      </c>
    </row>
    <row r="361">
      <c r="C361" s="7" t="str">
        <f>IFERROR(__xludf.DUMMYFUNCTION("""COMPUTED_VALUE"""),"Behold.ai")</f>
        <v>Behold.ai</v>
      </c>
    </row>
    <row r="362">
      <c r="C362" s="6" t="str">
        <f>IFERROR(__xludf.DUMMYFUNCTION("""COMPUTED_VALUE"""),"Rightangled")</f>
        <v>Rightangled</v>
      </c>
    </row>
    <row r="363">
      <c r="C363" s="7" t="str">
        <f>IFERROR(__xludf.DUMMYFUNCTION("""COMPUTED_VALUE"""),"Chino.io")</f>
        <v>Chino.io</v>
      </c>
    </row>
    <row r="364">
      <c r="C364" s="6" t="str">
        <f>IFERROR(__xludf.DUMMYFUNCTION("""COMPUTED_VALUE"""),"patientMpower")</f>
        <v>patientMpower</v>
      </c>
    </row>
    <row r="365">
      <c r="C365" s="6" t="str">
        <f>IFERROR(__xludf.DUMMYFUNCTION("IMPORTXML(A34,B1)"),"Byteflies")</f>
        <v>Byteflies</v>
      </c>
    </row>
    <row r="366">
      <c r="C366" s="6" t="str">
        <f>IFERROR(__xludf.DUMMYFUNCTION("""COMPUTED_VALUE"""),"SWORD Health")</f>
        <v>SWORD Health</v>
      </c>
    </row>
    <row r="367">
      <c r="C367" s="6" t="str">
        <f>IFERROR(__xludf.DUMMYFUNCTION("""COMPUTED_VALUE"""),"FibriCheck")</f>
        <v>FibriCheck</v>
      </c>
    </row>
    <row r="368">
      <c r="C368" s="6" t="str">
        <f>IFERROR(__xludf.DUMMYFUNCTION("""COMPUTED_VALUE"""),"Preventicus")</f>
        <v>Preventicus</v>
      </c>
    </row>
    <row r="369">
      <c r="C369" s="6" t="str">
        <f>IFERROR(__xludf.DUMMYFUNCTION("""COMPUTED_VALUE"""),"Stark Healthcare")</f>
        <v>Stark Healthcare</v>
      </c>
    </row>
    <row r="370">
      <c r="C370" s="6" t="str">
        <f>IFERROR(__xludf.DUMMYFUNCTION("""COMPUTED_VALUE"""),"Liva Healthcare")</f>
        <v>Liva Healthcare</v>
      </c>
    </row>
    <row r="371">
      <c r="C371" s="6" t="str">
        <f>IFERROR(__xludf.DUMMYFUNCTION("""COMPUTED_VALUE"""),"1928 Diagnostics")</f>
        <v>1928 Diagnostics</v>
      </c>
    </row>
    <row r="372">
      <c r="C372" s="6" t="str">
        <f>IFERROR(__xludf.DUMMYFUNCTION("""COMPUTED_VALUE"""),"LifeTime")</f>
        <v>LifeTime</v>
      </c>
    </row>
    <row r="373">
      <c r="C373" s="6" t="str">
        <f>IFERROR(__xludf.DUMMYFUNCTION("""COMPUTED_VALUE"""),"Quin Technology")</f>
        <v>Quin Technology</v>
      </c>
    </row>
    <row r="374">
      <c r="C374" s="6" t="str">
        <f>IFERROR(__xludf.DUMMYFUNCTION("""COMPUTED_VALUE"""),"Blupoint")</f>
        <v>Blupoint</v>
      </c>
    </row>
    <row r="375">
      <c r="C375" s="6" t="str">
        <f>IFERROR(__xludf.DUMMYFUNCTION("""COMPUTED_VALUE"""),"Entia")</f>
        <v>Entia</v>
      </c>
    </row>
    <row r="376">
      <c r="C376" s="8" t="str">
        <f>IFERROR(__xludf.DUMMYFUNCTION("IMPORTXML(A35,B1)"),"Smart Reporting")</f>
        <v>Smart Reporting</v>
      </c>
    </row>
    <row r="377">
      <c r="C377" s="6" t="str">
        <f>IFERROR(__xludf.DUMMYFUNCTION("""COMPUTED_VALUE"""),"Nebeus")</f>
        <v>Nebeus</v>
      </c>
    </row>
    <row r="378">
      <c r="C378" s="6" t="str">
        <f>IFERROR(__xludf.DUMMYFUNCTION("""COMPUTED_VALUE"""),"Kilo Health")</f>
        <v>Kilo Health</v>
      </c>
    </row>
    <row r="379">
      <c r="C379" s="6" t="str">
        <f>IFERROR(__xludf.DUMMYFUNCTION("""COMPUTED_VALUE"""),"UAB Kilo Grupe")</f>
        <v>UAB Kilo Grupe</v>
      </c>
    </row>
    <row r="380">
      <c r="C380" s="6" t="str">
        <f>IFERROR(__xludf.DUMMYFUNCTION("""COMPUTED_VALUE"""),"Lifesum")</f>
        <v>Lifesum</v>
      </c>
    </row>
    <row r="381">
      <c r="C381" s="6" t="str">
        <f>IFERROR(__xludf.DUMMYFUNCTION("""COMPUTED_VALUE"""),"Babylon Health")</f>
        <v>Babylon Health</v>
      </c>
    </row>
    <row r="382">
      <c r="C382" s="6" t="str">
        <f>IFERROR(__xludf.DUMMYFUNCTION("""COMPUTED_VALUE"""),"Ernit")</f>
        <v>Ernit</v>
      </c>
    </row>
    <row r="383">
      <c r="C383" s="6" t="str">
        <f>IFERROR(__xludf.DUMMYFUNCTION("""COMPUTED_VALUE"""),"FeetMe")</f>
        <v>FeetMe</v>
      </c>
    </row>
    <row r="384">
      <c r="C384" s="6" t="str">
        <f>IFERROR(__xludf.DUMMYFUNCTION("""COMPUTED_VALUE"""),"digitalMedLab")</f>
        <v>digitalMedLab</v>
      </c>
    </row>
    <row r="385">
      <c r="C385" s="6" t="str">
        <f>IFERROR(__xludf.DUMMYFUNCTION("""COMPUTED_VALUE"""),"Infermedica")</f>
        <v>Infermedica</v>
      </c>
    </row>
    <row r="386">
      <c r="C386" s="6" t="str">
        <f>IFERROR(__xludf.DUMMYFUNCTION("""COMPUTED_VALUE"""),"Sleepio")</f>
        <v>Sleepio</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C361"/>
    <hyperlink r:id="rId37" ref="C363"/>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12</v>
      </c>
    </row>
    <row r="2">
      <c r="B2" s="2" t="s">
        <v>13</v>
      </c>
      <c r="G2" s="2" t="s">
        <v>14</v>
      </c>
      <c r="H2" s="2" t="s">
        <v>5</v>
      </c>
      <c r="I2" s="2" t="s">
        <v>15</v>
      </c>
      <c r="J2" s="2" t="s">
        <v>16</v>
      </c>
      <c r="K2" s="2" t="s">
        <v>17</v>
      </c>
    </row>
    <row r="4">
      <c r="B4" s="6" t="str">
        <f>IFERROR(__xludf.DUMMYFUNCTION("IMPORTXML(B1,B2)")," 1LIMS ")</f>
        <v> 1LIMS </v>
      </c>
    </row>
    <row r="5">
      <c r="B5" s="6" t="str">
        <f>IFERROR(__xludf.DUMMYFUNCTION("""COMPUTED_VALUE""")," Data ")</f>
        <v> Data </v>
      </c>
    </row>
    <row r="6">
      <c r="B6" s="6" t="str">
        <f>IFERROR(__xludf.DUMMYFUNCTION("""COMPUTED_VALUE"""),"Laboratory Transformation, LIMS, Process Optimisation, Consulting, 
Digitalisation")</f>
        <v>Laboratory Transformation, LIMS, Process Optimisation, Consulting, 
Digitalisation</v>
      </c>
    </row>
    <row r="7">
      <c r="B7" s="6" t="str">
        <f>IFERROR(__xludf.DUMMYFUNCTION("""COMPUTED_VALUE""")," CH-Märstetten ")</f>
        <v> CH-Märstetten </v>
      </c>
    </row>
    <row r="8">
      <c r="B8" s="6" t="str">
        <f>IFERROR(__xludf.DUMMYFUNCTION("""COMPUTED_VALUE""")," abiotec AG ")</f>
        <v> abiotec AG </v>
      </c>
    </row>
    <row r="9">
      <c r="B9" s="6" t="str">
        <f>IFERROR(__xludf.DUMMYFUNCTION("""COMPUTED_VALUE""")," Devices, Drugs &amp; Therapy, Data ")</f>
        <v> Devices, Drugs &amp; Therapy, Data </v>
      </c>
    </row>
    <row r="10">
      <c r="B10" s="6" t="str">
        <f>IFERROR(__xludf.DUMMYFUNCTION("""COMPUTED_VALUE"""),"Biotechnology, Medical devices, Pharmacy, Quality control, Validation")</f>
        <v>Biotechnology, Medical devices, Pharmacy, Quality control, Validation</v>
      </c>
    </row>
    <row r="11">
      <c r="B11" s="6" t="str">
        <f>IFERROR(__xludf.DUMMYFUNCTION("""COMPUTED_VALUE""")," CH-Rheinfelden ")</f>
        <v> CH-Rheinfelden </v>
      </c>
    </row>
    <row r="12">
      <c r="B12" s="6" t="str">
        <f>IFERROR(__xludf.DUMMYFUNCTION("""COMPUTED_VALUE""")," AID Diagnostika GmbH ")</f>
        <v> AID Diagnostika GmbH </v>
      </c>
    </row>
    <row r="13">
      <c r="B13" s="6" t="str">
        <f>IFERROR(__xludf.DUMMYFUNCTION("""COMPUTED_VALUE""")," Diagnostics ")</f>
        <v> Diagnostics </v>
      </c>
    </row>
    <row r="14">
      <c r="B14" s="6" t="str">
        <f>IFERROR(__xludf.DUMMYFUNCTION("""COMPUTED_VALUE"""),"Diagnostics (In-vitro), Microbiology, Virology, Immunology, human genetics")</f>
        <v>Diagnostics (In-vitro), Microbiology, Virology, Immunology, human genetics</v>
      </c>
    </row>
    <row r="15">
      <c r="B15" s="6" t="str">
        <f>IFERROR(__xludf.DUMMYFUNCTION("""COMPUTED_VALUE""")," DE-Straßberg ")</f>
        <v> DE-Straßberg </v>
      </c>
    </row>
    <row r="16">
      <c r="B16" s="6" t="str">
        <f>IFERROR(__xludf.DUMMYFUNCTION("""COMPUTED_VALUE""")," AIRAmed GmbH ")</f>
        <v> AIRAmed GmbH </v>
      </c>
    </row>
    <row r="17">
      <c r="B17" s="6" t="str">
        <f>IFERROR(__xludf.DUMMYFUNCTION("""COMPUTED_VALUE""")," Diagnostics, Devices, Drugs &amp; Therapy, Data ")</f>
        <v> Diagnostics, Devices, Drugs &amp; Therapy, Data </v>
      </c>
    </row>
    <row r="18">
      <c r="B18" s="6" t="str">
        <f>IFERROR(__xludf.DUMMYFUNCTION("""COMPUTED_VALUE"""),"Neuroradiology, Software, Artificial Intelligence, Quantitative Radiology, 
Neural Networks")</f>
        <v>Neuroradiology, Software, Artificial Intelligence, Quantitative Radiology, 
Neural Networks</v>
      </c>
    </row>
    <row r="19">
      <c r="B19" s="6" t="str">
        <f>IFERROR(__xludf.DUMMYFUNCTION("""COMPUTED_VALUE""")," DE-Tübingen ")</f>
        <v> DE-Tübingen </v>
      </c>
    </row>
    <row r="20">
      <c r="B20" s="6" t="str">
        <f>IFERROR(__xludf.DUMMYFUNCTION("""COMPUTED_VALUE""")," alcare AG ")</f>
        <v> alcare AG </v>
      </c>
    </row>
    <row r="21">
      <c r="B21" s="6" t="str">
        <f>IFERROR(__xludf.DUMMYFUNCTION("""COMPUTED_VALUE""")," Data ")</f>
        <v> Data </v>
      </c>
    </row>
    <row r="22">
      <c r="B22" s="6"/>
    </row>
    <row r="23">
      <c r="B23" s="6" t="str">
        <f>IFERROR(__xludf.DUMMYFUNCTION("""COMPUTED_VALUE""")," DE-Wil ")</f>
        <v> DE-Wil </v>
      </c>
    </row>
    <row r="24">
      <c r="B24" s="6" t="str">
        <f>IFERROR(__xludf.DUMMYFUNCTION("""COMPUTED_VALUE""")," Arbeitskreis Klinische Prüfungen GmbH (AKP GmbH) ")</f>
        <v> Arbeitskreis Klinische Prüfungen GmbH (AKP GmbH) </v>
      </c>
    </row>
    <row r="25">
      <c r="B25" s="6" t="str">
        <f>IFERROR(__xludf.DUMMYFUNCTION("""COMPUTED_VALUE""")," Diagnostics ")</f>
        <v> Diagnostics </v>
      </c>
    </row>
    <row r="26">
      <c r="B26" s="6" t="str">
        <f>IFERROR(__xludf.DUMMYFUNCTION("""COMPUTED_VALUE"""),"Clinical Trials, Performance Evaluation, PMCF, Project Management, 
Regulatory Affairs, Monitoring")</f>
        <v>Clinical Trials, Performance Evaluation, PMCF, Project Management, 
Regulatory Affairs, Monitoring</v>
      </c>
    </row>
    <row r="27">
      <c r="B27" s="6" t="str">
        <f>IFERROR(__xludf.DUMMYFUNCTION("""COMPUTED_VALUE""")," DE-Freiburg ")</f>
        <v> DE-Freiburg </v>
      </c>
    </row>
    <row r="28">
      <c r="B28" s="6" t="str">
        <f>IFERROR(__xludf.DUMMYFUNCTION("""COMPUTED_VALUE""")," Axxam GmbH ")</f>
        <v> Axxam GmbH </v>
      </c>
    </row>
    <row r="29">
      <c r="B29" s="6" t="str">
        <f>IFERROR(__xludf.DUMMYFUNCTION("""COMPUTED_VALUE""")," Drugs &amp; Therapy ")</f>
        <v> Drugs &amp; Therapy </v>
      </c>
    </row>
    <row r="30">
      <c r="B30" s="6" t="str">
        <f>IFERROR(__xludf.DUMMYFUNCTION("""COMPUTED_VALUE"""),"Compound management services, Customer’s compound storage and logistics 
hub, High throughput screening (HTS)")</f>
        <v>Compound management services, Customer’s compound storage and logistics 
hub, High throughput screening (HTS)</v>
      </c>
    </row>
    <row r="31">
      <c r="B31" s="6" t="str">
        <f>IFERROR(__xludf.DUMMYFUNCTION("""COMPUTED_VALUE""")," DE-Konstanz ")</f>
        <v> DE-Konstanz </v>
      </c>
    </row>
    <row r="32">
      <c r="B32" s="6" t="str">
        <f>IFERROR(__xludf.DUMMYFUNCTION("""COMPUTED_VALUE""")," Bacher Edelstahlverarbeitung GmbH ")</f>
        <v> Bacher Edelstahlverarbeitung GmbH </v>
      </c>
    </row>
    <row r="33">
      <c r="B33" s="6" t="str">
        <f>IFERROR(__xludf.DUMMYFUNCTION("""COMPUTED_VALUE""")," Devices ")</f>
        <v> Devices </v>
      </c>
    </row>
    <row r="34">
      <c r="B34" s="6" t="str">
        <f>IFERROR(__xludf.DUMMYFUNCTION("""COMPUTED_VALUE"""),"Stainless steel processing, cleanroom furniture and airlock equipment, 
customised process equipment, hoppers, transport racks and trolleys")</f>
        <v>Stainless steel processing, cleanroom furniture and airlock equipment, 
customised process equipment, hoppers, transport racks and trolleys</v>
      </c>
    </row>
    <row r="35">
      <c r="B35" s="6" t="str">
        <f>IFERROR(__xludf.DUMMYFUNCTION("""COMPUTED_VALUE""")," DE-Stockach ")</f>
        <v> DE-Stockach </v>
      </c>
    </row>
    <row r="36">
      <c r="B36" s="6" t="str">
        <f>IFERROR(__xludf.DUMMYFUNCTION("""COMPUTED_VALUE""")," Bernd Renger Consulting ")</f>
        <v> Bernd Renger Consulting </v>
      </c>
    </row>
    <row r="37">
      <c r="B37" s="6" t="str">
        <f>IFERROR(__xludf.DUMMYFUNCTION("""COMPUTED_VALUE""")," Drugs &amp; Therapy ")</f>
        <v> Drugs &amp; Therapy </v>
      </c>
    </row>
    <row r="38">
      <c r="B38" s="6" t="str">
        <f>IFERROR(__xludf.DUMMYFUNCTION("""COMPUTED_VALUE"""),"Consulting, GMP, Regulatories, Audits, Batch Record Review")</f>
        <v>Consulting, GMP, Regulatories, Audits, Batch Record Review</v>
      </c>
    </row>
    <row r="39">
      <c r="B39" s="6" t="str">
        <f>IFERROR(__xludf.DUMMYFUNCTION("""COMPUTED_VALUE""")," DE-Radolfzell ")</f>
        <v> DE-Radolfzell </v>
      </c>
    </row>
    <row r="40">
      <c r="B40" s="6" t="str">
        <f>IFERROR(__xludf.DUMMYFUNCTION("""COMPUTED_VALUE""")," Beshiri Group ")</f>
        <v> Beshiri Group </v>
      </c>
    </row>
    <row r="41">
      <c r="B41" s="6" t="str">
        <f>IFERROR(__xludf.DUMMYFUNCTION("""COMPUTED_VALUE""")," Devices ")</f>
        <v> Devices </v>
      </c>
    </row>
    <row r="42">
      <c r="B42" s="6" t="str">
        <f>IFERROR(__xludf.DUMMYFUNCTION("""COMPUTED_VALUE"""),"Leasing of the Beshiri Area Konstanz")</f>
        <v>Leasing of the Beshiri Area Konstanz</v>
      </c>
    </row>
    <row r="43">
      <c r="B43" s="6" t="str">
        <f>IFERROR(__xludf.DUMMYFUNCTION("""COMPUTED_VALUE""")," DE-Konstanz ")</f>
        <v> DE-Konstanz </v>
      </c>
    </row>
    <row r="44">
      <c r="B44" s="6" t="str">
        <f>IFERROR(__xludf.DUMMYFUNCTION("""COMPUTED_VALUE""")," bings und partner BERATENDE INGENIEURE PartGmbB ")</f>
        <v> bings und partner BERATENDE INGENIEURE PartGmbB </v>
      </c>
    </row>
    <row r="45">
      <c r="B45" s="6" t="str">
        <f>IFERROR(__xludf.DUMMYFUNCTION("""COMPUTED_VALUE""")," Drugs &amp; Therapy, Devices ")</f>
        <v> Drugs &amp; Therapy, Devices </v>
      </c>
    </row>
    <row r="46">
      <c r="B46" s="6" t="str">
        <f>IFERROR(__xludf.DUMMYFUNCTION("""COMPUTED_VALUE"""),"ISO 9001-2015, RiskManagement-Analysis-SoftwareSolution Oncology-Care-Paths")</f>
        <v>ISO 9001-2015, RiskManagement-Analysis-SoftwareSolution Oncology-Care-Paths</v>
      </c>
    </row>
    <row r="47">
      <c r="B47" s="6" t="str">
        <f>IFERROR(__xludf.DUMMYFUNCTION("""COMPUTED_VALUE""")," DE-Bodman ")</f>
        <v> DE-Bodman </v>
      </c>
    </row>
    <row r="48">
      <c r="B48" s="6" t="str">
        <f>IFERROR(__xludf.DUMMYFUNCTION("""COMPUTED_VALUE""")," Bio-Protect Gesellschaft für Phytopathologie GmbH ")</f>
        <v> Bio-Protect Gesellschaft für Phytopathologie GmbH </v>
      </c>
    </row>
    <row r="49">
      <c r="B49" s="6" t="str">
        <f>IFERROR(__xludf.DUMMYFUNCTION("""COMPUTED_VALUE""")," Drugs &amp; Therapy, Diagnostics ")</f>
        <v> Drugs &amp; Therapy, Diagnostics </v>
      </c>
    </row>
    <row r="50">
      <c r="B50" s="6" t="str">
        <f>IFERROR(__xludf.DUMMYFUNCTION("""COMPUTED_VALUE"""),"Phytopatholgy, biological plant protection, microbiology, fungicide 
resistance, Phys- Chem Paramter")</f>
        <v>Phytopatholgy, biological plant protection, microbiology, fungicide 
resistance, Phys- Chem Paramter</v>
      </c>
    </row>
    <row r="51">
      <c r="B51" s="6" t="str">
        <f>IFERROR(__xludf.DUMMYFUNCTION("""COMPUTED_VALUE""")," DE-Konstanz ")</f>
        <v> DE-Konstanz </v>
      </c>
    </row>
    <row r="52">
      <c r="B52" s="6" t="str">
        <f>IFERROR(__xludf.DUMMYFUNCTION("""COMPUTED_VALUE""")," Bioplant Naturverfahren GmbH ")</f>
        <v> Bioplant Naturverfahren GmbH </v>
      </c>
    </row>
    <row r="53">
      <c r="B53" s="6" t="str">
        <f>IFERROR(__xludf.DUMMYFUNCTION("""COMPUTED_VALUE""")," Drugs &amp; Therapy ")</f>
        <v> Drugs &amp; Therapy </v>
      </c>
    </row>
    <row r="54">
      <c r="B54" s="6" t="str">
        <f>IFERROR(__xludf.DUMMYFUNCTION("""COMPUTED_VALUE"""),"Biostimulants , Fungicides , Homeopathy , Insecticides , Plant strengtheners")</f>
        <v>Biostimulants , Fungicides , Homeopathy , Insecticides , Plant strengtheners</v>
      </c>
    </row>
    <row r="55">
      <c r="B55" s="6" t="str">
        <f>IFERROR(__xludf.DUMMYFUNCTION("""COMPUTED_VALUE""")," DE-Konstanz ")</f>
        <v> DE-Konstanz </v>
      </c>
    </row>
    <row r="56">
      <c r="B56" s="6" t="str">
        <f>IFERROR(__xludf.DUMMYFUNCTION("""COMPUTED_VALUE""")," Biotechnologie Institut Thurgau ")</f>
        <v> Biotechnologie Institut Thurgau </v>
      </c>
    </row>
    <row r="57">
      <c r="B57" s="6" t="str">
        <f>IFERROR(__xludf.DUMMYFUNCTION("""COMPUTED_VALUE""")," Diagnostics, Drugs &amp; Therapy ")</f>
        <v> Diagnostics, Drugs &amp; Therapy </v>
      </c>
    </row>
    <row r="58">
      <c r="B58" s="6" t="str">
        <f>IFERROR(__xludf.DUMMYFUNCTION("""COMPUTED_VALUE"""),"Cell biology, Cell migration, Immunology, Tumorbiology")</f>
        <v>Cell biology, Cell migration, Immunology, Tumorbiology</v>
      </c>
    </row>
    <row r="59">
      <c r="B59" s="6" t="str">
        <f>IFERROR(__xludf.DUMMYFUNCTION("""COMPUTED_VALUE""")," CH-Kreuzlingen ")</f>
        <v> CH-Kreuzlingen </v>
      </c>
    </row>
    <row r="60">
      <c r="B60" s="6" t="str">
        <f>IFERROR(__xludf.DUMMYFUNCTION("""COMPUTED_VALUE""")," bizzcenter24 | Business Center Konstanz ")</f>
        <v> bizzcenter24 | Business Center Konstanz </v>
      </c>
    </row>
    <row r="61">
      <c r="B61" s="6" t="str">
        <f>IFERROR(__xludf.DUMMYFUNCTION("""COMPUTED_VALUE""")," Diagnostics, Devices, Drugs &amp; Therapy, Data ")</f>
        <v> Diagnostics, Devices, Drugs &amp; Therapy, Data </v>
      </c>
    </row>
    <row r="62">
      <c r="B62" s="6" t="str">
        <f>IFERROR(__xludf.DUMMYFUNCTION("""COMPUTED_VALUE"""),"Office service, office rental, conference service")</f>
        <v>Office service, office rental, conference service</v>
      </c>
    </row>
    <row r="63">
      <c r="B63" s="6" t="str">
        <f>IFERROR(__xludf.DUMMYFUNCTION("""COMPUTED_VALUE""")," DE-Konstanz ")</f>
        <v> DE-Konstanz </v>
      </c>
    </row>
    <row r="64">
      <c r="B64" s="6" t="str">
        <f>IFERROR(__xludf.DUMMYFUNCTION("""COMPUTED_VALUE""")," Bodenseepatent Behrmann Wagner Partnerschaftsgesellschaft mbB ")</f>
        <v> Bodenseepatent Behrmann Wagner Partnerschaftsgesellschaft mbB </v>
      </c>
    </row>
    <row r="65">
      <c r="B65" s="6" t="str">
        <f>IFERROR(__xludf.DUMMYFUNCTION("""COMPUTED_VALUE""")," Diagnostics, Devices, Drugs &amp; Therapy, Data ")</f>
        <v> Diagnostics, Devices, Drugs &amp; Therapy, Data </v>
      </c>
    </row>
    <row r="66">
      <c r="B66" s="6" t="str">
        <f>IFERROR(__xludf.DUMMYFUNCTION("""COMPUTED_VALUE"""),"intellectual property, legal protection, patent law, start-up advice, 
trademark law")</f>
        <v>intellectual property, legal protection, patent law, start-up advice, 
trademark law</v>
      </c>
    </row>
    <row r="67">
      <c r="B67" s="6" t="str">
        <f>IFERROR(__xludf.DUMMYFUNCTION("""COMPUTED_VALUE""")," DE-Singen ")</f>
        <v> DE-Singen </v>
      </c>
    </row>
    <row r="68">
      <c r="B68" s="6" t="str">
        <f>IFERROR(__xludf.DUMMYFUNCTION("""COMPUTED_VALUE""")," Böhler Life Science Advice ")</f>
        <v> Böhler Life Science Advice </v>
      </c>
    </row>
    <row r="69">
      <c r="B69" s="6" t="str">
        <f>IFERROR(__xludf.DUMMYFUNCTION("""COMPUTED_VALUE""")," Diagnostics, Devices, Drugs &amp; Therapy, Data ")</f>
        <v> Diagnostics, Devices, Drugs &amp; Therapy, Data </v>
      </c>
    </row>
    <row r="70">
      <c r="B70" s="6" t="str">
        <f>IFERROR(__xludf.DUMMYFUNCTION("""COMPUTED_VALUE"""),"M&amp;A projects, operational project work, sales support, technology transfer 
and licensing")</f>
        <v>M&amp;A projects, operational project work, sales support, technology transfer 
and licensing</v>
      </c>
    </row>
    <row r="71">
      <c r="B71" s="6" t="str">
        <f>IFERROR(__xludf.DUMMYFUNCTION("""COMPUTED_VALUE""")," CH-Berneck ")</f>
        <v> CH-Berneck </v>
      </c>
    </row>
    <row r="72">
      <c r="B72" s="6" t="str">
        <f>IFERROR(__xludf.DUMMYFUNCTION("""COMPUTED_VALUE""")," BP-Con, Professor Klaus Schäfer ")</f>
        <v> BP-Con, Professor Klaus Schäfer </v>
      </c>
    </row>
    <row r="73">
      <c r="B73" s="6" t="str">
        <f>IFERROR(__xludf.DUMMYFUNCTION("""COMPUTED_VALUE""")," Diagnostics, Devices, Drugs &amp; Therapy, Data ")</f>
        <v> Diagnostics, Devices, Drugs &amp; Therapy, Data </v>
      </c>
    </row>
    <row r="74">
      <c r="B74" s="6" t="str">
        <f>IFERROR(__xludf.DUMMYFUNCTION("""COMPUTED_VALUE"""),"Biotechnologie, Consulting, Pharma, Teaching")</f>
        <v>Biotechnologie, Consulting, Pharma, Teaching</v>
      </c>
    </row>
    <row r="75">
      <c r="B75" s="6" t="str">
        <f>IFERROR(__xludf.DUMMYFUNCTION("""COMPUTED_VALUE""")," DE-Konstanz ")</f>
        <v> DE-Konstanz </v>
      </c>
    </row>
    <row r="76">
      <c r="B76" s="6" t="str">
        <f>IFERROR(__xludf.DUMMYFUNCTION("""COMPUTED_VALUE""")," Bracco Imaging Deutschland GmbH ")</f>
        <v> Bracco Imaging Deutschland GmbH </v>
      </c>
    </row>
    <row r="77">
      <c r="B77" s="6" t="str">
        <f>IFERROR(__xludf.DUMMYFUNCTION("""COMPUTED_VALUE""")," Drugs &amp; Therapy, Diagnostics ")</f>
        <v> Drugs &amp; Therapy, Diagnostics </v>
      </c>
    </row>
    <row r="78">
      <c r="B78" s="6" t="str">
        <f>IFERROR(__xludf.DUMMYFUNCTION("""COMPUTED_VALUE"""),"Contrast media, computer tomography, magnetic resonance imaging, ultrasound 
procedures")</f>
        <v>Contrast media, computer tomography, magnetic resonance imaging, ultrasound 
procedures</v>
      </c>
    </row>
    <row r="79">
      <c r="B79" s="6" t="str">
        <f>IFERROR(__xludf.DUMMYFUNCTION("""COMPUTED_VALUE""")," DE-Konstanz ")</f>
        <v> DE-Konstanz </v>
      </c>
    </row>
    <row r="80">
      <c r="B80" s="6" t="str">
        <f>IFERROR(__xludf.DUMMYFUNCTION("""COMPUTED_VALUE""")," Brainwave Hub GmbH ")</f>
        <v> Brainwave Hub GmbH </v>
      </c>
    </row>
    <row r="81">
      <c r="B81" s="6" t="str">
        <f>IFERROR(__xludf.DUMMYFUNCTION("""COMPUTED_VALUE""")," Drugs &amp; Therapy, Data ")</f>
        <v> Drugs &amp; Therapy, Data </v>
      </c>
    </row>
    <row r="82">
      <c r="B82" s="6" t="str">
        <f>IFERROR(__xludf.DUMMYFUNCTION("""COMPUTED_VALUE"""),"trategy development, go-to-market, financing consulting, DiGA/ DiPA, market 
analyses")</f>
        <v>trategy development, go-to-market, financing consulting, DiGA/ DiPA, market 
analyses</v>
      </c>
    </row>
    <row r="83">
      <c r="B83" s="6" t="str">
        <f>IFERROR(__xludf.DUMMYFUNCTION("""COMPUTED_VALUE""")," DE-Berlin ")</f>
        <v> DE-Berlin </v>
      </c>
    </row>
    <row r="84">
      <c r="B84" s="6" t="str">
        <f>IFERROR(__xludf.DUMMYFUNCTION("""COMPUTED_VALUE""")," Buchinger Wilhelmi ")</f>
        <v> Buchinger Wilhelmi </v>
      </c>
    </row>
    <row r="85">
      <c r="B85" s="6" t="str">
        <f>IFERROR(__xludf.DUMMYFUNCTION("""COMPUTED_VALUE""")," Drugs &amp; Therapy ")</f>
        <v> Drugs &amp; Therapy </v>
      </c>
    </row>
    <row r="86">
      <c r="B86" s="6" t="str">
        <f>IFERROR(__xludf.DUMMYFUNCTION("""COMPUTED_VALUE"""),"Therapeutic fasting, integrative medicine, nutritional strategies, 
psychotherapy and coaching, wellness")</f>
        <v>Therapeutic fasting, integrative medicine, nutritional strategies, 
psychotherapy and coaching, wellness</v>
      </c>
    </row>
    <row r="87">
      <c r="B87" s="6" t="str">
        <f>IFERROR(__xludf.DUMMYFUNCTION("""COMPUTED_VALUE""")," DE-Überlingen ")</f>
        <v> DE-Überlingen </v>
      </c>
    </row>
    <row r="88">
      <c r="B88" s="6" t="str">
        <f>IFERROR(__xludf.DUMMYFUNCTION("""COMPUTED_VALUE""")," Büro für Biologische-Ökologische Beratung ")</f>
        <v> Büro für Biologische-Ökologische Beratung </v>
      </c>
    </row>
    <row r="89">
      <c r="B89" s="6" t="str">
        <f>IFERROR(__xludf.DUMMYFUNCTION("""COMPUTED_VALUE""")," Drugs &amp; Therapy ")</f>
        <v> Drugs &amp; Therapy </v>
      </c>
    </row>
    <row r="90">
      <c r="B90" s="6" t="str">
        <f>IFERROR(__xludf.DUMMYFUNCTION("""COMPUTED_VALUE"""),"Phytopathology, fungi, consulting, editing")</f>
        <v>Phytopathology, fungi, consulting, editing</v>
      </c>
    </row>
    <row r="91">
      <c r="B91" s="6" t="str">
        <f>IFERROR(__xludf.DUMMYFUNCTION("""COMPUTED_VALUE""")," DE-Konstanz ")</f>
        <v> DE-Konstanz </v>
      </c>
    </row>
    <row r="92">
      <c r="B92" s="6" t="str">
        <f>IFERROR(__xludf.DUMMYFUNCTION("""COMPUTED_VALUE""")," CANDOR Bioscience GmbH ")</f>
        <v> CANDOR Bioscience GmbH </v>
      </c>
    </row>
    <row r="93">
      <c r="B93" s="6" t="str">
        <f>IFERROR(__xludf.DUMMYFUNCTION("""COMPUTED_VALUE""")," Diagnostics ")</f>
        <v> Diagnostics </v>
      </c>
    </row>
    <row r="94">
      <c r="B94" s="6" t="str">
        <f>IFERROR(__xludf.DUMMYFUNCTION("""COMPUTED_VALUE"""),"Immunoassays, Assay development, Stabilizer. ELISA, Blocker")</f>
        <v>Immunoassays, Assay development, Stabilizer. ELISA, Blocker</v>
      </c>
    </row>
    <row r="95">
      <c r="B95" s="6" t="str">
        <f>IFERROR(__xludf.DUMMYFUNCTION("""COMPUTED_VALUE""")," DE-Wangen ")</f>
        <v> DE-Wangen </v>
      </c>
    </row>
    <row r="96">
      <c r="B96" s="6" t="str">
        <f>IFERROR(__xludf.DUMMYFUNCTION("""COMPUTED_VALUE""")," CarboCalyx GmbH ")</f>
        <v> CarboCalyx GmbH </v>
      </c>
    </row>
    <row r="97">
      <c r="B97" s="6" t="str">
        <f>IFERROR(__xludf.DUMMYFUNCTION("""COMPUTED_VALUE""")," Devices, Drugs &amp; Therapy ")</f>
        <v> Devices, Drugs &amp; Therapy </v>
      </c>
    </row>
    <row r="98">
      <c r="B98" s="6" t="str">
        <f>IFERROR(__xludf.DUMMYFUNCTION("""COMPUTED_VALUE"""),"cellular modifications, glycoengineering, targeted immunotherapy, 
experimental medicine")</f>
        <v>cellular modifications, glycoengineering, targeted immunotherapy, 
experimental medicine</v>
      </c>
    </row>
    <row r="99">
      <c r="B99" s="6" t="str">
        <f>IFERROR(__xludf.DUMMYFUNCTION("""COMPUTED_VALUE""")," DE-Konstanz ")</f>
        <v> DE-Konstanz </v>
      </c>
    </row>
    <row r="100">
      <c r="B100" s="6" t="str">
        <f>IFERROR(__xludf.DUMMYFUNCTION("""COMPUTED_VALUE""")," CarboCode Germany GmbH ")</f>
        <v> CarboCode Germany GmbH </v>
      </c>
    </row>
    <row r="101">
      <c r="B101" s="6" t="str">
        <f>IFERROR(__xludf.DUMMYFUNCTION("""COMPUTED_VALUE""")," Drugs &amp; Therapy ")</f>
        <v> Drugs &amp; Therapy </v>
      </c>
    </row>
    <row r="102">
      <c r="B102" s="6" t="str">
        <f>IFERROR(__xludf.DUMMYFUNCTION("""COMPUTED_VALUE"""),"Carbohydrate and lipid synthesis, food supplements, neurodegenerative 
diseases")</f>
        <v>Carbohydrate and lipid synthesis, food supplements, neurodegenerative 
diseases</v>
      </c>
    </row>
    <row r="103">
      <c r="B103" s="6" t="str">
        <f>IFERROR(__xludf.DUMMYFUNCTION("""COMPUTED_VALUE""")," DE-Konstanz ")</f>
        <v> DE-Konstanz </v>
      </c>
    </row>
    <row r="104">
      <c r="B104" s="6" t="str">
        <f>IFERROR(__xludf.DUMMYFUNCTION("""COMPUTED_VALUE""")," CeGaT GmbH ")</f>
        <v> CeGaT GmbH </v>
      </c>
    </row>
    <row r="105">
      <c r="B105" s="6" t="str">
        <f>IFERROR(__xludf.DUMMYFUNCTION("""COMPUTED_VALUE""")," Data, Diagnostics, Drugs &amp; Therapy ")</f>
        <v> Data, Diagnostics, Drugs &amp; Therapy </v>
      </c>
    </row>
    <row r="106">
      <c r="B106" s="6" t="str">
        <f>IFERROR(__xludf.DUMMYFUNCTION("""COMPUTED_VALUE"""),"Sequencing, bioinformatics, sequencing services")</f>
        <v>Sequencing, bioinformatics, sequencing services</v>
      </c>
    </row>
    <row r="107">
      <c r="B107" s="6" t="str">
        <f>IFERROR(__xludf.DUMMYFUNCTION("""COMPUTED_VALUE""")," DE-Tübingen ")</f>
        <v> DE-Tübingen </v>
      </c>
    </row>
    <row r="108">
      <c r="B108" s="6" t="str">
        <f>IFERROR(__xludf.DUMMYFUNCTION("""COMPUTED_VALUE""")," comes compliance services ")</f>
        <v> comes compliance services </v>
      </c>
    </row>
    <row r="109">
      <c r="B109" s="6" t="str">
        <f>IFERROR(__xludf.DUMMYFUNCTION("""COMPUTED_VALUE""")," Drugs &amp; Therapy ")</f>
        <v> Drugs &amp; Therapy </v>
      </c>
    </row>
    <row r="110">
      <c r="B110" s="6" t="str">
        <f>IFERROR(__xludf.DUMMYFUNCTION("""COMPUTED_VALUE"""),"Audits, Data integrity Data integrity, Inspection readiness, IT compliance, 
Validation")</f>
        <v>Audits, Data integrity Data integrity, Inspection readiness, IT compliance, 
Validation</v>
      </c>
    </row>
    <row r="111">
      <c r="B111" s="6" t="str">
        <f>IFERROR(__xludf.DUMMYFUNCTION("""COMPUTED_VALUE""")," DE-Ravensburg ")</f>
        <v> DE-Ravensburg </v>
      </c>
    </row>
    <row r="112">
      <c r="B112" s="6" t="str">
        <f>IFERROR(__xludf.DUMMYFUNCTION("""COMPUTED_VALUE""")," CORVENTIS GmbH ")</f>
        <v> CORVENTIS GmbH </v>
      </c>
    </row>
    <row r="113">
      <c r="B113" s="6" t="str">
        <f>IFERROR(__xludf.DUMMYFUNCTION("""COMPUTED_VALUE""")," Diagnostics, Devices, Drugs &amp; Therapy, Data ")</f>
        <v> Diagnostics, Devices, Drugs &amp; Therapy, Data </v>
      </c>
    </row>
    <row r="114">
      <c r="B114" s="6" t="str">
        <f>IFERROR(__xludf.DUMMYFUNCTION("""COMPUTED_VALUE"""),"Specialists and managers, executive search, interim search, career advice, 
coaching")</f>
        <v>Specialists and managers, executive search, interim search, career advice, 
coaching</v>
      </c>
    </row>
    <row r="115">
      <c r="B115" s="6" t="str">
        <f>IFERROR(__xludf.DUMMYFUNCTION("""COMPUTED_VALUE""")," DE-Ravensburg ")</f>
        <v> DE-Ravensburg </v>
      </c>
    </row>
    <row r="116">
      <c r="B116" s="6" t="str">
        <f>IFERROR(__xludf.DUMMYFUNCTION("""COMPUTED_VALUE""")," CSEM AG ")</f>
        <v> CSEM AG </v>
      </c>
    </row>
    <row r="117">
      <c r="B117" s="6" t="str">
        <f>IFERROR(__xludf.DUMMYFUNCTION("""COMPUTED_VALUE""")," Devices, Data ")</f>
        <v> Devices, Data </v>
      </c>
    </row>
    <row r="118">
      <c r="B118" s="6" t="str">
        <f>IFERROR(__xludf.DUMMYFUNCTION("""COMPUTED_VALUE"""),"Sample preparation, Microfluidics, Biosensors and signal readout,  IVD, 
Laboratory automation, Medical Wearables, Tissue Engineering")</f>
        <v>Sample preparation, Microfluidics, Biosensors and signal readout,  IVD, 
Laboratory automation, Medical Wearables, Tissue Engineering</v>
      </c>
    </row>
    <row r="119">
      <c r="B119" s="6" t="str">
        <f>IFERROR(__xludf.DUMMYFUNCTION("""COMPUTED_VALUE""")," CH-Landquart ")</f>
        <v> CH-Landquart </v>
      </c>
    </row>
    <row r="120">
      <c r="B120" s="6" t="str">
        <f>IFERROR(__xludf.DUMMYFUNCTION("""COMPUTED_VALUE""")," deepmentation UG ")</f>
        <v> deepmentation UG </v>
      </c>
    </row>
    <row r="121">
      <c r="B121" s="6" t="str">
        <f>IFERROR(__xludf.DUMMYFUNCTION("""COMPUTED_VALUE""")," Data, Diagnostics ")</f>
        <v> Data, Diagnostics </v>
      </c>
    </row>
    <row r="122">
      <c r="B122" s="6" t="str">
        <f>IFERROR(__xludf.DUMMYFUNCTION("""COMPUTED_VALUE"""),"Software deveopment, laboratory automation, artificial intelligence, image 
processing, document recognition")</f>
        <v>Software deveopment, laboratory automation, artificial intelligence, image 
processing, document recognition</v>
      </c>
    </row>
    <row r="123">
      <c r="B123" s="6" t="str">
        <f>IFERROR(__xludf.DUMMYFUNCTION("""COMPUTED_VALUE""")," DE-Leipzig ")</f>
        <v> DE-Leipzig </v>
      </c>
    </row>
    <row r="124">
      <c r="B124" s="6" t="str">
        <f>IFERROR(__xludf.DUMMYFUNCTION("""COMPUTED_VALUE""")," Dermagnostix GmbH ")</f>
        <v> Dermagnostix GmbH </v>
      </c>
    </row>
    <row r="125">
      <c r="B125" s="6" t="str">
        <f>IFERROR(__xludf.DUMMYFUNCTION("""COMPUTED_VALUE""")," Diagnostics, Devices, Data ")</f>
        <v> Diagnostics, Devices, Data </v>
      </c>
    </row>
    <row r="126">
      <c r="B126" s="6" t="str">
        <f>IFERROR(__xludf.DUMMYFUNCTION("""COMPUTED_VALUE"""),"Molecular diagnostics, dermatology")</f>
        <v>Molecular diagnostics, dermatology</v>
      </c>
    </row>
    <row r="127">
      <c r="B127" s="6" t="str">
        <f>IFERROR(__xludf.DUMMYFUNCTION("""COMPUTED_VALUE""")," DE-Freiburg i.Br. ")</f>
        <v> DE-Freiburg i.Br. </v>
      </c>
    </row>
    <row r="128">
      <c r="B128" s="6" t="str">
        <f>IFERROR(__xludf.DUMMYFUNCTION("""COMPUTED_VALUE""")," DIALUNOX GmbH ")</f>
        <v> DIALUNOX GmbH </v>
      </c>
    </row>
    <row r="129">
      <c r="B129" s="6" t="str">
        <f>IFERROR(__xludf.DUMMYFUNCTION("""COMPUTED_VALUE""")," Devices ")</f>
        <v> Devices </v>
      </c>
    </row>
    <row r="130">
      <c r="B130" s="6" t="str">
        <f>IFERROR(__xludf.DUMMYFUNCTION("""COMPUTED_VALUE"""),"Biosensensors, analysis, Lateral flow, OEM, Point-of-Care")</f>
        <v>Biosensensors, analysis, Lateral flow, OEM, Point-of-Care</v>
      </c>
    </row>
    <row r="131">
      <c r="B131" s="6" t="str">
        <f>IFERROR(__xludf.DUMMYFUNCTION("""COMPUTED_VALUE""")," DE-Stockach ")</f>
        <v> DE-Stockach </v>
      </c>
    </row>
    <row r="132">
      <c r="B132" s="6" t="str">
        <f>IFERROR(__xludf.DUMMYFUNCTION("""COMPUTED_VALUE""")," Dr. Mosetter Prinzip - falcento GmbH ")</f>
        <v> Dr. Mosetter Prinzip - falcento GmbH </v>
      </c>
    </row>
    <row r="133">
      <c r="B133" s="6" t="str">
        <f>IFERROR(__xludf.DUMMYFUNCTION("""COMPUTED_VALUE""")," Drugs &amp; Therapy ")</f>
        <v> Drugs &amp; Therapy </v>
      </c>
    </row>
    <row r="134">
      <c r="B134" s="6" t="str">
        <f>IFERROR(__xludf.DUMMYFUNCTION("""COMPUTED_VALUE"""),"Artificial sweeteners, Dietary supplement, Glycobiology, Metabolism")</f>
        <v>Artificial sweeteners, Dietary supplement, Glycobiology, Metabolism</v>
      </c>
    </row>
    <row r="135">
      <c r="B135" s="6" t="str">
        <f>IFERROR(__xludf.DUMMYFUNCTION("""COMPUTED_VALUE""")," DE-Konstanz ")</f>
        <v> DE-Konstanz </v>
      </c>
    </row>
    <row r="136">
      <c r="B136" s="6" t="str">
        <f>IFERROR(__xludf.DUMMYFUNCTION("""COMPUTED_VALUE""")," Dr. Risch Gruppe ")</f>
        <v> Dr. Risch Gruppe </v>
      </c>
    </row>
    <row r="137">
      <c r="B137" s="6" t="str">
        <f>IFERROR(__xludf.DUMMYFUNCTION("""COMPUTED_VALUE""")," Diagnostics ")</f>
        <v> Diagnostics </v>
      </c>
    </row>
    <row r="138">
      <c r="B138" s="6" t="str">
        <f>IFERROR(__xludf.DUMMYFUNCTION("""COMPUTED_VALUE"""),"Laboratory medicine, human genetics, microbiology, R&amp;D special analytics 
and clinical studies, digitalisation")</f>
        <v>Laboratory medicine, human genetics, microbiology, R&amp;D special analytics 
and clinical studies, digitalisation</v>
      </c>
    </row>
    <row r="139">
      <c r="B139" s="6" t="str">
        <f>IFERROR(__xludf.DUMMYFUNCTION("""COMPUTED_VALUE""")," CH-Buchs ")</f>
        <v> CH-Buchs </v>
      </c>
    </row>
    <row r="140">
      <c r="B140" s="6" t="str">
        <f>IFERROR(__xludf.DUMMYFUNCTION("""COMPUTED_VALUE""")," DRG Instruments GmbH ")</f>
        <v> DRG Instruments GmbH </v>
      </c>
    </row>
    <row r="141">
      <c r="B141" s="6" t="str">
        <f>IFERROR(__xludf.DUMMYFUNCTION("""COMPUTED_VALUE""")," Diagnostics ")</f>
        <v> Diagnostics </v>
      </c>
    </row>
    <row r="142">
      <c r="B142" s="6" t="str">
        <f>IFERROR(__xludf.DUMMYFUNCTION("""COMPUTED_VALUE"""),"CLIA, ELISA, Point-of-care diagnostics (POC), assay development, automation")</f>
        <v>CLIA, ELISA, Point-of-care diagnostics (POC), assay development, automation</v>
      </c>
    </row>
    <row r="143">
      <c r="B143" s="6" t="str">
        <f>IFERROR(__xludf.DUMMYFUNCTION("""COMPUTED_VALUE""")," DE-Marburg ")</f>
        <v> DE-Marburg </v>
      </c>
    </row>
    <row r="144">
      <c r="B144" s="6" t="str">
        <f>IFERROR(__xludf.DUMMYFUNCTION("""COMPUTED_VALUE""")," dsl ")</f>
        <v> dsl </v>
      </c>
    </row>
    <row r="145">
      <c r="B145" s="6" t="str">
        <f>IFERROR(__xludf.DUMMYFUNCTION("""COMPUTED_VALUE""")," Diagnostics, Devices, Drugs &amp; Therapy, Data ")</f>
        <v> Diagnostics, Devices, Drugs &amp; Therapy, Data </v>
      </c>
    </row>
    <row r="146">
      <c r="B146" s="6" t="str">
        <f>IFERROR(__xludf.DUMMYFUNCTION("""COMPUTED_VALUE"""),"Molecular diagnostics, PCR test development, validation, veterinary 
medicine, genetics")</f>
        <v>Molecular diagnostics, PCR test development, validation, veterinary 
medicine, genetics</v>
      </c>
    </row>
    <row r="147">
      <c r="B147" s="6" t="str">
        <f>IFERROR(__xludf.DUMMYFUNCTION("""COMPUTED_VALUE""")," DE-Eriskirch ")</f>
        <v> DE-Eriskirch </v>
      </c>
    </row>
    <row r="148">
      <c r="B148" s="6" t="str">
        <f>IFERROR(__xludf.DUMMYFUNCTION("""COMPUTED_VALUE""")," Effectum Medical AG ")</f>
        <v> Effectum Medical AG </v>
      </c>
    </row>
    <row r="149">
      <c r="B149" s="6" t="str">
        <f>IFERROR(__xludf.DUMMYFUNCTION("""COMPUTED_VALUE""")," Diagnostics, Devices ")</f>
        <v> Diagnostics, Devices </v>
      </c>
    </row>
    <row r="150">
      <c r="B150" s="6" t="str">
        <f>IFERROR(__xludf.DUMMYFUNCTION("""COMPUTED_VALUE"""),"Quality Management, CE Certification, Regulatory Affairs, Product 
Development, Commercialization")</f>
        <v>Quality Management, CE Certification, Regulatory Affairs, Product 
Development, Commercialization</v>
      </c>
    </row>
    <row r="151">
      <c r="B151" s="6" t="str">
        <f>IFERROR(__xludf.DUMMYFUNCTION("""COMPUTED_VALUE""")," CH-Olten ")</f>
        <v> CH-Olten </v>
      </c>
    </row>
    <row r="152">
      <c r="B152" s="6" t="str">
        <f>IFERROR(__xludf.DUMMYFUNCTION("""COMPUTED_VALUE""")," EMC² Lake Constance ")</f>
        <v> EMC² Lake Constance </v>
      </c>
    </row>
    <row r="153">
      <c r="B153" s="6" t="str">
        <f>IFERROR(__xludf.DUMMYFUNCTION("""COMPUTED_VALUE""")," Diagnostics ")</f>
        <v> Diagnostics </v>
      </c>
    </row>
    <row r="154">
      <c r="B154" s="6" t="str">
        <f>IFERROR(__xludf.DUMMYFUNCTION("""COMPUTED_VALUE"""),"Process / Strategy Analysis, Change/Interimsmanagement, Content-Marketing, 
Leadership 4.0")</f>
        <v>Process / Strategy Analysis, Change/Interimsmanagement, Content-Marketing, 
Leadership 4.0</v>
      </c>
    </row>
    <row r="155">
      <c r="B155" s="6" t="str">
        <f>IFERROR(__xludf.DUMMYFUNCTION("""COMPUTED_VALUE""")," DE-Überlingen ")</f>
        <v> DE-Überlingen </v>
      </c>
    </row>
    <row r="156">
      <c r="B156" s="6" t="str">
        <f>IFERROR(__xludf.DUMMYFUNCTION("""COMPUTED_VALUE""")," Empa - Departement Materials meet Life ")</f>
        <v> Empa - Departement Materials meet Life </v>
      </c>
    </row>
    <row r="157">
      <c r="B157" s="6" t="str">
        <f>IFERROR(__xludf.DUMMYFUNCTION("""COMPUTED_VALUE""")," Diagnostics, Devices ")</f>
        <v> Diagnostics, Devices </v>
      </c>
    </row>
    <row r="158">
      <c r="B158" s="6" t="str">
        <f>IFERROR(__xludf.DUMMYFUNCTION("""COMPUTED_VALUE"""),"Functional Materials and Surfaces, Materials-Biology Interaction, 
Biointerfaces, X-ray Analytics, Nanoparticles")</f>
        <v>Functional Materials and Surfaces, Materials-Biology Interaction, 
Biointerfaces, X-ray Analytics, Nanoparticles</v>
      </c>
    </row>
    <row r="159">
      <c r="B159" s="6" t="str">
        <f>IFERROR(__xludf.DUMMYFUNCTION("""COMPUTED_VALUE""")," CH-St. Gallen ")</f>
        <v> CH-St. Gallen </v>
      </c>
    </row>
    <row r="160">
      <c r="B160" s="6" t="str">
        <f>IFERROR(__xludf.DUMMYFUNCTION("""COMPUTED_VALUE""")," EquipNet, Inc. ")</f>
        <v> EquipNet, Inc. </v>
      </c>
    </row>
    <row r="161">
      <c r="B161" s="6" t="str">
        <f>IFERROR(__xludf.DUMMYFUNCTION("""COMPUTED_VALUE""")," Devices ")</f>
        <v> Devices </v>
      </c>
    </row>
    <row r="162">
      <c r="B162" s="6" t="str">
        <f>IFERROR(__xludf.DUMMYFUNCTION("""COMPUTED_VALUE"""),"Appraisals, Asset Redeployment Management System- ARMS, Auctions, Computer 
Equipment Value Recovery, Global Consignment, Lab Relocation Management, 
Own It Now, Proactive Asset Sales, Procurement, Project Management, Site 
Closure Management, Worldwide L"&amp;"ogistics")</f>
        <v>Appraisals, Asset Redeployment Management System- ARMS, Auctions, Computer 
Equipment Value Recovery, Global Consignment, Lab Relocation Management, 
Own It Now, Proactive Asset Sales, Procurement, Project Management, Site 
Closure Management, Worldwide Logistics</v>
      </c>
    </row>
    <row r="163">
      <c r="B163" s="6" t="str">
        <f>IFERROR(__xludf.DUMMYFUNCTION("""COMPUTED_VALUE""")," DE-Bridgend, South Wales ")</f>
        <v> DE-Bridgend, South Wales </v>
      </c>
    </row>
    <row r="164">
      <c r="B164" s="6" t="str">
        <f>IFERROR(__xludf.DUMMYFUNCTION("""COMPUTED_VALUE""")," ETO GRUPPE ")</f>
        <v> ETO GRUPPE </v>
      </c>
    </row>
    <row r="165">
      <c r="B165" s="6" t="str">
        <f>IFERROR(__xludf.DUMMYFUNCTION("""COMPUTED_VALUE""")," Devices, Data ")</f>
        <v> Devices, Data </v>
      </c>
    </row>
    <row r="166">
      <c r="B166" s="6" t="str">
        <f>IFERROR(__xludf.DUMMYFUNCTION("""COMPUTED_VALUE"""),"Mobility, automotive engineering, industrial plants, medical technology, 
software, sensors, e-health, robotics, microsystems technology, micropump 
systems")</f>
        <v>Mobility, automotive engineering, industrial plants, medical technology, 
software, sensors, e-health, robotics, microsystems technology, micropump 
systems</v>
      </c>
    </row>
    <row r="167">
      <c r="B167" s="6" t="str">
        <f>IFERROR(__xludf.DUMMYFUNCTION("""COMPUTED_VALUE""")," DE-Stockach ")</f>
        <v> DE-Stockach </v>
      </c>
    </row>
    <row r="168">
      <c r="B168" s="6" t="str">
        <f>IFERROR(__xludf.DUMMYFUNCTION("""COMPUTED_VALUE""")," EUGENEX Biotechnologies GmbH ")</f>
        <v> EUGENEX Biotechnologies GmbH </v>
      </c>
    </row>
    <row r="169">
      <c r="B169" s="6" t="str">
        <f>IFERROR(__xludf.DUMMYFUNCTION("""COMPUTED_VALUE""")," Drugs &amp; Therapy ")</f>
        <v> Drugs &amp; Therapy </v>
      </c>
    </row>
    <row r="170">
      <c r="B170" s="6" t="str">
        <f>IFERROR(__xludf.DUMMYFUNCTION("""COMPUTED_VALUE"""),"Cell lines, fermentation, protein purification, bipharmaceuticals")</f>
        <v>Cell lines, fermentation, protein purification, bipharmaceuticals</v>
      </c>
    </row>
    <row r="171">
      <c r="B171" s="6" t="str">
        <f>IFERROR(__xludf.DUMMYFUNCTION("""COMPUTED_VALUE""")," CH-Tägerwilen ")</f>
        <v> CH-Tägerwilen </v>
      </c>
    </row>
    <row r="172">
      <c r="B172" s="6" t="str">
        <f>IFERROR(__xludf.DUMMYFUNCTION("""COMPUTED_VALUE""")," Eurofins Genomics Europe Sequencing GmbH ")</f>
        <v> Eurofins Genomics Europe Sequencing GmbH </v>
      </c>
    </row>
    <row r="173">
      <c r="B173" s="6" t="str">
        <f>IFERROR(__xludf.DUMMYFUNCTION("""COMPUTED_VALUE""")," Diagnostics ")</f>
        <v> Diagnostics </v>
      </c>
    </row>
    <row r="174">
      <c r="B174" s="6" t="str">
        <f>IFERROR(__xludf.DUMMYFUNCTION("""COMPUTED_VALUE"""),"DNA Sequencing, Bioinformatic, Genetic, Genomic")</f>
        <v>DNA Sequencing, Bioinformatic, Genetic, Genomic</v>
      </c>
    </row>
    <row r="175">
      <c r="B175" s="6" t="str">
        <f>IFERROR(__xludf.DUMMYFUNCTION("""COMPUTED_VALUE""")," DE-Konstanz ")</f>
        <v> DE-Konstanz </v>
      </c>
    </row>
    <row r="176">
      <c r="B176" s="6" t="str">
        <f>IFERROR(__xludf.DUMMYFUNCTION("""COMPUTED_VALUE""")," EXPAND HealthCare Consulting GmbH ")</f>
        <v> EXPAND HealthCare Consulting GmbH </v>
      </c>
    </row>
    <row r="177">
      <c r="B177" s="6" t="str">
        <f>IFERROR(__xludf.DUMMYFUNCTION("""COMPUTED_VALUE""")," Diagnostics ")</f>
        <v> Diagnostics </v>
      </c>
    </row>
    <row r="178">
      <c r="B178" s="6" t="str">
        <f>IFERROR(__xludf.DUMMYFUNCTION("""COMPUTED_VALUE"""),"Business support, In-Vitro Diagnostics, Point of Care (POC), Consulting")</f>
        <v>Business support, In-Vitro Diagnostics, Point of Care (POC), Consulting</v>
      </c>
    </row>
    <row r="179">
      <c r="B179" s="6" t="str">
        <f>IFERROR(__xludf.DUMMYFUNCTION("""COMPUTED_VALUE""")," CH-Baar ")</f>
        <v> CH-Baar </v>
      </c>
    </row>
    <row r="180">
      <c r="B180" s="6" t="str">
        <f>IFERROR(__xludf.DUMMYFUNCTION("""COMPUTED_VALUE""")," eyeQ Instruments AG ")</f>
        <v> eyeQ Instruments AG </v>
      </c>
    </row>
    <row r="181">
      <c r="B181" s="6" t="str">
        <f>IFERROR(__xludf.DUMMYFUNCTION("""COMPUTED_VALUE""")," Diagnostics, Devices, Drugs &amp; Therapy, Data ")</f>
        <v> Diagnostics, Devices, Drugs &amp; Therapy, Data </v>
      </c>
    </row>
    <row r="182">
      <c r="B182" s="6" t="str">
        <f>IFERROR(__xludf.DUMMYFUNCTION("""COMPUTED_VALUE"""),"Laboratory and process automation, Customised design, Prototyping and 
product development, X-ray metrology, Optical metrology and spectroscopy 
,Medical devices, International distribution")</f>
        <v>Laboratory and process automation, Customised design, Prototyping and 
product development, X-ray metrology, Optical metrology and spectroscopy 
,Medical devices, International distribution</v>
      </c>
    </row>
    <row r="183">
      <c r="B183" s="6" t="str">
        <f>IFERROR(__xludf.DUMMYFUNCTION("""COMPUTED_VALUE""")," CH-Schwerzenbach ")</f>
        <v> CH-Schwerzenbach </v>
      </c>
    </row>
    <row r="184">
      <c r="B184" s="6" t="str">
        <f>IFERROR(__xludf.DUMMYFUNCTION("""COMPUTED_VALUE""")," Fluxergy Europe GmbH ")</f>
        <v> Fluxergy Europe GmbH </v>
      </c>
    </row>
    <row r="185">
      <c r="B185" s="6" t="str">
        <f>IFERROR(__xludf.DUMMYFUNCTION("""COMPUTED_VALUE""")," Diagnostics, Devices, Data ")</f>
        <v> Diagnostics, Devices, Data </v>
      </c>
    </row>
    <row r="186">
      <c r="B186" s="6" t="str">
        <f>IFERROR(__xludf.DUMMYFUNCTION("""COMPUTED_VALUE"""),"Point-of-care platform, POC, multimodal analysis, sensor systems, human 
diagnostics, veterinary medicine, food safety, environmental analytics")</f>
        <v>Point-of-care platform, POC, multimodal analysis, sensor systems, human 
diagnostics, veterinary medicine, food safety, environmental analytics</v>
      </c>
    </row>
    <row r="187">
      <c r="B187" s="6" t="str">
        <f>IFERROR(__xludf.DUMMYFUNCTION("""COMPUTED_VALUE""")," DE-Mainaschaff ")</f>
        <v> DE-Mainaschaff </v>
      </c>
    </row>
    <row r="188">
      <c r="B188" s="6" t="str">
        <f>IFERROR(__xludf.DUMMYFUNCTION("""COMPUTED_VALUE""")," Fraunhofer IGB ")</f>
        <v> Fraunhofer IGB </v>
      </c>
    </row>
    <row r="189">
      <c r="B189" s="6" t="str">
        <f>IFERROR(__xludf.DUMMYFUNCTION("""COMPUTED_VALUE""")," Diagnostics, Data ")</f>
        <v> Diagnostics, Data </v>
      </c>
    </row>
    <row r="190">
      <c r="B190" s="6" t="str">
        <f>IFERROR(__xludf.DUMMYFUNCTION("""COMPUTED_VALUE"""),"Molecular diagnostics, personalised medicine, biomaterials, tissue 
engineering, molecular biotechnology")</f>
        <v>Molecular diagnostics, personalised medicine, biomaterials, tissue 
engineering, molecular biotechnology</v>
      </c>
    </row>
    <row r="191">
      <c r="B191" s="6" t="str">
        <f>IFERROR(__xludf.DUMMYFUNCTION("""COMPUTED_VALUE""")," DE-Stuttgart ")</f>
        <v> DE-Stuttgart </v>
      </c>
    </row>
    <row r="192">
      <c r="B192" s="6" t="str">
        <f>IFERROR(__xludf.DUMMYFUNCTION("""COMPUTED_VALUE""")," friendlyDocs AG ")</f>
        <v> friendlyDocs AG </v>
      </c>
    </row>
    <row r="193">
      <c r="B193" s="6" t="str">
        <f>IFERROR(__xludf.DUMMYFUNCTION("""COMPUTED_VALUE""")," Diagnostics ")</f>
        <v> Diagnostics </v>
      </c>
    </row>
    <row r="194">
      <c r="B194" s="6" t="str">
        <f>IFERROR(__xludf.DUMMYFUNCTION("""COMPUTED_VALUE"""),"Metabolism Centre, Diabetlogy, End Criniology")</f>
        <v>Metabolism Centre, Diabetlogy, End Criniology</v>
      </c>
    </row>
    <row r="195">
      <c r="B195" s="6" t="str">
        <f>IFERROR(__xludf.DUMMYFUNCTION("""COMPUTED_VALUE""")," CH-St. Gallen ")</f>
        <v> CH-St. Gallen </v>
      </c>
    </row>
    <row r="196">
      <c r="B196" s="6" t="str">
        <f>IFERROR(__xludf.DUMMYFUNCTION("""COMPUTED_VALUE""")," Fritz Gyger AG ")</f>
        <v> Fritz Gyger AG </v>
      </c>
    </row>
    <row r="197">
      <c r="B197" s="6" t="str">
        <f>IFERROR(__xludf.DUMMYFUNCTION("""COMPUTED_VALUE""")," Devices, Diagnostics ")</f>
        <v> Devices, Diagnostics </v>
      </c>
    </row>
    <row r="198">
      <c r="B198" s="6" t="str">
        <f>IFERROR(__xludf.DUMMYFUNCTION("""COMPUTED_VALUE"""),"Microfluidics, liquid handling, liquid dispensers, microvalves, automation")</f>
        <v>Microfluidics, liquid handling, liquid dispensers, microvalves, automation</v>
      </c>
    </row>
    <row r="199">
      <c r="B199" s="6" t="str">
        <f>IFERROR(__xludf.DUMMYFUNCTION("""COMPUTED_VALUE""")," CH-Gwatt ")</f>
        <v> CH-Gwatt </v>
      </c>
    </row>
    <row r="200">
      <c r="B200" s="6" t="str">
        <f>IFERROR(__xludf.DUMMYFUNCTION("""COMPUTED_VALUE""")," GATTAquant GmbH ")</f>
        <v> GATTAquant GmbH </v>
      </c>
    </row>
    <row r="201">
      <c r="B201" s="6" t="str">
        <f>IFERROR(__xludf.DUMMYFUNCTION("""COMPUTED_VALUE""")," Diagnostics ")</f>
        <v> Diagnostics </v>
      </c>
    </row>
    <row r="202">
      <c r="B202" s="6" t="str">
        <f>IFERROR(__xludf.DUMMYFUNCTION("""COMPUTED_VALUE"""),"Fluorescence, Nanotechnology, Ultrasensitive Detection, Conjugation of 
biomolecules")</f>
        <v>Fluorescence, Nanotechnology, Ultrasensitive Detection, Conjugation of 
biomolecules</v>
      </c>
    </row>
    <row r="203">
      <c r="B203" s="6" t="str">
        <f>IFERROR(__xludf.DUMMYFUNCTION("""COMPUTED_VALUE""")," DE-Hiltpoltstein ")</f>
        <v> DE-Hiltpoltstein </v>
      </c>
    </row>
    <row r="204">
      <c r="B204" s="6" t="str">
        <f>IFERROR(__xludf.DUMMYFUNCTION("""COMPUTED_VALUE""")," Gesundheitsverbund Landkreis Konstanz (GLKN) ")</f>
        <v> Gesundheitsverbund Landkreis Konstanz (GLKN) </v>
      </c>
    </row>
    <row r="205">
      <c r="B205" s="6" t="str">
        <f>IFERROR(__xludf.DUMMYFUNCTION("""COMPUTED_VALUE""")," Diagnostics, Drugs &amp; Therapy ")</f>
        <v> Diagnostics, Drugs &amp; Therapy </v>
      </c>
    </row>
    <row r="206">
      <c r="B206" s="6" t="str">
        <f>IFERROR(__xludf.DUMMYFUNCTION("""COMPUTED_VALUE"""),"Internal medicine. Neurology, Oncology, Orthopaedics/ Trauma Surgery, 
Visceral Surgery")</f>
        <v>Internal medicine. Neurology, Oncology, Orthopaedics/ Trauma Surgery, 
Visceral Surgery</v>
      </c>
    </row>
    <row r="207">
      <c r="B207" s="6" t="str">
        <f>IFERROR(__xludf.DUMMYFUNCTION("""COMPUTED_VALUE""")," DE-Singen ")</f>
        <v> DE-Singen </v>
      </c>
    </row>
    <row r="208">
      <c r="B208" s="6" t="str">
        <f>IFERROR(__xludf.DUMMYFUNCTION("""COMPUTED_VALUE""")," Hahn-Schickard-Gesellschaft für angewandte Forschung e.V. ")</f>
        <v> Hahn-Schickard-Gesellschaft für angewandte Forschung e.V. </v>
      </c>
    </row>
    <row r="209">
      <c r="B209" s="6" t="str">
        <f>IFERROR(__xludf.DUMMYFUNCTION("""COMPUTED_VALUE""")," Devices, Diagnostics ")</f>
        <v> Devices, Diagnostics </v>
      </c>
    </row>
    <row r="210">
      <c r="B210" s="6" t="str">
        <f>IFERROR(__xludf.DUMMYFUNCTION("""COMPUTED_VALUE"""),"lab-on-a-chip, medical devices, microsystems engineering, 
point-of-care-diagnostics, sensor technology, assay development")</f>
        <v>lab-on-a-chip, medical devices, microsystems engineering, 
point-of-care-diagnostics, sensor technology, assay development</v>
      </c>
    </row>
    <row r="211">
      <c r="B211" s="6" t="str">
        <f>IFERROR(__xludf.DUMMYFUNCTION("""COMPUTED_VALUE""")," DE-Freiburg ")</f>
        <v> DE-Freiburg </v>
      </c>
    </row>
    <row r="212">
      <c r="B212" s="6" t="str">
        <f>IFERROR(__xludf.DUMMYFUNCTION("""COMPUTED_VALUE""")," Hegau-Bodensee-Klinikum Singen ")</f>
        <v> Hegau-Bodensee-Klinikum Singen </v>
      </c>
    </row>
    <row r="213">
      <c r="B213" s="6" t="str">
        <f>IFERROR(__xludf.DUMMYFUNCTION("""COMPUTED_VALUE""")," Diagnostics, Drugs &amp; Therapy ")</f>
        <v> Diagnostics, Drugs &amp; Therapy </v>
      </c>
    </row>
    <row r="214">
      <c r="B214" s="6" t="str">
        <f>IFERROR(__xludf.DUMMYFUNCTION("""COMPUTED_VALUE"""),"IInternal medicine, neurology, oncology, orthopaedics/trauma surgery, 
visceral surgery")</f>
        <v>IInternal medicine, neurology, oncology, orthopaedics/trauma surgery, 
visceral surgery</v>
      </c>
    </row>
    <row r="215">
      <c r="B215" s="6" t="str">
        <f>IFERROR(__xludf.DUMMYFUNCTION("""COMPUTED_VALUE""")," DE-Singen ")</f>
        <v> DE-Singen </v>
      </c>
    </row>
    <row r="216">
      <c r="B216" s="6" t="str">
        <f>IFERROR(__xludf.DUMMYFUNCTION("""COMPUTED_VALUE""")," Hochschule Albstadt-Sigmaringen ")</f>
        <v> Hochschule Albstadt-Sigmaringen </v>
      </c>
    </row>
    <row r="217">
      <c r="B217" s="6" t="str">
        <f>IFERROR(__xludf.DUMMYFUNCTION("""COMPUTED_VALUE""")," Diagnostics, Data ")</f>
        <v> Diagnostics, Data </v>
      </c>
    </row>
    <row r="218">
      <c r="B218" s="6" t="str">
        <f>IFERROR(__xludf.DUMMYFUNCTION("""COMPUTED_VALUE"""),"Diagnostics, Hygiene, Medical Science ,nutrition, pharmaceutical engineering")</f>
        <v>Diagnostics, Hygiene, Medical Science ,nutrition, pharmaceutical engineering</v>
      </c>
    </row>
    <row r="219">
      <c r="B219" s="6" t="str">
        <f>IFERROR(__xludf.DUMMYFUNCTION("""COMPUTED_VALUE""")," DE-Sigmaringen ")</f>
        <v> DE-Sigmaringen </v>
      </c>
    </row>
    <row r="220">
      <c r="B220" s="6" t="str">
        <f>IFERROR(__xludf.DUMMYFUNCTION("""COMPUTED_VALUE""")," Hochschule Biberach - Fakultät Biotechnologie ")</f>
        <v> Hochschule Biberach - Fakultät Biotechnologie </v>
      </c>
    </row>
    <row r="221">
      <c r="B221" s="6" t="str">
        <f>IFERROR(__xludf.DUMMYFUNCTION("""COMPUTED_VALUE""")," Drugs &amp; Therapy ")</f>
        <v> Drugs &amp; Therapy </v>
      </c>
    </row>
    <row r="222">
      <c r="B222" s="6" t="str">
        <f>IFERROR(__xludf.DUMMYFUNCTION("""COMPUTED_VALUE"""),"Biopharmaceuticals, bioprocess development, biocatalysis, process 
engineering")</f>
        <v>Biopharmaceuticals, bioprocess development, biocatalysis, process 
engineering</v>
      </c>
    </row>
    <row r="223">
      <c r="B223" s="6" t="str">
        <f>IFERROR(__xludf.DUMMYFUNCTION("""COMPUTED_VALUE""")," DE-Biberach ")</f>
        <v> DE-Biberach </v>
      </c>
    </row>
    <row r="224">
      <c r="B224" s="6" t="str">
        <f>IFERROR(__xludf.DUMMYFUNCTION("""COMPUTED_VALUE""")," Hochschule Furtwangen University (HFU) ")</f>
        <v> Hochschule Furtwangen University (HFU) </v>
      </c>
    </row>
    <row r="225">
      <c r="B225" s="6" t="str">
        <f>IFERROR(__xludf.DUMMYFUNCTION("""COMPUTED_VALUE""")," Diagnostics ")</f>
        <v> Diagnostics </v>
      </c>
    </row>
    <row r="226">
      <c r="B226" s="6" t="str">
        <f>IFERROR(__xludf.DUMMYFUNCTION("""COMPUTED_VALUE"""),"Bioenergy, Bioprocess Engineering and Analytics, Biotechnology, 
Diagnostics, Medical Engineering")</f>
        <v>Bioenergy, Bioprocess Engineering and Analytics, Biotechnology, 
Diagnostics, Medical Engineering</v>
      </c>
    </row>
    <row r="227">
      <c r="B227" s="6" t="str">
        <f>IFERROR(__xludf.DUMMYFUNCTION("""COMPUTED_VALUE""")," DE-VS-Schwenningen ")</f>
        <v> DE-VS-Schwenningen </v>
      </c>
    </row>
    <row r="228">
      <c r="B228" s="6" t="str">
        <f>IFERROR(__xludf.DUMMYFUNCTION("""COMPUTED_VALUE""")," Hochschule Konstanz Technik, Wirtschaft und Gestaltung ")</f>
        <v> Hochschule Konstanz Technik, Wirtschaft und Gestaltung </v>
      </c>
    </row>
    <row r="229">
      <c r="B229" s="6" t="str">
        <f>IFERROR(__xludf.DUMMYFUNCTION("""COMPUTED_VALUE""")," Data ")</f>
        <v> Data </v>
      </c>
    </row>
    <row r="230">
      <c r="B230" s="6" t="str">
        <f>IFERROR(__xludf.DUMMYFUNCTION("""COMPUTED_VALUE"""),"Health informatics, health economics, software development, system 
development")</f>
        <v>Health informatics, health economics, software development, system 
development</v>
      </c>
    </row>
    <row r="231">
      <c r="B231" s="6" t="str">
        <f>IFERROR(__xludf.DUMMYFUNCTION("""COMPUTED_VALUE""")," DE-Konstanz ")</f>
        <v> DE-Konstanz </v>
      </c>
    </row>
    <row r="232">
      <c r="B232" s="6" t="str">
        <f>IFERROR(__xludf.DUMMYFUNCTION("""COMPUTED_VALUE""")," Hochschule Ravensburg-Weingarten (RWU) ")</f>
        <v> Hochschule Ravensburg-Weingarten (RWU) </v>
      </c>
    </row>
    <row r="233">
      <c r="B233" s="6" t="str">
        <f>IFERROR(__xludf.DUMMYFUNCTION("""COMPUTED_VALUE""")," Diagnostics, Devices, Drugs &amp; Therapy, Data ")</f>
        <v> Diagnostics, Devices, Drugs &amp; Therapy, Data </v>
      </c>
    </row>
    <row r="234">
      <c r="B234" s="6" t="str">
        <f>IFERROR(__xludf.DUMMYFUNCTION("""COMPUTED_VALUE"""),"Environmental analytics, care robotics, optical systems engineering, health 
economics, digitalisation")</f>
        <v>Environmental analytics, care robotics, optical systems engineering, health 
economics, digitalisation</v>
      </c>
    </row>
    <row r="235">
      <c r="B235" s="6" t="str">
        <f>IFERROR(__xludf.DUMMYFUNCTION("""COMPUTED_VALUE""")," DE-Weingarten ")</f>
        <v> DE-Weingarten </v>
      </c>
    </row>
    <row r="236">
      <c r="B236" s="6" t="str">
        <f>IFERROR(__xludf.DUMMYFUNCTION("""COMPUTED_VALUE""")," House of Lab Science ")</f>
        <v> House of Lab Science </v>
      </c>
    </row>
    <row r="237">
      <c r="B237" s="6" t="str">
        <f>IFERROR(__xludf.DUMMYFUNCTION("""COMPUTED_VALUE""")," Diagnostics, Devices, Drugs &amp; Therapy, Data ")</f>
        <v> Diagnostics, Devices, Drugs &amp; Therapy, Data </v>
      </c>
    </row>
    <row r="238">
      <c r="B238" s="6" t="str">
        <f>IFERROR(__xludf.DUMMYFUNCTION("""COMPUTED_VALUE"""),"Biobanking, Laboratory space, Lab as a Service, Serviced Lab Space, Further 
Education Programs, Events, Community building, Networking")</f>
        <v>Biobanking, Laboratory space, Lab as a Service, Serviced Lab Space, Further 
Education Programs, Events, Community building, Networking</v>
      </c>
    </row>
    <row r="239">
      <c r="B239" s="6" t="str">
        <f>IFERROR(__xludf.DUMMYFUNCTION("""COMPUTED_VALUE""")," CH-Hombrechtikon ")</f>
        <v> CH-Hombrechtikon </v>
      </c>
    </row>
    <row r="240">
      <c r="B240" s="6" t="str">
        <f>IFERROR(__xludf.DUMMYFUNCTION("""COMPUTED_VALUE""")," HS-Analysis GmbH ")</f>
        <v> HS-Analysis GmbH </v>
      </c>
    </row>
    <row r="241">
      <c r="B241" s="6" t="str">
        <f>IFERROR(__xludf.DUMMYFUNCTION("""COMPUTED_VALUE""")," Diagnostics, Data ")</f>
        <v> Diagnostics, Data </v>
      </c>
    </row>
    <row r="242">
      <c r="B242" s="6" t="str">
        <f>IFERROR(__xludf.DUMMYFUNCTION("""COMPUTED_VALUE"""),"Pharma research, design thinking, process optimization, software 
development, server management")</f>
        <v>Pharma research, design thinking, process optimization, software 
development, server management</v>
      </c>
    </row>
    <row r="243">
      <c r="B243" s="6" t="str">
        <f>IFERROR(__xludf.DUMMYFUNCTION("""COMPUTED_VALUE""")," DE-Eggenstein-Leopoldshafen ")</f>
        <v> DE-Eggenstein-Leopoldshafen </v>
      </c>
    </row>
    <row r="244">
      <c r="B244" s="6" t="str">
        <f>IFERROR(__xludf.DUMMYFUNCTION("""COMPUTED_VALUE""")," IMT AG ")</f>
        <v> IMT AG </v>
      </c>
    </row>
    <row r="245">
      <c r="B245" s="6" t="str">
        <f>IFERROR(__xludf.DUMMYFUNCTION("""COMPUTED_VALUE""")," Devices, Data ")</f>
        <v> Devices, Data </v>
      </c>
    </row>
    <row r="246">
      <c r="B246" s="6" t="str">
        <f>IFERROR(__xludf.DUMMYFUNCTION("""COMPUTED_VALUE"""),"Medical devices, systems and software applications, regulatory affairs, 
product development services")</f>
        <v>Medical devices, systems and software applications, regulatory affairs, 
product development services</v>
      </c>
    </row>
    <row r="247">
      <c r="B247" s="6" t="str">
        <f>IFERROR(__xludf.DUMMYFUNCTION("""COMPUTED_VALUE""")," CH-Buchs SG ")</f>
        <v> CH-Buchs SG </v>
      </c>
    </row>
    <row r="248">
      <c r="B248" s="6" t="str">
        <f>IFERROR(__xludf.DUMMYFUNCTION("""COMPUTED_VALUE""")," Innotas AG ")</f>
        <v> Innotas AG </v>
      </c>
    </row>
    <row r="249">
      <c r="B249" s="6" t="str">
        <f>IFERROR(__xludf.DUMMYFUNCTION("""COMPUTED_VALUE""")," Devices ")</f>
        <v> Devices </v>
      </c>
    </row>
    <row r="250">
      <c r="B250" s="6" t="str">
        <f>IFERROR(__xludf.DUMMYFUNCTION("""COMPUTED_VALUE"""),"Medical technology, medical devices, first aid, consumables, innovation")</f>
        <v>Medical technology, medical devices, first aid, consumables, innovation</v>
      </c>
    </row>
    <row r="251">
      <c r="B251" s="6" t="str">
        <f>IFERROR(__xludf.DUMMYFUNCTION("""COMPUTED_VALUE""")," CH-Tägerwilen ")</f>
        <v> CH-Tägerwilen </v>
      </c>
    </row>
    <row r="252">
      <c r="B252" s="6" t="str">
        <f>IFERROR(__xludf.DUMMYFUNCTION("""COMPUTED_VALUE""")," Innovendia Consulting Services ")</f>
        <v> Innovendia Consulting Services </v>
      </c>
    </row>
    <row r="253">
      <c r="B253" s="6" t="str">
        <f>IFERROR(__xludf.DUMMYFUNCTION("""COMPUTED_VALUE""")," Diagnostics, Devices ")</f>
        <v> Diagnostics, Devices </v>
      </c>
    </row>
    <row r="254">
      <c r="B254" s="6" t="str">
        <f>IFERROR(__xludf.DUMMYFUNCTION("""COMPUTED_VALUE"""),"Biotechnology, Diagnostics and analytics, Medical technology")</f>
        <v>Biotechnology, Diagnostics and analytics, Medical technology</v>
      </c>
    </row>
    <row r="255">
      <c r="B255" s="6" t="str">
        <f>IFERROR(__xludf.DUMMYFUNCTION("""COMPUTED_VALUE""")," DE-Owingen / Lake Constance ")</f>
        <v> DE-Owingen / Lake Constance </v>
      </c>
    </row>
    <row r="256">
      <c r="B256" s="6" t="str">
        <f>IFERROR(__xludf.DUMMYFUNCTION("""COMPUTED_VALUE""")," Investa Asset Services GmbH ")</f>
        <v> Investa Asset Services GmbH </v>
      </c>
    </row>
    <row r="257">
      <c r="B257" s="6" t="str">
        <f>IFERROR(__xludf.DUMMYFUNCTION("""COMPUTED_VALUE""")," Diagnostics, Devices, Drugs &amp; Therapy, Data ")</f>
        <v> Diagnostics, Devices, Drugs &amp; Therapy, Data </v>
      </c>
    </row>
    <row r="258">
      <c r="B258" s="6" t="str">
        <f>IFERROR(__xludf.DUMMYFUNCTION("""COMPUTED_VALUE"""),"Commercial and residential construction, real estate industry, laboratory 
space providers, e-shelter security, facility management")</f>
        <v>Commercial and residential construction, real estate industry, laboratory 
space providers, e-shelter security, facility management</v>
      </c>
    </row>
    <row r="259">
      <c r="B259" s="6" t="str">
        <f>IFERROR(__xludf.DUMMYFUNCTION("""COMPUTED_VALUE""")," DE-Konstanz ")</f>
        <v> DE-Konstanz </v>
      </c>
    </row>
    <row r="260">
      <c r="B260" s="6" t="str">
        <f>IFERROR(__xludf.DUMMYFUNCTION("""COMPUTED_VALUE""")," jetzt-GmbH ")</f>
        <v> jetzt-GmbH </v>
      </c>
    </row>
    <row r="261">
      <c r="B261" s="6" t="str">
        <f>IFERROR(__xludf.DUMMYFUNCTION("""COMPUTED_VALUE""")," Devices ")</f>
        <v> Devices </v>
      </c>
    </row>
    <row r="262">
      <c r="B262" s="6" t="str">
        <f>IFERROR(__xludf.DUMMYFUNCTION("""COMPUTED_VALUE"""),"Prototype construction, feasibility studies, product development, 
construction for special machines")</f>
        <v>Prototype construction, feasibility studies, product development, 
construction for special machines</v>
      </c>
    </row>
    <row r="263">
      <c r="B263" s="6" t="str">
        <f>IFERROR(__xludf.DUMMYFUNCTION("""COMPUTED_VALUE""")," DE-Konstanz ")</f>
        <v> DE-Konstanz </v>
      </c>
    </row>
    <row r="264">
      <c r="B264" s="6" t="str">
        <f>IFERROR(__xludf.DUMMYFUNCTION("""COMPUTED_VALUE""")," Johner Institut GmbH ")</f>
        <v> Johner Institut GmbH </v>
      </c>
    </row>
    <row r="265">
      <c r="B265" s="6" t="str">
        <f>IFERROR(__xludf.DUMMYFUNCTION("""COMPUTED_VALUE""")," Diagnostics, Devices ")</f>
        <v> Diagnostics, Devices </v>
      </c>
    </row>
    <row r="266">
      <c r="B266" s="6" t="str">
        <f>IFERROR(__xludf.DUMMYFUNCTION("""COMPUTED_VALUE"""),"Regulatory affairs, market authorization, development, quality management 
(QM), IT, clinical evaluation")</f>
        <v>Regulatory affairs, market authorization, development, quality management 
(QM), IT, clinical evaluation</v>
      </c>
    </row>
    <row r="267">
      <c r="B267" s="6" t="str">
        <f>IFERROR(__xludf.DUMMYFUNCTION("""COMPUTED_VALUE""")," DE-Konstanz ")</f>
        <v> DE-Konstanz </v>
      </c>
    </row>
    <row r="268">
      <c r="B268" s="6" t="str">
        <f>IFERROR(__xludf.DUMMYFUNCTION("""COMPUTED_VALUE""")," Kammerer Medical Group ")</f>
        <v> Kammerer Medical Group </v>
      </c>
    </row>
    <row r="269">
      <c r="B269" s="6" t="str">
        <f>IFERROR(__xludf.DUMMYFUNCTION("""COMPUTED_VALUE""")," Devices ")</f>
        <v> Devices </v>
      </c>
    </row>
    <row r="270">
      <c r="B270" s="6" t="str">
        <f>IFERROR(__xludf.DUMMYFUNCTION("""COMPUTED_VALUE"""),"Supplier surgical instruments and instrument sets, MDR-compliant 
manufacturing documentation also as software as a service for third parties")</f>
        <v>Supplier surgical instruments and instrument sets, MDR-compliant 
manufacturing documentation also as software as a service for third parties</v>
      </c>
    </row>
    <row r="271">
      <c r="B271" s="6" t="str">
        <f>IFERROR(__xludf.DUMMYFUNCTION("""COMPUTED_VALUE""")," DE-Stockach ")</f>
        <v> DE-Stockach </v>
      </c>
    </row>
    <row r="272">
      <c r="B272" s="6" t="str">
        <f>IFERROR(__xludf.DUMMYFUNCTION("""COMPUTED_VALUE""")," Kantonsschule Kreuzlingen ")</f>
        <v> Kantonsschule Kreuzlingen </v>
      </c>
    </row>
    <row r="273">
      <c r="B273" s="6" t="str">
        <f>IFERROR(__xludf.DUMMYFUNCTION("""COMPUTED_VALUE""")," Diagnostics, Devices, Drugs &amp; Therapy, Data ")</f>
        <v> Diagnostics, Devices, Drugs &amp; Therapy, Data </v>
      </c>
    </row>
    <row r="274">
      <c r="B274" s="6" t="str">
        <f>IFERROR(__xludf.DUMMYFUNCTION("""COMPUTED_VALUE"""),"Natural sciences, school, computer science, education, MINT")</f>
        <v>Natural sciences, school, computer science, education, MINT</v>
      </c>
    </row>
    <row r="275">
      <c r="B275" s="6" t="str">
        <f>IFERROR(__xludf.DUMMYFUNCTION("""COMPUTED_VALUE""")," CH-Kreuzlingen ")</f>
        <v> CH-Kreuzlingen </v>
      </c>
    </row>
    <row r="276">
      <c r="B276" s="6" t="str">
        <f>IFERROR(__xludf.DUMMYFUNCTION("""COMPUTED_VALUE""")," Karrer &amp; Viellieber GmbH ")</f>
        <v> Karrer &amp; Viellieber GmbH </v>
      </c>
    </row>
    <row r="277">
      <c r="B277" s="6" t="str">
        <f>IFERROR(__xludf.DUMMYFUNCTION("""COMPUTED_VALUE""")," Diagnostics, Devices, Drugs &amp; Therapy, Data ")</f>
        <v> Diagnostics, Devices, Drugs &amp; Therapy, Data </v>
      </c>
    </row>
    <row r="278">
      <c r="B278" s="6" t="str">
        <f>IFERROR(__xludf.DUMMYFUNCTION("""COMPUTED_VALUE"""),"Auditing, tax consultancy, annual financial statements, payroll accounting, 
financial accounting")</f>
        <v>Auditing, tax consultancy, annual financial statements, payroll accounting, 
financial accounting</v>
      </c>
    </row>
    <row r="279">
      <c r="B279" s="6" t="str">
        <f>IFERROR(__xludf.DUMMYFUNCTION("""COMPUTED_VALUE""")," DE-Konstanz ")</f>
        <v> DE-Konstanz </v>
      </c>
    </row>
    <row r="280">
      <c r="B280" s="6" t="str">
        <f>IFERROR(__xludf.DUMMYFUNCTION("""COMPUTED_VALUE""")," KIT Institute of Microstructure Technology (IMT) ")</f>
        <v> KIT Institute of Microstructure Technology (IMT) </v>
      </c>
    </row>
    <row r="281">
      <c r="B281" s="6" t="str">
        <f>IFERROR(__xludf.DUMMYFUNCTION("""COMPUTED_VALUE""")," Diagnostics ")</f>
        <v> Diagnostics </v>
      </c>
    </row>
    <row r="282">
      <c r="B282" s="6" t="str">
        <f>IFERROR(__xludf.DUMMYFUNCTION("""COMPUTED_VALUE"""),"Peptidarrays, Peptid-basierte Binder, Assays, lab-on-chip")</f>
        <v>Peptidarrays, Peptid-basierte Binder, Assays, lab-on-chip</v>
      </c>
    </row>
    <row r="283">
      <c r="B283" s="6" t="str">
        <f>IFERROR(__xludf.DUMMYFUNCTION("""COMPUTED_VALUE""")," DE-Eggenstein-Leopoldshafen ")</f>
        <v> DE-Eggenstein-Leopoldshafen </v>
      </c>
    </row>
    <row r="284">
      <c r="B284" s="6" t="str">
        <f>IFERROR(__xludf.DUMMYFUNCTION("""COMPUTED_VALUE""")," Klinikum der Universität München (LMU) ")</f>
        <v> Klinikum der Universität München (LMU) </v>
      </c>
    </row>
    <row r="285">
      <c r="B285" s="6" t="str">
        <f>IFERROR(__xludf.DUMMYFUNCTION("""COMPUTED_VALUE""")," Diagnostics ")</f>
        <v> Diagnostics </v>
      </c>
    </row>
    <row r="286">
      <c r="B286" s="6" t="str">
        <f>IFERROR(__xludf.DUMMYFUNCTION("""COMPUTED_VALUE"""),"Therapeutic Drug Monitoring (TDM), LC-MS/MS, stable isotope dilution 
analysis, reference measurement procedure")</f>
        <v>Therapeutic Drug Monitoring (TDM), LC-MS/MS, stable isotope dilution 
analysis, reference measurement procedure</v>
      </c>
    </row>
    <row r="287">
      <c r="B287" s="6" t="str">
        <f>IFERROR(__xludf.DUMMYFUNCTION("""COMPUTED_VALUE""")," DE-München ")</f>
        <v> DE-München </v>
      </c>
    </row>
    <row r="288">
      <c r="B288" s="6" t="str">
        <f>IFERROR(__xludf.DUMMYFUNCTION("""COMPUTED_VALUE""")," KNIME GmbH ")</f>
        <v> KNIME GmbH </v>
      </c>
    </row>
    <row r="289">
      <c r="B289" s="6" t="str">
        <f>IFERROR(__xludf.DUMMYFUNCTION("""COMPUTED_VALUE""")," Data ")</f>
        <v> Data </v>
      </c>
    </row>
    <row r="290">
      <c r="B290" s="6" t="str">
        <f>IFERROR(__xludf.DUMMYFUNCTION("""COMPUTED_VALUE"""),"Information mining, data mining, data exploration, visualisation")</f>
        <v>Information mining, data mining, data exploration, visualisation</v>
      </c>
    </row>
    <row r="291">
      <c r="B291" s="6" t="str">
        <f>IFERROR(__xludf.DUMMYFUNCTION("""COMPUTED_VALUE""")," DE-Konstanz ")</f>
        <v> DE-Konstanz </v>
      </c>
    </row>
    <row r="292">
      <c r="B292" s="6" t="str">
        <f>IFERROR(__xludf.DUMMYFUNCTION("""COMPUTED_VALUE""")," Kompetenzzentrum Obstbau-Bodensee (KOB) ")</f>
        <v> Kompetenzzentrum Obstbau-Bodensee (KOB) </v>
      </c>
    </row>
    <row r="293">
      <c r="B293" s="6" t="str">
        <f>IFERROR(__xludf.DUMMYFUNCTION("""COMPUTED_VALUE""")," Diagnostics ")</f>
        <v> Diagnostics </v>
      </c>
    </row>
    <row r="294">
      <c r="B294" s="6" t="str">
        <f>IFERROR(__xludf.DUMMYFUNCTION("""COMPUTED_VALUE"""),"Plant protection, genetics, fruit cultivation, variety determination, plant 
phsiology")</f>
        <v>Plant protection, genetics, fruit cultivation, variety determination, plant 
phsiology</v>
      </c>
    </row>
    <row r="295">
      <c r="B295" s="6" t="str">
        <f>IFERROR(__xludf.DUMMYFUNCTION("""COMPUTED_VALUE""")," DE-Ravensburg-Bavendorf ")</f>
        <v> DE-Ravensburg-Bavendorf </v>
      </c>
    </row>
    <row r="296">
      <c r="B296" s="6" t="str">
        <f>IFERROR(__xludf.DUMMYFUNCTION("""COMPUTED_VALUE""")," Kugelmeiers AG ")</f>
        <v> Kugelmeiers AG </v>
      </c>
    </row>
    <row r="297">
      <c r="B297" s="6" t="str">
        <f>IFERROR(__xludf.DUMMYFUNCTION("""COMPUTED_VALUE""")," Diagnostics ")</f>
        <v> Diagnostics </v>
      </c>
    </row>
    <row r="298">
      <c r="B298" s="6" t="str">
        <f>IFERROR(__xludf.DUMMYFUNCTION("""COMPUTED_VALUE"""),"3D cell culture, regenerative medicine, diabetes treatment, stem cell 
research")</f>
        <v>3D cell culture, regenerative medicine, diabetes treatment, stem cell 
research</v>
      </c>
    </row>
    <row r="299">
      <c r="B299" s="6" t="str">
        <f>IFERROR(__xludf.DUMMYFUNCTION("""COMPUTED_VALUE""")," CH-Erlenbach ")</f>
        <v> CH-Erlenbach </v>
      </c>
    </row>
    <row r="300">
      <c r="B300" s="6" t="str">
        <f>IFERROR(__xludf.DUMMYFUNCTION("""COMPUTED_VALUE""")," Labor Dr. Brunner ")</f>
        <v> Labor Dr. Brunner </v>
      </c>
    </row>
    <row r="301">
      <c r="B301" s="6" t="str">
        <f>IFERROR(__xludf.DUMMYFUNCTION("""COMPUTED_VALUE""")," Diagnostics ")</f>
        <v> Diagnostics </v>
      </c>
    </row>
    <row r="302">
      <c r="B302" s="6" t="str">
        <f>IFERROR(__xludf.DUMMYFUNCTION("""COMPUTED_VALUE"""),"Clinical chemistry, haematology, serology, microbiology, hygiene, molecular 
biology")</f>
        <v>Clinical chemistry, haematology, serology, microbiology, hygiene, molecular 
biology</v>
      </c>
    </row>
    <row r="303">
      <c r="B303" s="6" t="str">
        <f>IFERROR(__xludf.DUMMYFUNCTION("""COMPUTED_VALUE""")," DE-Konstanz ")</f>
        <v> DE-Konstanz </v>
      </c>
    </row>
    <row r="304">
      <c r="B304" s="6" t="str">
        <f>IFERROR(__xludf.DUMMYFUNCTION("""COMPUTED_VALUE""")," Landkreis Konstanz ")</f>
        <v> Landkreis Konstanz </v>
      </c>
    </row>
    <row r="305">
      <c r="B305" s="6" t="str">
        <f>IFERROR(__xludf.DUMMYFUNCTION("""COMPUTED_VALUE""")," Diagnostics, Devices, Drugs &amp; Therapy, Data ")</f>
        <v> Diagnostics, Devices, Drugs &amp; Therapy, Data </v>
      </c>
    </row>
    <row r="306">
      <c r="B306" s="6" t="str">
        <f>IFERROR(__xludf.DUMMYFUNCTION("""COMPUTED_VALUE"""),"Business promotion, Business start-ups , Corporate set-ups , Education 
,Tourism")</f>
        <v>Business promotion, Business start-ups , Corporate set-ups , Education 
,Tourism</v>
      </c>
    </row>
    <row r="307">
      <c r="B307" s="6" t="str">
        <f>IFERROR(__xludf.DUMMYFUNCTION("""COMPUTED_VALUE""")," DE-Konstanz ")</f>
        <v> DE-Konstanz </v>
      </c>
    </row>
    <row r="308">
      <c r="B308" s="6" t="str">
        <f>IFERROR(__xludf.DUMMYFUNCTION("""COMPUTED_VALUE""")," LECS LifeScience – Education Consulting &amp; Services DR. RUFF ")</f>
        <v> LECS LifeScience – Education Consulting &amp; Services DR. RUFF </v>
      </c>
    </row>
    <row r="309">
      <c r="B309" s="6" t="str">
        <f>IFERROR(__xludf.DUMMYFUNCTION("""COMPUTED_VALUE""")," Drugs &amp; Therapy, Devices, Diagnostics, Data ")</f>
        <v> Drugs &amp; Therapy, Devices, Diagnostics, Data </v>
      </c>
    </row>
    <row r="310">
      <c r="B310" s="6" t="str">
        <f>IFERROR(__xludf.DUMMYFUNCTION("""COMPUTED_VALUE"""),"Education, counselling, communication, publication management: research, 
information and data management")</f>
        <v>Education, counselling, communication, publication management: research, 
information and data management</v>
      </c>
    </row>
    <row r="311">
      <c r="B311" s="6" t="str">
        <f>IFERROR(__xludf.DUMMYFUNCTION("""COMPUTED_VALUE""")," DE-Konstanz ")</f>
        <v> DE-Konstanz </v>
      </c>
    </row>
    <row r="312">
      <c r="B312" s="6" t="str">
        <f>IFERROR(__xludf.DUMMYFUNCTION("""COMPUTED_VALUE""")," LEITAT - Technological Center ")</f>
        <v> LEITAT - Technological Center </v>
      </c>
    </row>
    <row r="313">
      <c r="B313" s="6" t="str">
        <f>IFERROR(__xludf.DUMMYFUNCTION("""COMPUTED_VALUE""")," Diagnostics ")</f>
        <v> Diagnostics </v>
      </c>
    </row>
    <row r="314">
      <c r="B314" s="6" t="str">
        <f>IFERROR(__xludf.DUMMYFUNCTION("""COMPUTED_VALUE"""),"Diagnostic-Assays, Antibody &amp; Engineering, Microfluidics, Photonics, 
Prototyping")</f>
        <v>Diagnostic-Assays, Antibody &amp; Engineering, Microfluidics, Photonics, 
Prototyping</v>
      </c>
    </row>
    <row r="315">
      <c r="B315" s="6" t="str">
        <f>IFERROR(__xludf.DUMMYFUNCTION("""COMPUTED_VALUE""")," ES-Barcelona ")</f>
        <v> ES-Barcelona </v>
      </c>
    </row>
    <row r="316">
      <c r="B316" s="6" t="str">
        <f>IFERROR(__xludf.DUMMYFUNCTION("""COMPUTED_VALUE""")," M24you GmbH ")</f>
        <v> M24you GmbH </v>
      </c>
    </row>
    <row r="317">
      <c r="B317" s="6" t="str">
        <f>IFERROR(__xludf.DUMMYFUNCTION("""COMPUTED_VALUE""")," Diagnostics, Devices ")</f>
        <v> Diagnostics, Devices </v>
      </c>
    </row>
    <row r="318">
      <c r="B318" s="6" t="str">
        <f>IFERROR(__xludf.DUMMYFUNCTION("""COMPUTED_VALUE"""),"Low Volume Liquid Handling, Microfluidics, Biosensors, Biochips, Automation")</f>
        <v>Low Volume Liquid Handling, Microfluidics, Biosensors, Biochips, Automation</v>
      </c>
    </row>
    <row r="319">
      <c r="B319" s="6" t="str">
        <f>IFERROR(__xludf.DUMMYFUNCTION("""COMPUTED_VALUE""")," DE-Berlin ")</f>
        <v> DE-Berlin </v>
      </c>
    </row>
    <row r="320">
      <c r="B320" s="6" t="str">
        <f>IFERROR(__xludf.DUMMYFUNCTION("""COMPUTED_VALUE""")," MAUCHER JENKINS ")</f>
        <v> MAUCHER JENKINS </v>
      </c>
    </row>
    <row r="321">
      <c r="B321" s="6" t="str">
        <f>IFERROR(__xludf.DUMMYFUNCTION("""COMPUTED_VALUE""")," Diagnostics, Devices, Drugs &amp; Therapy, Data ")</f>
        <v> Diagnostics, Devices, Drugs &amp; Therapy, Data </v>
      </c>
    </row>
    <row r="322">
      <c r="B322" s="6" t="str">
        <f>IFERROR(__xludf.DUMMYFUNCTION("""COMPUTED_VALUE"""),"patent law, protection of industrial property, intellectual property")</f>
        <v>patent law, protection of industrial property, intellectual property</v>
      </c>
    </row>
    <row r="323">
      <c r="B323" s="6" t="str">
        <f>IFERROR(__xludf.DUMMYFUNCTION("""COMPUTED_VALUE""")," DE-Freiburg ")</f>
        <v> DE-Freiburg </v>
      </c>
    </row>
    <row r="324">
      <c r="B324" s="6" t="str">
        <f>IFERROR(__xludf.DUMMYFUNCTION("""COMPUTED_VALUE""")," MCAT GmbH ")</f>
        <v> MCAT GmbH </v>
      </c>
    </row>
    <row r="325">
      <c r="B325" s="6" t="str">
        <f>IFERROR(__xludf.DUMMYFUNCTION("""COMPUTED_VALUE""")," Drugs &amp; Therapy ")</f>
        <v> Drugs &amp; Therapy </v>
      </c>
    </row>
    <row r="326">
      <c r="B326" s="6" t="str">
        <f>IFERROR(__xludf.DUMMYFUNCTION("""COMPUTED_VALUE"""),"Polymer science, organic chemistry, drug synthesis")</f>
        <v>Polymer science, organic chemistry, drug synthesis</v>
      </c>
    </row>
    <row r="327">
      <c r="B327" s="6" t="str">
        <f>IFERROR(__xludf.DUMMYFUNCTION("""COMPUTED_VALUE""")," DE-Donaueschingen ")</f>
        <v> DE-Donaueschingen </v>
      </c>
    </row>
    <row r="328">
      <c r="B328" s="6" t="str">
        <f>IFERROR(__xludf.DUMMYFUNCTION("""COMPUTED_VALUE""")," mdeg digital GmbH ")</f>
        <v> mdeg digital GmbH </v>
      </c>
    </row>
    <row r="329">
      <c r="B329" s="6" t="str">
        <f>IFERROR(__xludf.DUMMYFUNCTION("""COMPUTED_VALUE""")," Devices, Data ")</f>
        <v> Devices, Data </v>
      </c>
    </row>
    <row r="330">
      <c r="B330" s="6" t="str">
        <f>IFERROR(__xludf.DUMMYFUNCTION("""COMPUTED_VALUE"""),"Cloud Solutions, Cyber Security, Embedded Software Development, Frontend &amp; 
Backend Development, ISO 27001 certified Hosting, Development &amp; 
Documentation according to IEC60601-1 &amp; IEC62304 resp. ISO13485 &amp; ISO14971")</f>
        <v>Cloud Solutions, Cyber Security, Embedded Software Development, Frontend &amp; 
Backend Development, ISO 27001 certified Hosting, Development &amp; 
Documentation according to IEC60601-1 &amp; IEC62304 resp. ISO13485 &amp; ISO14971</v>
      </c>
    </row>
    <row r="331">
      <c r="B331" s="6" t="str">
        <f>IFERROR(__xludf.DUMMYFUNCTION("""COMPUTED_VALUE""")," DE-Freiburg ")</f>
        <v> DE-Freiburg </v>
      </c>
    </row>
    <row r="332">
      <c r="B332" s="6" t="str">
        <f>IFERROR(__xludf.DUMMYFUNCTION("""COMPUTED_VALUE""")," ME PharmaConsult GmbH ")</f>
        <v> ME PharmaConsult GmbH </v>
      </c>
    </row>
    <row r="333">
      <c r="B333" s="6" t="str">
        <f>IFERROR(__xludf.DUMMYFUNCTION("""COMPUTED_VALUE""")," Diagnostics ")</f>
        <v> Diagnostics </v>
      </c>
    </row>
    <row r="334">
      <c r="B334" s="6" t="str">
        <f>IFERROR(__xludf.DUMMYFUNCTION("""COMPUTED_VALUE"""),"Consulting, Clinical Development Biomarkers, Diagnostics, Business 
Development")</f>
        <v>Consulting, Clinical Development Biomarkers, Diagnostics, Business 
Development</v>
      </c>
    </row>
    <row r="335">
      <c r="B335" s="6" t="str">
        <f>IFERROR(__xludf.DUMMYFUNCTION("""COMPUTED_VALUE""")," CH-Kreuzlingen ")</f>
        <v> CH-Kreuzlingen </v>
      </c>
    </row>
    <row r="336">
      <c r="B336" s="6" t="str">
        <f>IFERROR(__xludf.DUMMYFUNCTION("""COMPUTED_VALUE""")," Mediantis Consult GmbH ")</f>
        <v> Mediantis Consult GmbH </v>
      </c>
    </row>
    <row r="337">
      <c r="B337" s="6" t="str">
        <f>IFERROR(__xludf.DUMMYFUNCTION("""COMPUTED_VALUE""")," Drugs &amp; Therapy ")</f>
        <v> Drugs &amp; Therapy </v>
      </c>
    </row>
    <row r="338">
      <c r="B338" s="6" t="str">
        <f>IFERROR(__xludf.DUMMYFUNCTION("""COMPUTED_VALUE"""),"Clinical studies, medical writing, quality management")</f>
        <v>Clinical studies, medical writing, quality management</v>
      </c>
    </row>
    <row r="339">
      <c r="B339" s="6" t="str">
        <f>IFERROR(__xludf.DUMMYFUNCTION("""COMPUTED_VALUE""")," CH-Ermatingen ")</f>
        <v> CH-Ermatingen </v>
      </c>
    </row>
    <row r="340">
      <c r="B340" s="6" t="str">
        <f>IFERROR(__xludf.DUMMYFUNCTION("""COMPUTED_VALUE""")," medlaQ ")</f>
        <v> medlaQ </v>
      </c>
    </row>
    <row r="341">
      <c r="B341" s="6" t="str">
        <f>IFERROR(__xludf.DUMMYFUNCTION("""COMPUTED_VALUE""")," Diagnostics, Devices ")</f>
        <v> Diagnostics, Devices </v>
      </c>
    </row>
    <row r="342">
      <c r="B342" s="6" t="str">
        <f>IFERROR(__xludf.DUMMYFUNCTION("""COMPUTED_VALUE"""),"Quality management, technology assessment, market introduction, product 
development")</f>
        <v>Quality management, technology assessment, market introduction, product 
development</v>
      </c>
    </row>
    <row r="343">
      <c r="B343" s="6" t="str">
        <f>IFERROR(__xludf.DUMMYFUNCTION("""COMPUTED_VALUE""")," DE-Radolfzell am Bodensee ")</f>
        <v> DE-Radolfzell am Bodensee </v>
      </c>
    </row>
    <row r="344">
      <c r="B344" s="6" t="str">
        <f>IFERROR(__xludf.DUMMYFUNCTION("""COMPUTED_VALUE""")," MEGACOR Diagnostik GmbH ")</f>
        <v> MEGACOR Diagnostik GmbH </v>
      </c>
    </row>
    <row r="345">
      <c r="B345" s="6" t="str">
        <f>IFERROR(__xludf.DUMMYFUNCTION("""COMPUTED_VALUE""")," Devices, Diagnostics ")</f>
        <v> Devices, Diagnostics </v>
      </c>
    </row>
    <row r="346">
      <c r="B346" s="6" t="str">
        <f>IFERROR(__xludf.DUMMYFUNCTION("""COMPUTED_VALUE"""),"veterinary medicine, in-vitro-diagnostics, infection markers, antibodies")</f>
        <v>veterinary medicine, in-vitro-diagnostics, infection markers, antibodies</v>
      </c>
    </row>
    <row r="347">
      <c r="B347" s="6" t="str">
        <f>IFERROR(__xludf.DUMMYFUNCTION("""COMPUTED_VALUE""")," DE-Hörbranz ")</f>
        <v> DE-Hörbranz </v>
      </c>
    </row>
    <row r="348">
      <c r="B348" s="6" t="str">
        <f>IFERROR(__xludf.DUMMYFUNCTION("""COMPUTED_VALUE""")," Metecon GmbH ")</f>
        <v> Metecon GmbH </v>
      </c>
    </row>
    <row r="349">
      <c r="B349" s="6" t="str">
        <f>IFERROR(__xludf.DUMMYFUNCTION("""COMPUTED_VALUE""")," Diagnostics, Devices, Data ")</f>
        <v> Diagnostics, Devices, Data </v>
      </c>
    </row>
    <row r="350">
      <c r="B350" s="6" t="str">
        <f>IFERROR(__xludf.DUMMYFUNCTION("""COMPUTED_VALUE"""),"Quality Management, Technical Documentation, Clinical Affairs, Regulatory 
Affairs, Software &amp; Digitalization")</f>
        <v>Quality Management, Technical Documentation, Clinical Affairs, Regulatory 
Affairs, Software &amp; Digitalization</v>
      </c>
    </row>
    <row r="351">
      <c r="B351" s="6" t="str">
        <f>IFERROR(__xludf.DUMMYFUNCTION("""COMPUTED_VALUE""")," DE-Mannheim ")</f>
        <v> DE-Mannheim </v>
      </c>
    </row>
    <row r="352">
      <c r="B352" s="6" t="str">
        <f>IFERROR(__xludf.DUMMYFUNCTION("""COMPUTED_VALUE""")," Microsynth AG ")</f>
        <v> Microsynth AG </v>
      </c>
    </row>
    <row r="353">
      <c r="B353" s="6" t="str">
        <f>IFERROR(__xludf.DUMMYFUNCTION("""COMPUTED_VALUE""")," Diagnostics ")</f>
        <v> Diagnostics </v>
      </c>
    </row>
    <row r="354">
      <c r="B354" s="6" t="str">
        <f>IFERROR(__xludf.DUMMYFUNCTION("""COMPUTED_VALUE"""),"DNA/RNA Oligo Synthesis, DNA Sequencing, PCR Analysis, Genotyping, Contract 
Research")</f>
        <v>DNA/RNA Oligo Synthesis, DNA Sequencing, PCR Analysis, Genotyping, Contract 
Research</v>
      </c>
    </row>
    <row r="355">
      <c r="B355" s="6" t="str">
        <f>IFERROR(__xludf.DUMMYFUNCTION("""COMPUTED_VALUE""")," CH-Balgach ")</f>
        <v> CH-Balgach </v>
      </c>
    </row>
    <row r="356">
      <c r="B356" s="6" t="str">
        <f>IFERROR(__xludf.DUMMYFUNCTION("""COMPUTED_VALUE""")," MTS Medical UG ")</f>
        <v> MTS Medical UG </v>
      </c>
    </row>
    <row r="357">
      <c r="B357" s="6" t="str">
        <f>IFERROR(__xludf.DUMMYFUNCTION("""COMPUTED_VALUE""")," Devices ")</f>
        <v> Devices </v>
      </c>
    </row>
    <row r="358">
      <c r="B358" s="6" t="str">
        <f>IFERROR(__xludf.DUMMYFUNCTION("""COMPUTED_VALUE"""),"Radio shock wave, spark wave technology, wound healing, orthopaedics, 
urology")</f>
        <v>Radio shock wave, spark wave technology, wound healing, orthopaedics, 
urology</v>
      </c>
    </row>
    <row r="359">
      <c r="B359" s="6" t="str">
        <f>IFERROR(__xludf.DUMMYFUNCTION("""COMPUTED_VALUE""")," DE-Konstanz ")</f>
        <v> DE-Konstanz </v>
      </c>
    </row>
    <row r="360">
      <c r="B360" s="6" t="str">
        <f>IFERROR(__xludf.DUMMYFUNCTION("""COMPUTED_VALUE""")," MVZ Labor Ravensburg – Labor Dr. Gärtner ")</f>
        <v> MVZ Labor Ravensburg – Labor Dr. Gärtner </v>
      </c>
    </row>
    <row r="361">
      <c r="B361" s="6" t="str">
        <f>IFERROR(__xludf.DUMMYFUNCTION("""COMPUTED_VALUE""")," Diagnostics ")</f>
        <v> Diagnostics </v>
      </c>
    </row>
    <row r="362">
      <c r="B362" s="6" t="str">
        <f>IFERROR(__xludf.DUMMYFUNCTION("""COMPUTED_VALUE"""),"Laboratory medicine, endocrinology, microbiology, molecular biology, human 
genetics")</f>
        <v>Laboratory medicine, endocrinology, microbiology, molecular biology, human 
genetics</v>
      </c>
    </row>
    <row r="363">
      <c r="B363" s="6" t="str">
        <f>IFERROR(__xludf.DUMMYFUNCTION("""COMPUTED_VALUE""")," DE-Ravensburg ")</f>
        <v> DE-Ravensburg </v>
      </c>
    </row>
    <row r="364">
      <c r="B364" s="6" t="str">
        <f>IFERROR(__xludf.DUMMYFUNCTION("""COMPUTED_VALUE""")," myPOLS Biotec GmbH ")</f>
        <v> myPOLS Biotec GmbH </v>
      </c>
    </row>
    <row r="365">
      <c r="B365" s="6" t="str">
        <f>IFERROR(__xludf.DUMMYFUNCTION("""COMPUTED_VALUE""")," Diagnostics ")</f>
        <v> Diagnostics </v>
      </c>
    </row>
    <row r="366">
      <c r="B366" s="6" t="str">
        <f>IFERROR(__xludf.DUMMYFUNCTION("""COMPUTED_VALUE"""),"DNA; RNA, polymerases, PCR; assays")</f>
        <v>DNA; RNA, polymerases, PCR; assays</v>
      </c>
    </row>
    <row r="367">
      <c r="B367" s="6" t="str">
        <f>IFERROR(__xludf.DUMMYFUNCTION("""COMPUTED_VALUE""")," DE-Konstanz ")</f>
        <v> DE-Konstanz </v>
      </c>
    </row>
    <row r="368">
      <c r="B368" s="6" t="str">
        <f>IFERROR(__xludf.DUMMYFUNCTION("""COMPUTED_VALUE""")," NanoCraft Coating GmbH ")</f>
        <v> NanoCraft Coating GmbH </v>
      </c>
    </row>
    <row r="369">
      <c r="B369" s="6" t="str">
        <f>IFERROR(__xludf.DUMMYFUNCTION("""COMPUTED_VALUE""")," Devices ")</f>
        <v> Devices </v>
      </c>
    </row>
    <row r="370">
      <c r="B370" s="6" t="str">
        <f>IFERROR(__xludf.DUMMYFUNCTION("""COMPUTED_VALUE"""),"Surface analytics, surface protection, coating systems")</f>
        <v>Surface analytics, surface protection, coating systems</v>
      </c>
    </row>
    <row r="371">
      <c r="B371" s="6" t="str">
        <f>IFERROR(__xludf.DUMMYFUNCTION("""COMPUTED_VALUE""")," DE-Engen ")</f>
        <v> DE-Engen </v>
      </c>
    </row>
    <row r="372">
      <c r="B372" s="6" t="str">
        <f>IFERROR(__xludf.DUMMYFUNCTION("""COMPUTED_VALUE""")," Nemis Technologies AG ")</f>
        <v> Nemis Technologies AG </v>
      </c>
    </row>
    <row r="373">
      <c r="B373" s="6" t="str">
        <f>IFERROR(__xludf.DUMMYFUNCTION("""COMPUTED_VALUE""")," Diagnostics, Data ")</f>
        <v> Diagnostics, Data </v>
      </c>
    </row>
    <row r="374">
      <c r="B374" s="6" t="str">
        <f>IFERROR(__xludf.DUMMYFUNCTION("""COMPUTED_VALUE"""),"Food safety, environmental monitoring, rapid tests, chemiluminescence, 
bacteriophages")</f>
        <v>Food safety, environmental monitoring, rapid tests, chemiluminescence, 
bacteriophages</v>
      </c>
    </row>
    <row r="375">
      <c r="B375" s="6" t="str">
        <f>IFERROR(__xludf.DUMMYFUNCTION("""COMPUTED_VALUE""")," CH-Dübendorf ")</f>
        <v> CH-Dübendorf </v>
      </c>
    </row>
    <row r="376">
      <c r="B376" s="6" t="str">
        <f>IFERROR(__xludf.DUMMYFUNCTION("""COMPUTED_VALUE""")," NIUB Sustainability Consulting ")</f>
        <v> NIUB Sustainability Consulting </v>
      </c>
    </row>
    <row r="377">
      <c r="B377" s="6" t="str">
        <f>IFERROR(__xludf.DUMMYFUNCTION("""COMPUTED_VALUE""")," Diagnostics, Devices, Drugs &amp; Therapy ")</f>
        <v> Diagnostics, Devices, Drugs &amp; Therapy </v>
      </c>
    </row>
    <row r="378">
      <c r="B378" s="6" t="str">
        <f>IFERROR(__xludf.DUMMYFUNCTION("""COMPUTED_VALUE"""),"Consulting, sustainability, life science, research and communication, 
Corporate Social Responsibility (CSR)")</f>
        <v>Consulting, sustainability, life science, research and communication, 
Corporate Social Responsibility (CSR)</v>
      </c>
    </row>
    <row r="379">
      <c r="B379" s="6" t="str">
        <f>IFERROR(__xludf.DUMMYFUNCTION("""COMPUTED_VALUE""")," DE-Freiburg ")</f>
        <v> DE-Freiburg </v>
      </c>
    </row>
    <row r="380">
      <c r="B380" s="6" t="str">
        <f>IFERROR(__xludf.DUMMYFUNCTION("""COMPUTED_VALUE""")," NMI Natural and Medical Sciences Institute ")</f>
        <v> NMI Natural and Medical Sciences Institute </v>
      </c>
    </row>
    <row r="381">
      <c r="B381" s="6" t="str">
        <f>IFERROR(__xludf.DUMMYFUNCTION("""COMPUTED_VALUE""")," Diagnostics, Devices, Drugs &amp; Therapy ")</f>
        <v> Diagnostics, Devices, Drugs &amp; Therapy </v>
      </c>
    </row>
    <row r="382">
      <c r="B382" s="6" t="str">
        <f>IFERROR(__xludf.DUMMYFUNCTION("""COMPUTED_VALUE"""),"subprojects and individual services such as consulting, technology 
assessment, applying for funding, conceptual planning, coordination of 
projects, Biomarkers and bioanalytics, Safety/ Tox, Target research, 
Disease models and mechanisms, Protein and an"&amp;"tibody technologies, 
biological assessment of medical devices, Material and surface analysis, 
Material development and functionalization, Microsystems engineering and 
development of micro- and nanosystems")</f>
        <v>subprojects and individual services such as consulting, technology 
assessment, applying for funding, conceptual planning, coordination of 
projects, Biomarkers and bioanalytics, Safety/ Tox, Target research, 
Disease models and mechanisms, Protein and antibody technologies, 
biological assessment of medical devices, Material and surface analysis, 
Material development and functionalization, Microsystems engineering and 
development of micro- and nanosystems</v>
      </c>
    </row>
    <row r="383">
      <c r="B383" s="6" t="str">
        <f>IFERROR(__xludf.DUMMYFUNCTION("""COMPUTED_VALUE""")," DE-Reutlingen ")</f>
        <v> DE-Reutlingen </v>
      </c>
    </row>
    <row r="384">
      <c r="B384" s="6" t="str">
        <f>IFERROR(__xludf.DUMMYFUNCTION("""COMPUTED_VALUE""")," Oliver Butzmann Fachanwalt für Medizinrecht und Mediator ")</f>
        <v> Oliver Butzmann Fachanwalt für Medizinrecht und Mediator </v>
      </c>
    </row>
    <row r="385">
      <c r="B385" s="6" t="str">
        <f>IFERROR(__xludf.DUMMYFUNCTION("""COMPUTED_VALUE""")," Diagnostics, Devices, Drugs &amp; Therapy, Data ")</f>
        <v> Diagnostics, Devices, Drugs &amp; Therapy, Data </v>
      </c>
    </row>
    <row r="386">
      <c r="B386" s="6" t="str">
        <f>IFERROR(__xludf.DUMMYFUNCTION("""COMPUTED_VALUE"""),"Medical law, medical device law, contract law, data protection, 
anti-corruption")</f>
        <v>Medical law, medical device law, contract law, data protection, 
anti-corruption</v>
      </c>
    </row>
    <row r="387">
      <c r="B387" s="6" t="str">
        <f>IFERROR(__xludf.DUMMYFUNCTION("""COMPUTED_VALUE""")," DE-Konstanz ")</f>
        <v> DE-Konstanz </v>
      </c>
    </row>
    <row r="388">
      <c r="B388" s="6" t="str">
        <f>IFERROR(__xludf.DUMMYFUNCTION("""COMPUTED_VALUE""")," Orthobion GmbH ")</f>
        <v> Orthobion GmbH </v>
      </c>
    </row>
    <row r="389">
      <c r="B389" s="6" t="str">
        <f>IFERROR(__xludf.DUMMYFUNCTION("""COMPUTED_VALUE""")," Devices ")</f>
        <v> Devices </v>
      </c>
    </row>
    <row r="390">
      <c r="B390" s="6" t="str">
        <f>IFERROR(__xludf.DUMMYFUNCTION("""COMPUTED_VALUE"""),"biomaterial, implants, spine")</f>
        <v>biomaterial, implants, spine</v>
      </c>
    </row>
    <row r="391">
      <c r="B391" s="6" t="str">
        <f>IFERROR(__xludf.DUMMYFUNCTION("""COMPUTED_VALUE""")," DE-Konstanz ")</f>
        <v> DE-Konstanz </v>
      </c>
    </row>
    <row r="392">
      <c r="B392" s="6" t="str">
        <f>IFERROR(__xludf.DUMMYFUNCTION("""COMPUTED_VALUE""")," OST – Ostschweizer Fachhochschule ")</f>
        <v> OST – Ostschweizer Fachhochschule </v>
      </c>
    </row>
    <row r="393">
      <c r="B393" s="6" t="str">
        <f>IFERROR(__xludf.DUMMYFUNCTION("""COMPUTED_VALUE""")," Data ")</f>
        <v> Data </v>
      </c>
    </row>
    <row r="394">
      <c r="B394" s="6" t="str">
        <f>IFERROR(__xludf.DUMMYFUNCTION("""COMPUTED_VALUE"""),"Mobile health, information management, health monitoring, patient 
self-management, process management")</f>
        <v>Mobile health, information management, health monitoring, patient 
self-management, process management</v>
      </c>
    </row>
    <row r="395">
      <c r="B395" s="6" t="str">
        <f>IFERROR(__xludf.DUMMYFUNCTION("""COMPUTED_VALUE""")," CH-St.Gallen ")</f>
        <v> CH-St.Gallen </v>
      </c>
    </row>
    <row r="396">
      <c r="B396" s="6" t="str">
        <f>IFERROR(__xludf.DUMMYFUNCTION("""COMPUTED_VALUE""")," PFIF – Partner für Innovation &amp; Förderung GmbH ")</f>
        <v> PFIF – Partner für Innovation &amp; Förderung GmbH </v>
      </c>
    </row>
    <row r="397">
      <c r="B397" s="6" t="str">
        <f>IFERROR(__xludf.DUMMYFUNCTION("""COMPUTED_VALUE""")," Diagnostics, Devices, Drugs &amp; Therapy, Data ")</f>
        <v> Diagnostics, Devices, Drugs &amp; Therapy, Data </v>
      </c>
    </row>
    <row r="398">
      <c r="B398" s="6" t="str">
        <f>IFERROR(__xludf.DUMMYFUNCTION("""COMPUTED_VALUE"""),"Funding, grants R&amp;D tax relief, innovation consultancy, corporate 
development, project funding")</f>
        <v>Funding, grants R&amp;D tax relief, innovation consultancy, corporate 
development, project funding</v>
      </c>
    </row>
    <row r="399">
      <c r="B399" s="6" t="str">
        <f>IFERROR(__xludf.DUMMYFUNCTION("""COMPUTED_VALUE""")," DE-Lahr ")</f>
        <v> DE-Lahr </v>
      </c>
    </row>
    <row r="400">
      <c r="B400" s="6" t="str">
        <f>IFERROR(__xludf.DUMMYFUNCTION("""COMPUTED_VALUE""")," Pharecon – Personalberatung im Life Science-Markt ")</f>
        <v> Pharecon – Personalberatung im Life Science-Markt </v>
      </c>
    </row>
    <row r="401">
      <c r="B401" s="6" t="str">
        <f>IFERROR(__xludf.DUMMYFUNCTION("""COMPUTED_VALUE""")," Diagnostics, Devices, Drugs &amp; Therapy, Data ")</f>
        <v> Diagnostics, Devices, Drugs &amp; Therapy, Data </v>
      </c>
    </row>
    <row r="402">
      <c r="B402" s="6" t="str">
        <f>IFERROR(__xludf.DUMMYFUNCTION("""COMPUTED_VALUE"""),"Interim management, guaranteed employee recruitment, outplacement, 
personnel development, organisational development, personnel consulting, 
employer branding")</f>
        <v>Interim management, guaranteed employee recruitment, outplacement, 
personnel development, organisational development, personnel consulting, 
employer branding</v>
      </c>
    </row>
    <row r="403">
      <c r="B403" s="6" t="str">
        <f>IFERROR(__xludf.DUMMYFUNCTION("""COMPUTED_VALUE""")," DE-Weissenhorn ")</f>
        <v> DE-Weissenhorn </v>
      </c>
    </row>
    <row r="404">
      <c r="B404" s="6" t="str">
        <f>IFERROR(__xludf.DUMMYFUNCTION("""COMPUTED_VALUE""")," Platomics GmbH ")</f>
        <v> Platomics GmbH </v>
      </c>
    </row>
    <row r="405">
      <c r="B405" s="6" t="str">
        <f>IFERROR(__xludf.DUMMYFUNCTION("""COMPUTED_VALUE""")," Diagnostics, Data ")</f>
        <v> Diagnostics, Data </v>
      </c>
    </row>
    <row r="406">
      <c r="B406" s="6" t="str">
        <f>IFERROR(__xludf.DUMMYFUNCTION("""COMPUTED_VALUE"""),"Automated IH-IVD document generation, eQMS solutions, free online courses 
for IVDR compliance, regulatory digitization")</f>
        <v>Automated IH-IVD document generation, eQMS solutions, free online courses 
for IVDR compliance, regulatory digitization</v>
      </c>
    </row>
    <row r="407">
      <c r="B407" s="6" t="str">
        <f>IFERROR(__xludf.DUMMYFUNCTION("""COMPUTED_VALUE""")," AT-Vienna ")</f>
        <v> AT-Vienna </v>
      </c>
    </row>
    <row r="408">
      <c r="B408" s="6" t="str">
        <f>IFERROR(__xludf.DUMMYFUNCTION("""COMPUTED_VALUE""")," Private Universität im Fürstentum Liechtenstein ")</f>
        <v> Private Universität im Fürstentum Liechtenstein </v>
      </c>
    </row>
    <row r="409">
      <c r="B409" s="6" t="str">
        <f>IFERROR(__xludf.DUMMYFUNCTION("""COMPUTED_VALUE""")," Drugs &amp; Therapy, Data ")</f>
        <v> Drugs &amp; Therapy, Data </v>
      </c>
    </row>
    <row r="410">
      <c r="B410" s="6" t="str">
        <f>IFERROR(__xludf.DUMMYFUNCTION("""COMPUTED_VALUE"""),"medicine, clinical research, doctorate, dr. scient. med., education")</f>
        <v>medicine, clinical research, doctorate, dr. scient. med., education</v>
      </c>
    </row>
    <row r="411">
      <c r="B411" s="6" t="str">
        <f>IFERROR(__xludf.DUMMYFUNCTION("""COMPUTED_VALUE""")," LI-Triesen ")</f>
        <v> LI-Triesen </v>
      </c>
    </row>
    <row r="412">
      <c r="B412" s="6" t="str">
        <f>IFERROR(__xludf.DUMMYFUNCTION("""COMPUTED_VALUE""")," Prospective Instruments LK OG ")</f>
        <v> Prospective Instruments LK OG </v>
      </c>
    </row>
    <row r="413">
      <c r="B413" s="6" t="str">
        <f>IFERROR(__xludf.DUMMYFUNCTION("""COMPUTED_VALUE""")," Devices, Diagnostics ")</f>
        <v> Devices, Diagnostics </v>
      </c>
    </row>
    <row r="414">
      <c r="B414" s="6" t="str">
        <f>IFERROR(__xludf.DUMMYFUNCTION("""COMPUTED_VALUE"""),"Multi-Photon &amp; Single-Photon Fluorescence Microscopy, Lightsheet 
Microscopy, Multi-modal imaging, Digital staining")</f>
        <v>Multi-Photon &amp; Single-Photon Fluorescence Microscopy, Lightsheet 
Microscopy, Multi-modal imaging, Digital staining</v>
      </c>
    </row>
    <row r="415">
      <c r="B415" s="6" t="str">
        <f>IFERROR(__xludf.DUMMYFUNCTION("""COMPUTED_VALUE""")," DE-Dornbirn ")</f>
        <v> DE-Dornbirn </v>
      </c>
    </row>
    <row r="416">
      <c r="B416" s="6" t="str">
        <f>IFERROR(__xludf.DUMMYFUNCTION("""COMPUTED_VALUE""")," Proximo-WSD UG ")</f>
        <v> Proximo-WSD UG </v>
      </c>
    </row>
    <row r="417">
      <c r="B417" s="6" t="str">
        <f>IFERROR(__xludf.DUMMYFUNCTION("""COMPUTED_VALUE""")," Data ")</f>
        <v> Data </v>
      </c>
    </row>
    <row r="418">
      <c r="B418" s="6" t="str">
        <f>IFERROR(__xludf.DUMMYFUNCTION("""COMPUTED_VALUE"""),"Digital Communication, App Development")</f>
        <v>Digital Communication, App Development</v>
      </c>
    </row>
    <row r="419">
      <c r="B419" s="6" t="str">
        <f>IFERROR(__xludf.DUMMYFUNCTION("""COMPUTED_VALUE""")," DE-Konstanz ")</f>
        <v> DE-Konstanz </v>
      </c>
    </row>
    <row r="420">
      <c r="B420" s="6" t="str">
        <f>IFERROR(__xludf.DUMMYFUNCTION("""COMPUTED_VALUE""")," PSO PrimaSmartOffice GmbH ")</f>
        <v> PSO PrimaSmartOffice GmbH </v>
      </c>
    </row>
    <row r="421">
      <c r="B421" s="6" t="str">
        <f>IFERROR(__xludf.DUMMYFUNCTION("""COMPUTED_VALUE""")," Data, Diagnostics, Drugs &amp; Therapy ")</f>
        <v> Data, Diagnostics, Drugs &amp; Therapy </v>
      </c>
    </row>
    <row r="422">
      <c r="B422" s="6" t="str">
        <f>IFERROR(__xludf.DUMMYFUNCTION("""COMPUTED_VALUE"""),"Tele-Medicine/Pharmacy, App Development, Digital Health, Partner Network")</f>
        <v>Tele-Medicine/Pharmacy, App Development, Digital Health, Partner Network</v>
      </c>
    </row>
    <row r="423">
      <c r="B423" s="6" t="str">
        <f>IFERROR(__xludf.DUMMYFUNCTION("""COMPUTED_VALUE""")," DE-Ravensburg ")</f>
        <v> DE-Ravensburg </v>
      </c>
    </row>
    <row r="424">
      <c r="B424" s="6" t="str">
        <f>IFERROR(__xludf.DUMMYFUNCTION("""COMPUTED_VALUE""")," RICB Diagnostics AG ")</f>
        <v> RICB Diagnostics AG </v>
      </c>
    </row>
    <row r="425">
      <c r="B425" s="6" t="str">
        <f>IFERROR(__xludf.DUMMYFUNCTION("""COMPUTED_VALUE""")," Diagnostics ")</f>
        <v> Diagnostics </v>
      </c>
    </row>
    <row r="426">
      <c r="B426" s="6" t="str">
        <f>IFERROR(__xludf.DUMMYFUNCTION("""COMPUTED_VALUE"""),"In-vitro-Diagnostics, Lab-on-a-Chip, Point-of-Care, Cancer Bio-markers, 
Analytics")</f>
        <v>In-vitro-Diagnostics, Lab-on-a-Chip, Point-of-Care, Cancer Bio-markers, 
Analytics</v>
      </c>
    </row>
    <row r="427">
      <c r="B427" s="6" t="str">
        <f>IFERROR(__xludf.DUMMYFUNCTION("""COMPUTED_VALUE""")," CH-Bad Ragaz ")</f>
        <v> CH-Bad Ragaz </v>
      </c>
    </row>
    <row r="428">
      <c r="B428" s="6" t="str">
        <f>IFERROR(__xludf.DUMMYFUNCTION("""COMPUTED_VALUE""")," Robotics First ")</f>
        <v> Robotics First </v>
      </c>
    </row>
    <row r="429">
      <c r="B429" s="6" t="str">
        <f>IFERROR(__xludf.DUMMYFUNCTION("""COMPUTED_VALUE""")," Data ")</f>
        <v> Data </v>
      </c>
    </row>
    <row r="430">
      <c r="B430" s="6"/>
    </row>
    <row r="431">
      <c r="B431" s="6" t="str">
        <f>IFERROR(__xludf.DUMMYFUNCTION("""COMPUTED_VALUE""")," DE-Albstadt ")</f>
        <v> DE-Albstadt </v>
      </c>
    </row>
    <row r="432">
      <c r="B432" s="6" t="str">
        <f>IFERROR(__xludf.DUMMYFUNCTION("""COMPUTED_VALUE""")," Röpcke Unternehmensberatung ")</f>
        <v> Röpcke Unternehmensberatung </v>
      </c>
    </row>
    <row r="433">
      <c r="B433" s="6" t="str">
        <f>IFERROR(__xludf.DUMMYFUNCTION("""COMPUTED_VALUE""")," Drugs &amp; Therapy ")</f>
        <v> Drugs &amp; Therapy </v>
      </c>
    </row>
    <row r="434">
      <c r="B434" s="6" t="str">
        <f>IFERROR(__xludf.DUMMYFUNCTION("""COMPUTED_VALUE"""),"Service and consulting, pharmacometrics, biostatistics, data mining")</f>
        <v>Service and consulting, pharmacometrics, biostatistics, data mining</v>
      </c>
    </row>
    <row r="435">
      <c r="B435" s="6" t="str">
        <f>IFERROR(__xludf.DUMMYFUNCTION("""COMPUTED_VALUE""")," DE-Konstanz ")</f>
        <v> DE-Konstanz </v>
      </c>
    </row>
    <row r="436">
      <c r="B436" s="6" t="str">
        <f>IFERROR(__xludf.DUMMYFUNCTION("""COMPUTED_VALUE""")," Schlatter-Zahl-Kuhnt Rechtsanwälte ")</f>
        <v> Schlatter-Zahl-Kuhnt Rechtsanwälte </v>
      </c>
    </row>
    <row r="437">
      <c r="B437" s="6" t="str">
        <f>IFERROR(__xludf.DUMMYFUNCTION("""COMPUTED_VALUE""")," Diagnostics, Devices, Drugs &amp; Therapy, Data ")</f>
        <v> Diagnostics, Devices, Drugs &amp; Therapy, Data </v>
      </c>
    </row>
    <row r="438">
      <c r="B438" s="6" t="str">
        <f>IFERROR(__xludf.DUMMYFUNCTION("""COMPUTED_VALUE"""),"Legal protection, advice, contracts, approval procedures, payment claims")</f>
        <v>Legal protection, advice, contracts, approval procedures, payment claims</v>
      </c>
    </row>
    <row r="439">
      <c r="B439" s="6" t="str">
        <f>IFERROR(__xludf.DUMMYFUNCTION("""COMPUTED_VALUE""")," DE-Konstanz ")</f>
        <v> DE-Konstanz </v>
      </c>
    </row>
    <row r="440">
      <c r="B440" s="6" t="str">
        <f>IFERROR(__xludf.DUMMYFUNCTION("""COMPUTED_VALUE""")," Schwarzwald-Baar-Klinikum Villingen-Schwenningen GmbH ")</f>
        <v> Schwarzwald-Baar-Klinikum Villingen-Schwenningen GmbH </v>
      </c>
    </row>
    <row r="441">
      <c r="B441" s="6" t="str">
        <f>IFERROR(__xludf.DUMMYFUNCTION("""COMPUTED_VALUE""")," Diagnostics ")</f>
        <v> Diagnostics </v>
      </c>
    </row>
    <row r="442">
      <c r="B442" s="6" t="str">
        <f>IFERROR(__xludf.DUMMYFUNCTION("""COMPUTED_VALUE"""),"Internal Medicine, Oncology, Cardiology, Pneumology, Pathology, Neurology")</f>
        <v>Internal Medicine, Oncology, Cardiology, Pneumology, Pathology, Neurology</v>
      </c>
    </row>
    <row r="443">
      <c r="B443" s="6" t="str">
        <f>IFERROR(__xludf.DUMMYFUNCTION("""COMPUTED_VALUE""")," DE-Villingen-Schwenningen ")</f>
        <v> DE-Villingen-Schwenningen </v>
      </c>
    </row>
    <row r="444">
      <c r="B444" s="6" t="str">
        <f>IFERROR(__xludf.DUMMYFUNCTION("""COMPUTED_VALUE""")," Sciomics GmbH ")</f>
        <v> Sciomics GmbH </v>
      </c>
    </row>
    <row r="445">
      <c r="B445" s="6" t="str">
        <f>IFERROR(__xludf.DUMMYFUNCTION("""COMPUTED_VALUE""")," Diagnostics ")</f>
        <v> Diagnostics </v>
      </c>
    </row>
    <row r="446">
      <c r="B446" s="6" t="str">
        <f>IFERROR(__xludf.DUMMYFUNCTION("""COMPUTED_VALUE"""),"Antibodies, Protein Porofiking, Biomarker Discovery, Drug Target Discovery 
Biotechnology")</f>
        <v>Antibodies, Protein Porofiking, Biomarker Discovery, Drug Target Discovery 
Biotechnology</v>
      </c>
    </row>
    <row r="447">
      <c r="B447" s="6" t="str">
        <f>IFERROR(__xludf.DUMMYFUNCTION("""COMPUTED_VALUE""")," DE-Heidelberg ")</f>
        <v> DE-Heidelberg </v>
      </c>
    </row>
    <row r="448">
      <c r="B448" s="6" t="str">
        <f>IFERROR(__xludf.DUMMYFUNCTION("""COMPUTED_VALUE""")," seleon GmbH ")</f>
        <v> seleon GmbH </v>
      </c>
    </row>
    <row r="449">
      <c r="B449" s="6" t="str">
        <f>IFERROR(__xludf.DUMMYFUNCTION("""COMPUTED_VALUE""")," Devices ")</f>
        <v> Devices </v>
      </c>
    </row>
    <row r="450">
      <c r="B450" s="6" t="str">
        <f>IFERROR(__xludf.DUMMYFUNCTION("""COMPUTED_VALUE"""),"Product Development, Production, Regulatory Affairs, Clinical Affairs, 
Quality Management")</f>
        <v>Product Development, Production, Regulatory Affairs, Clinical Affairs, 
Quality Management</v>
      </c>
    </row>
    <row r="451">
      <c r="B451" s="6" t="str">
        <f>IFERROR(__xludf.DUMMYFUNCTION("""COMPUTED_VALUE""")," DE-Heilbronn ")</f>
        <v> DE-Heilbronn </v>
      </c>
    </row>
    <row r="452">
      <c r="B452" s="6" t="str">
        <f>IFERROR(__xludf.DUMMYFUNCTION("""COMPUTED_VALUE""")," SMPC – Silke Horbach Medizinisch-wissenschaftliches Publizieren ")</f>
        <v> SMPC – Silke Horbach Medizinisch-wissenschaftliches Publizieren </v>
      </c>
    </row>
    <row r="453">
      <c r="B453" s="6" t="str">
        <f>IFERROR(__xludf.DUMMYFUNCTION("""COMPUTED_VALUE""")," Drugs &amp; Therapy ")</f>
        <v> Drugs &amp; Therapy </v>
      </c>
    </row>
    <row r="454">
      <c r="B454" s="6" t="str">
        <f>IFERROR(__xludf.DUMMYFUNCTION("""COMPUTED_VALUE"""),"Literature research, Marketing support, Medical Affairs related tasks, 
Medical writing, Project management")</f>
        <v>Literature research, Marketing support, Medical Affairs related tasks, 
Medical writing, Project management</v>
      </c>
    </row>
    <row r="455">
      <c r="B455" s="6" t="str">
        <f>IFERROR(__xludf.DUMMYFUNCTION("""COMPUTED_VALUE""")," DE-Konstanz ")</f>
        <v> DE-Konstanz </v>
      </c>
    </row>
    <row r="456">
      <c r="B456" s="6" t="str">
        <f>IFERROR(__xludf.DUMMYFUNCTION("""COMPUTED_VALUE""")," Solios diagnostics GmbH ")</f>
        <v> Solios diagnostics GmbH </v>
      </c>
    </row>
    <row r="457">
      <c r="B457" s="6" t="str">
        <f>IFERROR(__xludf.DUMMYFUNCTION("""COMPUTED_VALUE""")," Diagnostics ")</f>
        <v> Diagnostics </v>
      </c>
    </row>
    <row r="458">
      <c r="B458" s="6" t="str">
        <f>IFERROR(__xludf.DUMMYFUNCTION("""COMPUTED_VALUE"""),"Diagnostics, point-of-care, rapid testing, lateral-flow test systems, 
service provider, B2B")</f>
        <v>Diagnostics, point-of-care, rapid testing, lateral-flow test systems, 
service provider, B2B</v>
      </c>
    </row>
    <row r="459">
      <c r="B459" s="6" t="str">
        <f>IFERROR(__xludf.DUMMYFUNCTION("""COMPUTED_VALUE""")," DE-Tübingen ")</f>
        <v> DE-Tübingen </v>
      </c>
    </row>
    <row r="460">
      <c r="B460" s="6" t="str">
        <f>IFERROR(__xludf.DUMMYFUNCTION("""COMPUTED_VALUE""")," SpinDiag GmbH ")</f>
        <v> SpinDiag GmbH </v>
      </c>
    </row>
    <row r="461">
      <c r="B461" s="6" t="str">
        <f>IFERROR(__xludf.DUMMYFUNCTION("""COMPUTED_VALUE""")," Diagnostics ")</f>
        <v> Diagnostics </v>
      </c>
    </row>
    <row r="462">
      <c r="B462" s="6" t="str">
        <f>IFERROR(__xludf.DUMMYFUNCTION("""COMPUTED_VALUE"""),"Molecular diagnostics, rapid testing, point of care, human infectious 
disease diagnostics, in vitro diagnostics, antibiotic resistances")</f>
        <v>Molecular diagnostics, rapid testing, point of care, human infectious 
disease diagnostics, in vitro diagnostics, antibiotic resistances</v>
      </c>
    </row>
    <row r="463">
      <c r="B463" s="6" t="str">
        <f>IFERROR(__xludf.DUMMYFUNCTION("""COMPUTED_VALUE""")," DE-Freiburg ")</f>
        <v> DE-Freiburg </v>
      </c>
    </row>
    <row r="464">
      <c r="B464" s="6" t="str">
        <f>IFERROR(__xludf.DUMMYFUNCTION("""COMPUTED_VALUE""")," St.Gallen Health ")</f>
        <v> St.Gallen Health </v>
      </c>
    </row>
    <row r="465">
      <c r="B465" s="6" t="str">
        <f>IFERROR(__xludf.DUMMYFUNCTION("""COMPUTED_VALUE""")," Diagnostics, Devices, Drugs &amp; Therapy, Data ")</f>
        <v> Diagnostics, Devices, Drugs &amp; Therapy, Data </v>
      </c>
    </row>
    <row r="466">
      <c r="B466" s="6" t="str">
        <f>IFERROR(__xludf.DUMMYFUNCTION("""COMPUTED_VALUE"""),"Health economy, health research, clinic, laboratory, business development")</f>
        <v>Health economy, health research, clinic, laboratory, business development</v>
      </c>
    </row>
    <row r="467">
      <c r="B467" s="6" t="str">
        <f>IFERROR(__xludf.DUMMYFUNCTION("""COMPUTED_VALUE""")," CH-St. Gallen ")</f>
        <v> CH-St. Gallen </v>
      </c>
    </row>
    <row r="468">
      <c r="B468" s="6" t="str">
        <f>IFERROR(__xludf.DUMMYFUNCTION("""COMPUTED_VALUE""")," Steven Steiner Consulting ")</f>
        <v> Steven Steiner Consulting </v>
      </c>
    </row>
    <row r="469">
      <c r="B469" s="6" t="str">
        <f>IFERROR(__xludf.DUMMYFUNCTION("""COMPUTED_VALUE""")," Diagnostics ")</f>
        <v> Diagnostics </v>
      </c>
    </row>
    <row r="470">
      <c r="B470" s="6" t="str">
        <f>IFERROR(__xludf.DUMMYFUNCTION("""COMPUTED_VALUE"""),"Consulting for diagnostic tests (e.g. lateral flow tests, IVD), protein 
chemistry, nano- and microparticles, development of collaborations, project 
management")</f>
        <v>Consulting for diagnostic tests (e.g. lateral flow tests, IVD), protein 
chemistry, nano- and microparticles, development of collaborations, project 
management</v>
      </c>
    </row>
    <row r="471">
      <c r="B471" s="6" t="str">
        <f>IFERROR(__xludf.DUMMYFUNCTION("""COMPUTED_VALUE""")," DE-Weilheim ")</f>
        <v> DE-Weilheim </v>
      </c>
    </row>
    <row r="472">
      <c r="B472" s="6" t="str">
        <f>IFERROR(__xludf.DUMMYFUNCTION("""COMPUTED_VALUE""")," stimOS GmbH ")</f>
        <v> stimOS GmbH </v>
      </c>
    </row>
    <row r="473">
      <c r="B473" s="6" t="str">
        <f>IFERROR(__xludf.DUMMYFUNCTION("""COMPUTED_VALUE""")," Devices ")</f>
        <v> Devices </v>
      </c>
    </row>
    <row r="474">
      <c r="B474" s="6" t="str">
        <f>IFERROR(__xludf.DUMMYFUNCTION("""COMPUTED_VALUE"""),"Medical technology, implant materials, surface finishing, bioactivation, 
drug transport")</f>
        <v>Medical technology, implant materials, surface finishing, bioactivation, 
drug transport</v>
      </c>
    </row>
    <row r="475">
      <c r="B475" s="6" t="str">
        <f>IFERROR(__xludf.DUMMYFUNCTION("""COMPUTED_VALUE""")," DE-Radolfzell ")</f>
        <v> DE-Radolfzell </v>
      </c>
    </row>
    <row r="476">
      <c r="B476" s="6" t="str">
        <f>IFERROR(__xludf.DUMMYFUNCTION("""COMPUTED_VALUE""")," Stolmár &amp; Partner ")</f>
        <v> Stolmár &amp; Partner </v>
      </c>
    </row>
    <row r="477">
      <c r="B477" s="6" t="str">
        <f>IFERROR(__xludf.DUMMYFUNCTION("""COMPUTED_VALUE""")," Diagnostics, Devices, Drugs &amp; Therapy, Data ")</f>
        <v> Diagnostics, Devices, Drugs &amp; Therapy, Data </v>
      </c>
    </row>
    <row r="478">
      <c r="B478" s="6" t="str">
        <f>IFERROR(__xludf.DUMMYFUNCTION("""COMPUTED_VALUE"""),"IP law firm services, patents, trademarks, designs, license – and 
cooperation agreements")</f>
        <v>IP law firm services, patents, trademarks, designs, license – and 
cooperation agreements</v>
      </c>
    </row>
    <row r="479">
      <c r="B479" s="6" t="str">
        <f>IFERROR(__xludf.DUMMYFUNCTION("""COMPUTED_VALUE""")," DE-Neuhausen ob Eck ")</f>
        <v> DE-Neuhausen ob Eck </v>
      </c>
    </row>
    <row r="480">
      <c r="B480" s="6" t="str">
        <f>IFERROR(__xludf.DUMMYFUNCTION("""COMPUTED_VALUE""")," Südpack Medica AG ")</f>
        <v> Südpack Medica AG </v>
      </c>
    </row>
    <row r="481">
      <c r="B481" s="6" t="str">
        <f>IFERROR(__xludf.DUMMYFUNCTION("""COMPUTED_VALUE""")," Diagnostics, Drugs &amp; Therapy ")</f>
        <v> Diagnostics, Drugs &amp; Therapy </v>
      </c>
    </row>
    <row r="482">
      <c r="B482" s="6"/>
    </row>
    <row r="483">
      <c r="B483" s="6" t="str">
        <f>IFERROR(__xludf.DUMMYFUNCTION("""COMPUTED_VALUE""")," CH-Baar ")</f>
        <v> CH-Baar </v>
      </c>
    </row>
    <row r="484">
      <c r="B484" s="6" t="str">
        <f>IFERROR(__xludf.DUMMYFUNCTION("""COMPUTED_VALUE""")," SuFIDA Innovation Lab ")</f>
        <v> SuFIDA Innovation Lab </v>
      </c>
    </row>
    <row r="485">
      <c r="B485" s="6" t="str">
        <f>IFERROR(__xludf.DUMMYFUNCTION("""COMPUTED_VALUE""")," Diagnostics ")</f>
        <v> Diagnostics </v>
      </c>
    </row>
    <row r="486">
      <c r="B486" s="6" t="str">
        <f>IFERROR(__xludf.DUMMYFUNCTION("""COMPUTED_VALUE"""),"Assay development, digital assay technology, microscopy, fluorescence 
microscopy, data analysis")</f>
        <v>Assay development, digital assay technology, microscopy, fluorescence 
microscopy, data analysis</v>
      </c>
    </row>
    <row r="487">
      <c r="B487" s="6" t="str">
        <f>IFERROR(__xludf.DUMMYFUNCTION("""COMPUTED_VALUE""")," DE-Jülich ")</f>
        <v> DE-Jülich </v>
      </c>
    </row>
    <row r="488">
      <c r="B488" s="6" t="str">
        <f>IFERROR(__xludf.DUMMYFUNCTION("""COMPUTED_VALUE""")," SwissAnalysis AG ")</f>
        <v> SwissAnalysis AG </v>
      </c>
    </row>
    <row r="489">
      <c r="B489" s="6" t="str">
        <f>IFERROR(__xludf.DUMMYFUNCTION("""COMPUTED_VALUE""")," Diagnostics ")</f>
        <v> Diagnostics </v>
      </c>
    </row>
    <row r="490">
      <c r="B490" s="6" t="str">
        <f>IFERROR(__xludf.DUMMYFUNCTION("""COMPUTED_VALUE"""),"Laboratory medicine, micronutrients, metabolism, routine diagnostics, 
emergency diagnostics")</f>
        <v>Laboratory medicine, micronutrients, metabolism, routine diagnostics, 
emergency diagnostics</v>
      </c>
    </row>
    <row r="491">
      <c r="B491" s="6" t="str">
        <f>IFERROR(__xludf.DUMMYFUNCTION("""COMPUTED_VALUE""")," CH-Tägerwilen ")</f>
        <v> CH-Tägerwilen </v>
      </c>
    </row>
    <row r="492">
      <c r="B492" s="6" t="str">
        <f>IFERROR(__xludf.DUMMYFUNCTION("""COMPUTED_VALUE""")," Swissatest Testmaterialien AG ")</f>
        <v> Swissatest Testmaterialien AG </v>
      </c>
    </row>
    <row r="493">
      <c r="B493" s="6" t="str">
        <f>IFERROR(__xludf.DUMMYFUNCTION("""COMPUTED_VALUE""")," Diagnostics ")</f>
        <v> Diagnostics </v>
      </c>
    </row>
    <row r="494">
      <c r="B494" s="6" t="str">
        <f>IFERROR(__xludf.DUMMYFUNCTION("""COMPUTED_VALUE"""),"Biofilm, Hygiene, Microbiology, Testmaterials, Textiles")</f>
        <v>Biofilm, Hygiene, Microbiology, Testmaterials, Textiles</v>
      </c>
    </row>
    <row r="495">
      <c r="B495" s="6" t="str">
        <f>IFERROR(__xludf.DUMMYFUNCTION("""COMPUTED_VALUE""")," CH-St. Gallen ")</f>
        <v> CH-St. Gallen </v>
      </c>
    </row>
    <row r="496">
      <c r="B496" s="6" t="str">
        <f>IFERROR(__xludf.DUMMYFUNCTION("""COMPUTED_VALUE""")," Takeda GmbH ")</f>
        <v> Takeda GmbH </v>
      </c>
    </row>
    <row r="497">
      <c r="B497" s="6" t="str">
        <f>IFERROR(__xludf.DUMMYFUNCTION("""COMPUTED_VALUE""")," Drugs &amp; Therapy ")</f>
        <v> Drugs &amp; Therapy </v>
      </c>
    </row>
    <row r="498">
      <c r="B498" s="6" t="str">
        <f>IFERROR(__xludf.DUMMYFUNCTION("""COMPUTED_VALUE"""),"oncology, gastroenterology, neuroscience and rare diseases")</f>
        <v>oncology, gastroenterology, neuroscience and rare diseases</v>
      </c>
    </row>
    <row r="499">
      <c r="B499" s="6" t="str">
        <f>IFERROR(__xludf.DUMMYFUNCTION("""COMPUTED_VALUE""")," DE-Konstanz ")</f>
        <v> DE-Konstanz </v>
      </c>
    </row>
    <row r="500">
      <c r="B500" s="6" t="str">
        <f>IFERROR(__xludf.DUMMYFUNCTION("""COMPUTED_VALUE""")," Taut Science And Service GmbH ")</f>
        <v> Taut Science And Service GmbH </v>
      </c>
    </row>
    <row r="501">
      <c r="B501" s="6" t="str">
        <f>IFERROR(__xludf.DUMMYFUNCTION("""COMPUTED_VALUE""")," Drugs &amp; Therapy ")</f>
        <v> Drugs &amp; Therapy </v>
      </c>
    </row>
    <row r="502">
      <c r="B502" s="6" t="str">
        <f>IFERROR(__xludf.DUMMYFUNCTION("""COMPUTED_VALUE"""),"Clinical Studies, Medical Science, Project management,Research and 
Development, Strategy")</f>
        <v>Clinical Studies, Medical Science, Project management,Research and 
Development, Strategy</v>
      </c>
    </row>
    <row r="503">
      <c r="B503" s="6" t="str">
        <f>IFERROR(__xludf.DUMMYFUNCTION("""COMPUTED_VALUE""")," DE-Konstanz ")</f>
        <v> DE-Konstanz </v>
      </c>
    </row>
    <row r="504">
      <c r="B504" s="6" t="str">
        <f>IFERROR(__xludf.DUMMYFUNCTION("""COMPUTED_VALUE""")," trenzyme GmbH ")</f>
        <v> trenzyme GmbH </v>
      </c>
    </row>
    <row r="505">
      <c r="B505" s="6" t="str">
        <f>IFERROR(__xludf.DUMMYFUNCTION("""COMPUTED_VALUE""")," Drugs &amp; Therapy ")</f>
        <v> Drugs &amp; Therapy </v>
      </c>
    </row>
    <row r="506">
      <c r="B506" s="6" t="str">
        <f>IFERROR(__xludf.DUMMYFUNCTION("""COMPUTED_VALUE"""),"GMP-compliant cell line development, protein expression, protein 
purification, stable cell line development")</f>
        <v>GMP-compliant cell line development, protein expression, protein 
purification, stable cell line development</v>
      </c>
    </row>
    <row r="507">
      <c r="B507" s="6" t="str">
        <f>IFERROR(__xludf.DUMMYFUNCTION("""COMPUTED_VALUE""")," DE-Konstanz ")</f>
        <v> DE-Konstanz </v>
      </c>
    </row>
    <row r="508">
      <c r="B508" s="6" t="str">
        <f>IFERROR(__xludf.DUMMYFUNCTION("""COMPUTED_VALUE""")," TRIGA-S GmbH ")</f>
        <v> TRIGA-S GmbH </v>
      </c>
    </row>
    <row r="509">
      <c r="B509" s="6" t="str">
        <f>IFERROR(__xludf.DUMMYFUNCTION("""COMPUTED_VALUE""")," Diagnostics ")</f>
        <v> Diagnostics </v>
      </c>
    </row>
    <row r="510">
      <c r="B510" s="6" t="str">
        <f>IFERROR(__xludf.DUMMYFUNCTION("""COMPUTED_VALUE"""),"Clinical and technical studies, in-vitro-diagnostic, contract laboratory, 
sample management, sample storage")</f>
        <v>Clinical and technical studies, in-vitro-diagnostic, contract laboratory, 
sample management, sample storage</v>
      </c>
    </row>
    <row r="511">
      <c r="B511" s="6" t="str">
        <f>IFERROR(__xludf.DUMMYFUNCTION("""COMPUTED_VALUE""")," DE-Habach ")</f>
        <v> DE-Habach </v>
      </c>
    </row>
    <row r="512">
      <c r="B512" s="6" t="str">
        <f>IFERROR(__xludf.DUMMYFUNCTION("""COMPUTED_VALUE""")," ucura Deutschland GmbH ")</f>
        <v> ucura Deutschland GmbH </v>
      </c>
    </row>
    <row r="513">
      <c r="B513" s="6" t="str">
        <f>IFERROR(__xludf.DUMMYFUNCTION("""COMPUTED_VALUE""")," Data, Drugs &amp; Therapy ")</f>
        <v> Data, Drugs &amp; Therapy </v>
      </c>
    </row>
    <row r="514">
      <c r="B514" s="6" t="str">
        <f>IFERROR(__xludf.DUMMYFUNCTION("""COMPUTED_VALUE"""),"Care, telemedicine, digitalisation")</f>
        <v>Care, telemedicine, digitalisation</v>
      </c>
    </row>
    <row r="515">
      <c r="B515" s="6" t="str">
        <f>IFERROR(__xludf.DUMMYFUNCTION("""COMPUTED_VALUE""")," DE-Konstanz ")</f>
        <v> DE-Konstanz </v>
      </c>
    </row>
    <row r="516">
      <c r="B516" s="6" t="str">
        <f>IFERROR(__xludf.DUMMYFUNCTION("""COMPUTED_VALUE""")," UniteLabs AG ")</f>
        <v> UniteLabs AG </v>
      </c>
    </row>
    <row r="517">
      <c r="B517" s="6" t="str">
        <f>IFERROR(__xludf.DUMMYFUNCTION("""COMPUTED_VALUE""")," Devices, Data ")</f>
        <v> Devices, Data </v>
      </c>
    </row>
    <row r="518">
      <c r="B518" s="6" t="str">
        <f>IFERROR(__xludf.DUMMYFUNCTION("""COMPUTED_VALUE"""),"Digital infrastructure, process automation, data pipelines, IoT, device 
drivers, software integration, cloud platform")</f>
        <v>Digital infrastructure, process automation, data pipelines, IoT, device 
drivers, software integration, cloud platform</v>
      </c>
    </row>
    <row r="519">
      <c r="B519" s="6" t="str">
        <f>IFERROR(__xludf.DUMMYFUNCTION("""COMPUTED_VALUE""")," CH-Basel ")</f>
        <v> CH-Basel </v>
      </c>
    </row>
    <row r="520">
      <c r="B520" s="6" t="str">
        <f>IFERROR(__xludf.DUMMYFUNCTION("""COMPUTED_VALUE""")," Universität Konstanz ")</f>
        <v> Universität Konstanz </v>
      </c>
    </row>
    <row r="521">
      <c r="B521" s="6" t="str">
        <f>IFERROR(__xludf.DUMMYFUNCTION("""COMPUTED_VALUE""")," Devices, Diagnostics ")</f>
        <v> Devices, Diagnostics </v>
      </c>
    </row>
    <row r="522">
      <c r="B522" s="6" t="str">
        <f>IFERROR(__xludf.DUMMYFUNCTION("""COMPUTED_VALUE"""),"Immunology, biochemistry, cell biology, chemistry, genetics")</f>
        <v>Immunology, biochemistry, cell biology, chemistry, genetics</v>
      </c>
    </row>
    <row r="523">
      <c r="B523" s="6" t="str">
        <f>IFERROR(__xludf.DUMMYFUNCTION("""COMPUTED_VALUE""")," DE-Konstanz ")</f>
        <v> DE-Konstanz </v>
      </c>
    </row>
    <row r="524">
      <c r="B524" s="6" t="str">
        <f>IFERROR(__xludf.DUMMYFUNCTION("""COMPUTED_VALUE""")," Universität Ulm (ILM) ")</f>
        <v> Universität Ulm (ILM) </v>
      </c>
    </row>
    <row r="525">
      <c r="B525" s="6" t="str">
        <f>IFERROR(__xludf.DUMMYFUNCTION("""COMPUTED_VALUE""")," Diagnostics ")</f>
        <v> Diagnostics </v>
      </c>
    </row>
    <row r="526">
      <c r="B526" s="6" t="str">
        <f>IFERROR(__xludf.DUMMYFUNCTION("""COMPUTED_VALUE"""),"Sepsis, severe injuries, shock, immunology, translational research")</f>
        <v>Sepsis, severe injuries, shock, immunology, translational research</v>
      </c>
    </row>
    <row r="527">
      <c r="B527" s="6" t="str">
        <f>IFERROR(__xludf.DUMMYFUNCTION("""COMPUTED_VALUE""")," DE-Ulm ")</f>
        <v> DE-Ulm </v>
      </c>
    </row>
    <row r="528">
      <c r="B528" s="6" t="str">
        <f>IFERROR(__xludf.DUMMYFUNCTION("""COMPUTED_VALUE""")," Universitätsklinikum Ulm (ITI) ")</f>
        <v> Universitätsklinikum Ulm (ITI) </v>
      </c>
    </row>
    <row r="529">
      <c r="B529" s="6" t="str">
        <f>IFERROR(__xludf.DUMMYFUNCTION("""COMPUTED_VALUE""")," Diagnostics ")</f>
        <v> Diagnostics </v>
      </c>
    </row>
    <row r="530">
      <c r="B530" s="6" t="str">
        <f>IFERROR(__xludf.DUMMYFUNCTION("""COMPUTED_VALUE"""),"Sepsis, polytrauma, shock, immunology; transnational research")</f>
        <v>Sepsis, polytrauma, shock, immunology; transnational research</v>
      </c>
    </row>
    <row r="531">
      <c r="B531" s="6" t="str">
        <f>IFERROR(__xludf.DUMMYFUNCTION("""COMPUTED_VALUE""")," DE-Ulm ")</f>
        <v> DE-Ulm </v>
      </c>
    </row>
    <row r="532">
      <c r="B532" s="6" t="str">
        <f>IFERROR(__xludf.DUMMYFUNCTION("""COMPUTED_VALUE""")," University of Zurich-Institute for Medical Microbiology ")</f>
        <v> University of Zurich-Institute for Medical Microbiology </v>
      </c>
    </row>
    <row r="533">
      <c r="B533" s="6" t="str">
        <f>IFERROR(__xludf.DUMMYFUNCTION("""COMPUTED_VALUE""")," Diagnostics ")</f>
        <v> Diagnostics </v>
      </c>
    </row>
    <row r="534">
      <c r="B534" s="6" t="str">
        <f>IFERROR(__xludf.DUMMYFUNCTION("""COMPUTED_VALUE"""),"Research, teaching, diagnostics, bacteriology, microbiology, mycology, 
serology, antibiotic resistance, genome sequencing, NGS")</f>
        <v>Research, teaching, diagnostics, bacteriology, microbiology, mycology, 
serology, antibiotic resistance, genome sequencing, NGS</v>
      </c>
    </row>
    <row r="535">
      <c r="B535" s="6" t="str">
        <f>IFERROR(__xludf.DUMMYFUNCTION("""COMPUTED_VALUE""")," CH-Zürich ")</f>
        <v> CH-Zürich </v>
      </c>
    </row>
    <row r="536">
      <c r="B536" s="6" t="str">
        <f>IFERROR(__xludf.DUMMYFUNCTION("""COMPUTED_VALUE""")," USBEE-Labor für DNA-Analytik ")</f>
        <v> USBEE-Labor für DNA-Analytik </v>
      </c>
    </row>
    <row r="537">
      <c r="B537" s="6" t="str">
        <f>IFERROR(__xludf.DUMMYFUNCTION("""COMPUTED_VALUE""")," Diagnostics, Devices ")</f>
        <v> Diagnostics, Devices </v>
      </c>
    </row>
    <row r="538">
      <c r="B538" s="6" t="str">
        <f>IFERROR(__xludf.DUMMYFUNCTION("""COMPUTED_VALUE"""),"DNA analysis, DNA genealogy, PCR, sequencer maintenance, capillary 
electrophoresis equipment, ABI CE Maintenance (CE= Capillary Electrophoresis")</f>
        <v>DNA analysis, DNA genealogy, PCR, sequencer maintenance, capillary 
electrophoresis equipment, ABI CE Maintenance (CE= Capillary Electrophoresis</v>
      </c>
    </row>
    <row r="539">
      <c r="B539" s="6" t="str">
        <f>IFERROR(__xludf.DUMMYFUNCTION("""COMPUTED_VALUE""")," DE-Konstanz ")</f>
        <v> DE-Konstanz </v>
      </c>
    </row>
    <row r="540">
      <c r="B540" s="6" t="str">
        <f>IFERROR(__xludf.DUMMYFUNCTION("""COMPUTED_VALUE""")," Vetter Pharma-Fertigung GmbH &amp; Co. KG ")</f>
        <v> Vetter Pharma-Fertigung GmbH &amp; Co. KG </v>
      </c>
    </row>
    <row r="541">
      <c r="B541" s="6" t="str">
        <f>IFERROR(__xludf.DUMMYFUNCTION("""COMPUTED_VALUE""")," Drugs &amp; Therapy ")</f>
        <v> Drugs &amp; Therapy </v>
      </c>
    </row>
    <row r="542">
      <c r="B542" s="6" t="str">
        <f>IFERROR(__xludf.DUMMYFUNCTION("""COMPUTED_VALUE"""),"Injection systems , syringes, packaging, active substances")</f>
        <v>Injection systems , syringes, packaging, active substances</v>
      </c>
    </row>
    <row r="543">
      <c r="B543" s="6" t="str">
        <f>IFERROR(__xludf.DUMMYFUNCTION("""COMPUTED_VALUE""")," DE-Ravensburg ")</f>
        <v> DE-Ravensburg </v>
      </c>
    </row>
    <row r="544">
      <c r="B544" s="6" t="str">
        <f>IFERROR(__xludf.DUMMYFUNCTION("""COMPUTED_VALUE""")," VidaWell GmbH ")</f>
        <v> VidaWell GmbH </v>
      </c>
    </row>
    <row r="545">
      <c r="B545" s="6" t="str">
        <f>IFERROR(__xludf.DUMMYFUNCTION("""COMPUTED_VALUE""")," Data, Devices ")</f>
        <v> Data, Devices </v>
      </c>
    </row>
    <row r="546">
      <c r="B546" s="6" t="str">
        <f>IFERROR(__xludf.DUMMYFUNCTION("""COMPUTED_VALUE"""),"Apps, software, lifestyle, diagnostics, management, medical devices")</f>
        <v>Apps, software, lifestyle, diagnostics, management, medical devices</v>
      </c>
    </row>
    <row r="547">
      <c r="B547" s="6" t="str">
        <f>IFERROR(__xludf.DUMMYFUNCTION("""COMPUTED_VALUE""")," DE-Mühlhausen ")</f>
        <v> DE-Mühlhausen </v>
      </c>
    </row>
    <row r="548">
      <c r="B548" s="6" t="str">
        <f>IFERROR(__xludf.DUMMYFUNCTION("""COMPUTED_VALUE""")," ViREQ eHealth GmbH ")</f>
        <v> ViREQ eHealth GmbH </v>
      </c>
    </row>
    <row r="549">
      <c r="B549" s="6" t="str">
        <f>IFERROR(__xludf.DUMMYFUNCTION("""COMPUTED_VALUE""")," Data ")</f>
        <v> Data </v>
      </c>
    </row>
    <row r="550">
      <c r="B550" s="6" t="str">
        <f>IFERROR(__xludf.DUMMYFUNCTION("""COMPUTED_VALUE"""),"Medical informatics, diagnostics, clinical communication servers, e-health 
applications, data")</f>
        <v>Medical informatics, diagnostics, clinical communication servers, e-health 
applications, data</v>
      </c>
    </row>
    <row r="551">
      <c r="B551" s="6" t="str">
        <f>IFERROR(__xludf.DUMMYFUNCTION("""COMPUTED_VALUE""")," CH-Salenstein ")</f>
        <v> CH-Salenstein </v>
      </c>
    </row>
    <row r="552">
      <c r="B552" s="6" t="str">
        <f>IFERROR(__xludf.DUMMYFUNCTION("""COMPUTED_VALUE""")," VIVIT ")</f>
        <v> VIVIT </v>
      </c>
    </row>
    <row r="553">
      <c r="B553" s="6" t="str">
        <f>IFERROR(__xludf.DUMMYFUNCTION("""COMPUTED_VALUE""")," Diagnostics, Drugs &amp; Therapy, Data ")</f>
        <v> Diagnostics, Drugs &amp; Therapy, Data </v>
      </c>
    </row>
    <row r="554">
      <c r="B554" s="6" t="str">
        <f>IFERROR(__xludf.DUMMYFUNCTION("""COMPUTED_VALUE"""),"Genetics, biomarker oncology, cardiobiometabolic diseases, molecular 
biology, cell cultures, clinical studies, biostatistics")</f>
        <v>Genetics, biomarker oncology, cardiobiometabolic diseases, molecular 
biology, cell cultures, clinical studies, biostatistics</v>
      </c>
    </row>
    <row r="555">
      <c r="B555" s="6" t="str">
        <f>IFERROR(__xludf.DUMMYFUNCTION("""COMPUTED_VALUE""")," AT-Feldkirch ")</f>
        <v> AT-Feldkirch </v>
      </c>
    </row>
    <row r="556">
      <c r="B556" s="6" t="str">
        <f>IFERROR(__xludf.DUMMYFUNCTION("""COMPUTED_VALUE""")," Wild &amp; Küpfer AG ")</f>
        <v> Wild &amp; Küpfer AG </v>
      </c>
    </row>
    <row r="557">
      <c r="B557" s="6" t="str">
        <f>IFERROR(__xludf.DUMMYFUNCTION("""COMPUTED_VALUE""")," Diagnostics, Devices, Drugs &amp; Therapy, Data ")</f>
        <v> Diagnostics, Devices, Drugs &amp; Therapy, Data </v>
      </c>
    </row>
    <row r="558">
      <c r="B558" s="6" t="str">
        <f>IFERROR(__xludf.DUMMYFUNCTION("""COMPUTED_VALUE"""),"Injection molding technology, molds, materials, process technology and 
services, quality management")</f>
        <v>Injection molding technology, molds, materials, process technology and 
services, quality management</v>
      </c>
    </row>
    <row r="559">
      <c r="B559" s="6" t="str">
        <f>IFERROR(__xludf.DUMMYFUNCTION("""COMPUTED_VALUE""")," CH-Schmerikon ")</f>
        <v> CH-Schmerikon </v>
      </c>
    </row>
    <row r="560">
      <c r="B560" s="6" t="str">
        <f>IFERROR(__xludf.DUMMYFUNCTION("""COMPUTED_VALUE""")," wiwoco GmbH ")</f>
        <v> wiwoco GmbH </v>
      </c>
    </row>
    <row r="561">
      <c r="B561" s="6" t="str">
        <f>IFERROR(__xludf.DUMMYFUNCTION("""COMPUTED_VALUE""")," Diagnostics, Devices, Drugs &amp; Therapy, Data ")</f>
        <v> Diagnostics, Devices, Drugs &amp; Therapy, Data </v>
      </c>
    </row>
    <row r="562">
      <c r="B562" s="6" t="str">
        <f>IFERROR(__xludf.DUMMYFUNCTION("""COMPUTED_VALUE"""),"Biotechnology, product information, project management, research, 
technology studies")</f>
        <v>Biotechnology, product information, project management, research, 
technology studies</v>
      </c>
    </row>
    <row r="563">
      <c r="B563" s="6" t="str">
        <f>IFERROR(__xludf.DUMMYFUNCTION("""COMPUTED_VALUE""")," CH-Rapperswil ")</f>
        <v> CH-Rapperswil </v>
      </c>
    </row>
    <row r="564">
      <c r="B564" s="6" t="str">
        <f>IFERROR(__xludf.DUMMYFUNCTION("""COMPUTED_VALUE""")," XOLARIS Service Kapitalverwaltungs AG ")</f>
        <v> XOLARIS Service Kapitalverwaltungs AG </v>
      </c>
    </row>
    <row r="565">
      <c r="B565" s="6" t="str">
        <f>IFERROR(__xludf.DUMMYFUNCTION("""COMPUTED_VALUE""")," Diagnostics, Devices, Drugs &amp; Therapy, Data ")</f>
        <v> Diagnostics, Devices, Drugs &amp; Therapy, Data </v>
      </c>
    </row>
    <row r="566">
      <c r="B566" s="6" t="str">
        <f>IFERROR(__xludf.DUMMYFUNCTION("""COMPUTED_VALUE"""),"Capital management, risk management, portfolio management, private equity, 
real estate")</f>
        <v>Capital management, risk management, portfolio management, private equity, 
real estate</v>
      </c>
    </row>
    <row r="567">
      <c r="B567" s="6" t="str">
        <f>IFERROR(__xludf.DUMMYFUNCTION("""COMPUTED_VALUE""")," DE-München ")</f>
        <v> DE-München </v>
      </c>
    </row>
    <row r="568">
      <c r="B568" s="6" t="str">
        <f>IFERROR(__xludf.DUMMYFUNCTION("""COMPUTED_VALUE""")," Xtract GmbH ")</f>
        <v> Xtract GmbH </v>
      </c>
    </row>
    <row r="569">
      <c r="B569" s="6" t="str">
        <f>IFERROR(__xludf.DUMMYFUNCTION("""COMPUTED_VALUE""")," Drugs &amp; Therapy ")</f>
        <v> Drugs &amp; Therapy </v>
      </c>
    </row>
    <row r="570">
      <c r="B570" s="6" t="str">
        <f>IFERROR(__xludf.DUMMYFUNCTION("""COMPUTED_VALUE"""),"Patents, industrial chemistry, fertilisers, technology consulting, SME 
promotion programmes")</f>
        <v>Patents, industrial chemistry, fertilisers, technology consulting, SME 
promotion programmes</v>
      </c>
    </row>
    <row r="571">
      <c r="B571" s="6" t="str">
        <f>IFERROR(__xludf.DUMMYFUNCTION("""COMPUTED_VALUE""")," DE-Konstanz ")</f>
        <v> DE-Konstanz </v>
      </c>
    </row>
    <row r="572">
      <c r="B572" s="6" t="str">
        <f>IFERROR(__xludf.DUMMYFUNCTION("""COMPUTED_VALUE""")," ZAKlab GmbH ")</f>
        <v> ZAKlab GmbH </v>
      </c>
    </row>
    <row r="573">
      <c r="B573" s="6" t="str">
        <f>IFERROR(__xludf.DUMMYFUNCTION("""COMPUTED_VALUE""")," Diagnostics ")</f>
        <v> Diagnostics </v>
      </c>
    </row>
    <row r="574">
      <c r="B574" s="6" t="str">
        <f>IFERROR(__xludf.DUMMYFUNCTION("""COMPUTED_VALUE"""),"Diagnostics &amp; Analytics, Veterinary Medicine, Cell Diagnostics, Tick 
Diagnostics, Research")</f>
        <v>Diagnostics &amp; Analytics, Veterinary Medicine, Cell Diagnostics, Tick 
Diagnostics, Research</v>
      </c>
    </row>
    <row r="575">
      <c r="B575" s="6" t="str">
        <f>IFERROR(__xludf.DUMMYFUNCTION("""COMPUTED_VALUE""")," DE-Balingen ")</f>
        <v> DE-Balingen </v>
      </c>
    </row>
    <row r="576">
      <c r="B576" s="6" t="str">
        <f>IFERROR(__xludf.DUMMYFUNCTION("""COMPUTED_VALUE""")," Zentrum für Labormedizin St.Gallen (ZLM) ")</f>
        <v> Zentrum für Labormedizin St.Gallen (ZLM) </v>
      </c>
    </row>
    <row r="577">
      <c r="B577" s="6" t="str">
        <f>IFERROR(__xludf.DUMMYFUNCTION("""COMPUTED_VALUE""")," Diagnostics ")</f>
        <v> Diagnostics </v>
      </c>
    </row>
    <row r="578">
      <c r="B578" s="6" t="str">
        <f>IFERROR(__xludf.DUMMYFUNCTION("""COMPUTED_VALUE"""),"Laboratory Medicine, Clinical Chemistry, Hematology, Immunology, Hemostasis 
and Hemophilia Center, Microbiology, Bacteriology, Mycology, Parasitology, 
Molecular Biology, Virology, Molecular Genetics, Veterinary Diagnostics")</f>
        <v>Laboratory Medicine, Clinical Chemistry, Hematology, Immunology, Hemostasis 
and Hemophilia Center, Microbiology, Bacteriology, Mycology, Parasitology, 
Molecular Biology, Virology, Molecular Genetics, Veterinary Diagnostics</v>
      </c>
    </row>
    <row r="579">
      <c r="B579" s="6" t="str">
        <f>IFERROR(__xludf.DUMMYFUNCTION("""COMPUTED_VALUE""")," CH-St.Gallen ")</f>
        <v> CH-St.Gallen </v>
      </c>
    </row>
    <row r="580">
      <c r="B580" s="6" t="str">
        <f>IFERROR(__xludf.DUMMYFUNCTION("""COMPUTED_VALUE""")," ZH-Zerspanungstechnik GmbH ")</f>
        <v> ZH-Zerspanungstechnik GmbH </v>
      </c>
    </row>
    <row r="581">
      <c r="B581" s="6" t="str">
        <f>IFERROR(__xludf.DUMMYFUNCTION("""COMPUTED_VALUE""")," Devices ")</f>
        <v> Devices </v>
      </c>
    </row>
    <row r="582">
      <c r="B582" s="6" t="str">
        <f>IFERROR(__xludf.DUMMYFUNCTION("""COMPUTED_VALUE"""),"CAD/CAM milling technology, assembly, development")</f>
        <v>CAD/CAM milling technology, assembly, development</v>
      </c>
    </row>
    <row r="583">
      <c r="B583" s="6" t="str">
        <f>IFERROR(__xludf.DUMMYFUNCTION("""COMPUTED_VALUE""")," DE-Stockach ")</f>
        <v> DE-Stockach </v>
      </c>
    </row>
    <row r="584">
      <c r="B584" s="6" t="str">
        <f>IFERROR(__xludf.DUMMYFUNCTION("""COMPUTED_VALUE""")," Zwisler Laboratorium GmbH ")</f>
        <v> Zwisler Laboratorium GmbH </v>
      </c>
    </row>
    <row r="585">
      <c r="B585" s="6" t="str">
        <f>IFERROR(__xludf.DUMMYFUNCTION("""COMPUTED_VALUE""")," Diagnostics ")</f>
        <v> Diagnostics </v>
      </c>
    </row>
    <row r="586">
      <c r="B586" s="6" t="str">
        <f>IFERROR(__xludf.DUMMYFUNCTION("""COMPUTED_VALUE"""),"Microbiology, virology, molecular biology, hygiene Bacteriology")</f>
        <v>Microbiology, virology, molecular biology, hygiene Bacteriology</v>
      </c>
    </row>
    <row r="587">
      <c r="B587" s="6" t="str">
        <f>IFERROR(__xludf.DUMMYFUNCTION("""COMPUTED_VALUE""")," DE-Reichenau / Göldern-Ost. ")</f>
        <v> DE-Reichenau / Göldern-Ost. </v>
      </c>
    </row>
  </sheetData>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18</v>
      </c>
    </row>
    <row r="2">
      <c r="B2" s="2" t="s">
        <v>19</v>
      </c>
    </row>
    <row r="3">
      <c r="G3" s="2" t="s">
        <v>14</v>
      </c>
      <c r="H3" s="2" t="s">
        <v>5</v>
      </c>
      <c r="I3" s="2" t="s">
        <v>20</v>
      </c>
      <c r="J3" s="2" t="s">
        <v>21</v>
      </c>
    </row>
    <row r="4">
      <c r="B4" s="6" t="str">
        <f>IFERROR(__xludf.DUMMYFUNCTION("IMPORTXML(B1,B2)"),"#N/A")</f>
        <v>#N/A</v>
      </c>
    </row>
  </sheetData>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22</v>
      </c>
    </row>
    <row r="2">
      <c r="B2" s="2" t="s">
        <v>23</v>
      </c>
    </row>
    <row r="3">
      <c r="B3" s="4" t="s">
        <v>5</v>
      </c>
      <c r="C3" s="4" t="s">
        <v>11</v>
      </c>
    </row>
    <row r="4">
      <c r="A4" s="8" t="str">
        <f>IFERROR(__xludf.DUMMYFUNCTION("IMPORTXML(B1,B2)"),"")</f>
        <v/>
      </c>
      <c r="B4" s="6" t="str">
        <f>IFERROR(__xludf.DUMMYFUNCTION("""COMPUTED_VALUE"""),"Trialzen")</f>
        <v>Trialzen</v>
      </c>
      <c r="C4" s="6" t="str">
        <f>IFERROR(__xludf.DUMMYFUNCTION("""COMPUTED_VALUE"""),"Clinical trials constitute a critical component of our health and 
well-being. Their complexity has been consistently increasing over the 
years, along with their costs. At the same time, the need for flexibility 
and responsiveness is increasingly import"&amp;"ant, as the pressure to deliver 
new drugs faster is higher than ever. Technology,...")</f>
        <v>Clinical trials constitute a critical component of our health and 
well-being. Their complexity has been consistently increasing over the 
years, along with their costs. At the same time, the need for flexibility 
and responsiveness is increasingly important, as the pressure to deliver 
new drugs faster is higher than ever. Technology,...</v>
      </c>
      <c r="D4" s="6"/>
      <c r="E4" s="6"/>
    </row>
    <row r="5">
      <c r="A5" s="6"/>
      <c r="B5" s="6" t="str">
        <f>IFERROR(__xludf.DUMMYFUNCTION("""COMPUTED_VALUE"""),"2 Bridge")</f>
        <v>2 Bridge</v>
      </c>
      <c r="C5" s="6" t="str">
        <f>IFERROR(__xludf.DUMMYFUNCTION("""COMPUTED_VALUE"""),"2 Bridge is a Belgian-based company that provides scientific support, 
project leadership and due diligence services for pharmaceutical and 
healthcare product development and production. Expertise ranges from drug 
discovery, pre-clinical, product (CM&amp;C)"&amp;" up to clinical development, 
registration and life-cycle management. Services also include dedicated 
coaching and training. We are always...")</f>
        <v>2 Bridge is a Belgian-based company that provides scientific support, 
project leadership and due diligence services for pharmaceutical and 
healthcare product development and production. Expertise ranges from drug 
discovery, pre-clinical, product (CM&amp;C) up to clinical development, 
registration and life-cycle management. Services also include dedicated 
coaching and training. We are always...</v>
      </c>
      <c r="D5" s="6"/>
      <c r="E5" s="6"/>
    </row>
    <row r="6">
      <c r="A6" s="6"/>
      <c r="B6" s="6" t="str">
        <f>IFERROR(__xludf.DUMMYFUNCTION("""COMPUTED_VALUE"""),"3Biotech")</f>
        <v>3Biotech</v>
      </c>
      <c r="C6" s="6"/>
      <c r="D6" s="6" t="str">
        <f>IFERROR(__xludf.DUMMYFUNCTION("""COMPUTED_VALUE"""),"3Biotech is a consulting and support company for drug development projects. 
Our benchmark activity is CMC, we support biotechs on all aspects of their 
development, until the end of phase 2 and transfer to Phase 3 The company 
has existed for more than 1"&amp;"0 years, founded and run by Olivier…")</f>
        <v>3Biotech is a consulting and support company for drug development projects. 
Our benchmark activity is CMC, we support biotechs on all aspects of their 
development, until the end of phase 2 and transfer to Phase 3 The company 
has existed for more than 10 years, founded and run by Olivier…</v>
      </c>
      <c r="E6" s="6"/>
    </row>
    <row r="7">
      <c r="A7" s="6"/>
      <c r="B7" s="6" t="str">
        <f>IFERROR(__xludf.DUMMYFUNCTION("""COMPUTED_VALUE"""),"3D-Side")</f>
        <v>3D-Side</v>
      </c>
      <c r="C7" s="6"/>
      <c r="D7" s="6" t="str">
        <f>IFERROR(__xludf.DUMMYFUNCTION("""COMPUTED_VALUE"""),"3D-Side is a Belgian company which develops, manufactures and markets 
patient specific products for bone surgery based on 3D technologies. Its 
mission is to offer patient specific medical devices to allow planning of 
complex surgeries with incomparable"&amp;" quality.")</f>
        <v>3D-Side is a Belgian company which develops, manufactures and markets 
patient specific products for bone surgery based on 3D technologies. Its 
mission is to offer patient specific medical devices to allow planning of 
complex surgeries with incomparable quality.</v>
      </c>
      <c r="E7" s="6"/>
    </row>
    <row r="8">
      <c r="A8" s="6"/>
      <c r="B8" s="6" t="str">
        <f>IFERROR(__xludf.DUMMYFUNCTION("""COMPUTED_VALUE"""),"Abscint")</f>
        <v>Abscint</v>
      </c>
      <c r="C8" s="6" t="str">
        <f>IFERROR(__xludf.DUMMYFUNCTION("""COMPUTED_VALUE"""),"ABSCINT is a molecular imaging company. ABSCINT has two lead programs in 
clinical stage, one in cardiovascular disease and one in oncology. The 
focus of ABSCINT is on single domain antibodies for diagnostics. The 
technology is used for detection of dis"&amp;"ease, patient stratification and 
treatment guidance and evaluation.")</f>
        <v>ABSCINT is a molecular imaging company. ABSCINT has two lead programs in 
clinical stage, one in cardiovascular disease and one in oncology. The 
focus of ABSCINT is on single domain antibodies for diagnostics. The 
technology is used for detection of disease, patient stratification and 
treatment guidance and evaluation.</v>
      </c>
      <c r="D8" s="6"/>
      <c r="E8" s="6"/>
    </row>
    <row r="9">
      <c r="A9" s="6" t="str">
        <f>IFERROR(__xludf.DUMMYFUNCTION("""COMPUTED_VALUE"""),"Actemium (Promatic w)")</f>
        <v>Actemium (Promatic w)</v>
      </c>
      <c r="B9" s="6" t="str">
        <f>IFERROR(__xludf.DUMMYFUNCTION("""COMPUTED_VALUE"""),"Actemium Belgium has developed an established reputation in advice, study, 
realization and support for industrial processes in electricity, 
instrumentation, automation and assembly, including the offer of a whole 
range of service possibilities and comp"&amp;"lete training programmes. Website")</f>
        <v>Actemium Belgium has developed an established reputation in advice, study, 
realization and support for industrial processes in electricity, 
instrumentation, automation and assembly, including the offer of a whole 
range of service possibilities and complete training programmes. Website</v>
      </c>
      <c r="C9" s="6"/>
      <c r="D9" s="6"/>
      <c r="E9" s="6"/>
    </row>
    <row r="10">
      <c r="A10" s="6"/>
      <c r="B10" s="6" t="str">
        <f>IFERROR(__xludf.DUMMYFUNCTION("""COMPUTED_VALUE"""),"Ad Hoc Clinical BVBA")</f>
        <v>Ad Hoc Clinical BVBA</v>
      </c>
      <c r="C10" s="6" t="str">
        <f>IFERROR(__xludf.DUMMYFUNCTION("""COMPUTED_VALUE"""),"Ad Hoc Clinical is a privately owned CRO rendering services to all actors 
involved in clinical research (CRO’s, pharmaceutical industry , biotech, 
medical device companies, …) We are particularly dedicated to study start 
up and monitoring services for "&amp;"your clinical trials/ clinical 
investigations. Ad Hoc has operational activities in Belgium, ...")</f>
        <v>Ad Hoc Clinical is a privately owned CRO rendering services to all actors 
involved in clinical research (CRO’s, pharmaceutical industry , biotech, 
medical device companies, …) We are particularly dedicated to study start 
up and monitoring services for your clinical trials/ clinical 
investigations. Ad Hoc has operational activities in Belgium, ...</v>
      </c>
      <c r="D10" s="6"/>
      <c r="E10" s="6"/>
    </row>
    <row r="11">
      <c r="A11" s="6"/>
      <c r="B11" s="6" t="str">
        <f>IFERROR(__xludf.DUMMYFUNCTION("""COMPUTED_VALUE"""),"Advanced Technology Corporation (ATC-Pharma)")</f>
        <v>Advanced Technology Corporation (ATC-Pharma)</v>
      </c>
      <c r="C11" s="6" t="str">
        <f>IFERROR(__xludf.DUMMYFUNCTION("""COMPUTED_VALUE"""),"Advanced Technology Corporation (A.T.C.) is a provider of high quality 
services for the Pharmaceutical industry and Laboratories of Life Sciences. 
Since 1995, A.T.C. is certified GLP (Good Laboratory Practice). Website")</f>
        <v>Advanced Technology Corporation (A.T.C.) is a provider of high quality 
services for the Pharmaceutical industry and Laboratories of Life Sciences. 
Since 1995, A.T.C. is certified GLP (Good Laboratory Practice). Website</v>
      </c>
      <c r="D11" s="6"/>
      <c r="E11" s="6"/>
    </row>
    <row r="12">
      <c r="A12" s="6"/>
      <c r="B12" s="6" t="str">
        <f>IFERROR(__xludf.DUMMYFUNCTION("""COMPUTED_VALUE"""),"AEC Partners")</f>
        <v>AEC Partners</v>
      </c>
      <c r="C12" s="6"/>
      <c r="D12" s="6" t="str">
        <f>IFERROR(__xludf.DUMMYFUNCTION("""COMPUTED_VALUE"""),"AEC Partners provides consulting &amp; transactional services to the evolving 
Life Sciences industry : Bringing a forward-looking vision based on 
well-founded recommendations Facilitating senior management decision-making 
Mobilizing teams for business tran"&amp;"sformation Website")</f>
        <v>AEC Partners provides consulting &amp; transactional services to the evolving 
Life Sciences industry : Bringing a forward-looking vision based on 
well-founded recommendations Facilitating senior management decision-making 
Mobilizing teams for business transformation Website</v>
      </c>
      <c r="E12" s="6"/>
    </row>
    <row r="13">
      <c r="A13" s="6"/>
      <c r="B13" s="6" t="str">
        <f>IFERROR(__xludf.DUMMYFUNCTION("""COMPUTED_VALUE"""),"AFMPS")</f>
        <v>AFMPS</v>
      </c>
      <c r="C13" s="6" t="str">
        <f>IFERROR(__xludf.DUMMYFUNCTION("""COMPUTED_VALUE"""),"The FAMHP is the competent authority responsible for the quality, safety 
and efficacy of medicines and health products. We work together with health 
professionals and other competent authorities at the national and 
international level to ensure the pop"&amp;"ulation the optimal use of the 
medicines and health products they need. On...")</f>
        <v>The FAMHP is the competent authority responsible for the quality, safety 
and efficacy of medicines and health products. We work together with health 
professionals and other competent authorities at the national and 
international level to ensure the population the optimal use of the 
medicines and health products they need. On...</v>
      </c>
      <c r="D13" s="6"/>
      <c r="E13" s="6"/>
    </row>
    <row r="14">
      <c r="A14" s="6"/>
      <c r="B14" s="6" t="str">
        <f>IFERROR(__xludf.DUMMYFUNCTION("""COMPUTED_VALUE"""),"Akkodis")</f>
        <v>Akkodis</v>
      </c>
      <c r="C14" s="6" t="str">
        <f>IFERROR(__xludf.DUMMYFUNCTION("""COMPUTED_VALUE"""),"Akkodis is an innovative leader in the Smart Industry, delivering 
consultancy services and solutions in more than 30 countries worldwide. By 
operating at the intersection of science and technology, we link your 
business needs with our vast expertise in"&amp;" Life Sciences, IT and 
Engineering. Whatever your challenge, our Belgian team...")</f>
        <v>Akkodis is an innovative leader in the Smart Industry, delivering 
consultancy services and solutions in more than 30 countries worldwide. By 
operating at the intersection of science and technology, we link your 
business needs with our vast expertise in Life Sciences, IT and 
Engineering. Whatever your challenge, our Belgian team...</v>
      </c>
      <c r="D14" s="6"/>
      <c r="E14" s="6"/>
    </row>
    <row r="15">
      <c r="A15" s="6"/>
      <c r="B15" s="6" t="str">
        <f>IFERROR(__xludf.DUMMYFUNCTION("""COMPUTED_VALUE"""),"Alcyon Belux SA")</f>
        <v>Alcyon Belux SA</v>
      </c>
      <c r="C15" s="6" t="str">
        <f>IFERROR(__xludf.DUMMYFUNCTION("""COMPUTED_VALUE"""),"Veterinary wholesaler providing veterinarians with all the goods and 
services required to practice their medicine freely and efficiently. ALCYON 
Belux was established by veterinarians 30 years ago.  Today, ALCYON is 
still owned 100% by more than 200 ve"&amp;"terinary practices. Alcyon is guided by 
a single strategy: fostering and strengthening the...")</f>
        <v>Veterinary wholesaler providing veterinarians with all the goods and 
services required to practice their medicine freely and efficiently. ALCYON 
Belux was established by veterinarians 30 years ago.  Today, ALCYON is 
still owned 100% by more than 200 veterinary practices. Alcyon is guided by 
a single strategy: fostering and strengthening the...</v>
      </c>
      <c r="D15" s="6"/>
      <c r="E15" s="6"/>
    </row>
    <row r="16">
      <c r="A16" s="6"/>
      <c r="B16" s="6" t="str">
        <f>IFERROR(__xludf.DUMMYFUNCTION("""COMPUTED_VALUE"""),"Allior")</f>
        <v>Allior</v>
      </c>
      <c r="C16" s="6" t="str">
        <f>IFERROR(__xludf.DUMMYFUNCTION("""COMPUTED_VALUE"""),"Allior proposes a tailor-made recruitment service to small and medium-size 
enterprises active in the earth and life sciences in the Charleroi area. 
Personalized recruitment for the biotechnology, agri-food, environment and 
pharmaceutical sectors Allior"&amp;" differentiates itself by offering a 
customized service that addresses the specific HR needs of each company 
while...")</f>
        <v>Allior proposes a tailor-made recruitment service to small and medium-size 
enterprises active in the earth and life sciences in the Charleroi area. 
Personalized recruitment for the biotechnology, agri-food, environment and 
pharmaceutical sectors Allior differentiates itself by offering a 
customized service that addresses the specific HR needs of each company 
while...</v>
      </c>
      <c r="D16" s="6"/>
      <c r="E16" s="6"/>
    </row>
    <row r="17">
      <c r="A17" s="6"/>
      <c r="B17" s="6" t="str">
        <f>IFERROR(__xludf.DUMMYFUNCTION("""COMPUTED_VALUE"""),"Allyfe SRL")</f>
        <v>Allyfe SRL</v>
      </c>
      <c r="C17" s="6" t="str">
        <f>IFERROR(__xludf.DUMMYFUNCTION("""COMPUTED_VALUE"""),"Allyfe is the platform of choice for patient enrolment and engagement in 
clinical research. It all started from the team’s common desire to create a 
state-of the-art product which would make patient pre-screening, onboarding 
and informed consent easy, "&amp;"fast and reliable. The team is driven by the 
will to empower...")</f>
        <v>Allyfe is the platform of choice for patient enrolment and engagement in 
clinical research. It all started from the team’s common desire to create a 
state-of the-art product which would make patient pre-screening, onboarding 
and informed consent easy, fast and reliable. The team is driven by the 
will to empower...</v>
      </c>
      <c r="D17" s="6"/>
      <c r="E17" s="6"/>
    </row>
    <row r="18">
      <c r="A18" s="6"/>
      <c r="B18" s="6" t="str">
        <f>IFERROR(__xludf.DUMMYFUNCTION("""COMPUTED_VALUE"""),"ALTANEOS")</f>
        <v>ALTANEOS</v>
      </c>
      <c r="C18" s="6" t="str">
        <f>IFERROR(__xludf.DUMMYFUNCTION("""COMPUTED_VALUE"""),"Altaneos is an electronic and embedded software design house that helps 
industrials to create and sell innovative products of high technology. 
Either you are an industrial actor, a start-up company or a Spin-off 
company, Altaneos is your valued partner"&amp;" for operations such as analysis, 
Research &amp; Development, consultancy, industrialisation and manufacturing...")</f>
        <v>Altaneos is an electronic and embedded software design house that helps 
industrials to create and sell innovative products of high technology. 
Either you are an industrial actor, a start-up company or a Spin-off 
company, Altaneos is your valued partner for operations such as analysis, 
Research &amp; Development, consultancy, industrialisation and manufacturing...</v>
      </c>
      <c r="D18" s="6"/>
      <c r="E18" s="6"/>
    </row>
    <row r="19">
      <c r="A19" s="6"/>
      <c r="B19" s="6" t="str">
        <f>IFERROR(__xludf.DUMMYFUNCTION("""COMPUTED_VALUE"""),"Alten Belgium")</f>
        <v>Alten Belgium</v>
      </c>
      <c r="C19" s="6" t="str">
        <f>IFERROR(__xludf.DUMMYFUNCTION("""COMPUTED_VALUE"""),"ALTEN Belgium is a leading consultancy &amp; engineering company in the fields 
of Engineering, Life Science and IT in which our people and clients are 
central. Our consultants carry out complex and highly technical projects 
throughout the value chain of th"&amp;"e most prestigious companies in all sectors 
of the industry. ALTEN...")</f>
        <v>ALTEN Belgium is a leading consultancy &amp; engineering company in the fields 
of Engineering, Life Science and IT in which our people and clients are 
central. Our consultants carry out complex and highly technical projects 
throughout the value chain of the most prestigious companies in all sectors 
of the industry. ALTEN...</v>
      </c>
      <c r="D19" s="6"/>
      <c r="E19" s="6"/>
    </row>
    <row r="20">
      <c r="A20" s="6"/>
      <c r="B20" s="6" t="str">
        <f>IFERROR(__xludf.DUMMYFUNCTION("""COMPUTED_VALUE"""),"AMP Innovation")</f>
        <v>AMP Innovation</v>
      </c>
      <c r="C20" s="6" t="str">
        <f>IFERROR(__xludf.DUMMYFUNCTION("""COMPUTED_VALUE"""),"Since 2009, AMP Innovation srl aims to support the projects and managers of 
SMEs in the biotech, health and agro-food sectors by helping them to set up 
and manage national and regional research projects, valorize the results of 
research and bring innov"&amp;"ative products to the market. CONTACT AMP 
Innovation srl...")</f>
        <v>Since 2009, AMP Innovation srl aims to support the projects and managers of 
SMEs in the biotech, health and agro-food sectors by helping them to set up 
and manage national and regional research projects, valorize the results of 
research and bring innovative products to the market. CONTACT AMP 
Innovation srl...</v>
      </c>
      <c r="D20" s="6"/>
      <c r="E20" s="6"/>
    </row>
    <row r="21">
      <c r="A21" s="6"/>
      <c r="B21" s="6" t="str">
        <f>IFERROR(__xludf.DUMMYFUNCTION("""COMPUTED_VALUE"""),"Analis")</f>
        <v>Analis</v>
      </c>
      <c r="C21" s="6" t="str">
        <f>IFERROR(__xludf.DUMMYFUNCTION("""COMPUTED_VALUE"""),"A LABORATORY HAS NO SECRETS FOR US. 90 YEARS OF EXPERIENCE. 30 000 USERS. 
MORE THAN 90 BRANDS. As a distributor and manufacturer of instruments and 
furniture for laboratories, ANALIS sa/nv is a renowned company in the 
Benelux. Established in 1927, Anal"&amp;"is is headquartered in Namur (Belgium 
South) and has...")</f>
        <v>A LABORATORY HAS NO SECRETS FOR US. 90 YEARS OF EXPERIENCE. 30 000 USERS. 
MORE THAN 90 BRANDS. As a distributor and manufacturer of instruments and 
furniture for laboratories, ANALIS sa/nv is a renowned company in the 
Benelux. Established in 1927, Analis is headquartered in Namur (Belgium 
South) and has...</v>
      </c>
      <c r="D21" s="6"/>
      <c r="E21" s="6"/>
    </row>
    <row r="22">
      <c r="A22" s="6"/>
      <c r="B22" s="6" t="str">
        <f>IFERROR(__xludf.DUMMYFUNCTION("""COMPUTED_VALUE"""),"Andaman7")</f>
        <v>Andaman7</v>
      </c>
      <c r="C22" s="6" t="str">
        <f>IFERROR(__xludf.DUMMYFUNCTION("""COMPUTED_VALUE"""),"Andaman7 is a Belgian-American eHealth company and was created to 
significantly improve communication and efficiency in collaboration between 
healthcare actors: patients, doctors, and researchers. The company’s 
particular strengths are in RWE, QoL, PRO"&amp;" studies. Andaman7 is the most 
advanced platform to run your decentralized or hybrid clinical trial. We 
make...")</f>
        <v>Andaman7 is a Belgian-American eHealth company and was created to 
significantly improve communication and efficiency in collaboration between 
healthcare actors: patients, doctors, and researchers. The company’s 
particular strengths are in RWE, QoL, PRO studies. Andaman7 is the most 
advanced platform to run your decentralized or hybrid clinical trial. We 
make...</v>
      </c>
      <c r="D22" s="6"/>
      <c r="E22" s="6"/>
    </row>
    <row r="23">
      <c r="A23" s="6"/>
      <c r="B23" s="6" t="str">
        <f>IFERROR(__xludf.DUMMYFUNCTION("""COMPUTED_VALUE"""),"Antigon SA")</f>
        <v>Antigon SA</v>
      </c>
      <c r="C23" s="6" t="str">
        <f>IFERROR(__xludf.DUMMYFUNCTION("""COMPUTED_VALUE"""),"MedTech player in Immuno-Hematology and Transfusion aiming to revolutionize 
IVD testing at bedside. Website")</f>
        <v>MedTech player in Immuno-Hematology and Transfusion aiming to revolutionize 
IVD testing at bedside. Website</v>
      </c>
      <c r="D23" s="6"/>
      <c r="E23" s="6"/>
    </row>
    <row r="24">
      <c r="A24" s="6"/>
      <c r="B24" s="6" t="str">
        <f>IFERROR(__xludf.DUMMYFUNCTION("""COMPUTED_VALUE"""),"Anywr Belgium")</f>
        <v>Anywr Belgium</v>
      </c>
      <c r="C24" s="6" t="str">
        <f>IFERROR(__xludf.DUMMYFUNCTION("""COMPUTED_VALUE"""),"For the past 10 years, Anywr has been accompanying Talents who want to 
change their professional life and connecting them with recruiting 
companies around the world, especially in the Tech, Life Sciences, Medical 
and Human Resources sectors. Our challe"&amp;"nges? To understand the Talents, 
their strengths and their wishes, to understand the needs of...")</f>
        <v>For the past 10 years, Anywr has been accompanying Talents who want to 
change their professional life and connecting them with recruiting 
companies around the world, especially in the Tech, Life Sciences, Medical 
and Human Resources sectors. Our challenges? To understand the Talents, 
their strengths and their wishes, to understand the needs of...</v>
      </c>
      <c r="D24" s="6"/>
      <c r="E24" s="6"/>
    </row>
    <row r="25">
      <c r="A25" s="6"/>
      <c r="B25" s="6" t="str">
        <f>IFERROR(__xludf.DUMMYFUNCTION("""COMPUTED_VALUE"""),"Aon Belgium BV / SP")</f>
        <v>Aon Belgium BV / SP</v>
      </c>
      <c r="C25" s="6" t="str">
        <f>IFERROR(__xludf.DUMMYFUNCTION("""COMPUTED_VALUE"""),"Aon is a leading global provider of risk management, insurance brokerage, 
reinsurance brokerage and human resource solutions with 50.000 employees in 
over 120 countries. We provide our customers with independent advice 
regarding insurances, reinsurance"&amp;"s, risk management, pensions and employee 
benefits. Aon Belgium is part of Aon plc (NYSE: AON) with...")</f>
        <v>Aon is a leading global provider of risk management, insurance brokerage, 
reinsurance brokerage and human resource solutions with 50.000 employees in 
over 120 countries. We provide our customers with independent advice 
regarding insurances, reinsurances, risk management, pensions and employee 
benefits. Aon Belgium is part of Aon plc (NYSE: AON) with...</v>
      </c>
      <c r="D25" s="6"/>
      <c r="E25" s="6"/>
    </row>
    <row r="26">
      <c r="A26" s="6"/>
      <c r="B26" s="6" t="str">
        <f>IFERROR(__xludf.DUMMYFUNCTION("""COMPUTED_VALUE"""),"Aquilon Pharmaceuticals")</f>
        <v>Aquilon Pharmaceuticals</v>
      </c>
      <c r="C26" s="6" t="str">
        <f>IFERROR(__xludf.DUMMYFUNCTION("""COMPUTED_VALUE"""),"Aquilon Pharma focuses on the early steps of drug development. It 
identifies, evaluates and licenses in promising academic projects in the 
pulmonary field. It then uses its translational expertise to consolidate 
the pharmaceutical, pre-clinical, toxico"&amp;"logical, clinical and intellectual 
property packages, so as to increase the value and license out the...")</f>
        <v>Aquilon Pharma focuses on the early steps of drug development. It 
identifies, evaluates and licenses in promising academic projects in the 
pulmonary field. It then uses its translational expertise to consolidate 
the pharmaceutical, pre-clinical, toxicological, clinical and intellectual 
property packages, so as to increase the value and license out the...</v>
      </c>
      <c r="D26" s="6"/>
      <c r="E26" s="6"/>
    </row>
    <row r="27">
      <c r="A27" s="6"/>
      <c r="B27" s="6" t="str">
        <f>IFERROR(__xludf.DUMMYFUNCTION("""COMPUTED_VALUE"""),"Arsalis")</f>
        <v>Arsalis</v>
      </c>
      <c r="C27" s="6" t="str">
        <f>IFERROR(__xludf.DUMMYFUNCTION("""COMPUTED_VALUE"""),"Arsalis is a spin-off of the Laboratory of physiology and biomechanics of 
locomotion (LOCO) and the Laboratory of rehabilitation and physical 
medicine (READ) of Université catholique de Louvain in Belgium. Since the 
early 1980's, these laboratories hav"&amp;"e developed an expertise in the 
measurement of human motor performance and in the...")</f>
        <v>Arsalis is a spin-off of the Laboratory of physiology and biomechanics of 
locomotion (LOCO) and the Laboratory of rehabilitation and physical 
medicine (READ) of Université catholique de Louvain in Belgium. Since the 
early 1980's, these laboratories have developed an expertise in the 
measurement of human motor performance and in the...</v>
      </c>
      <c r="D27" s="6"/>
      <c r="E27" s="6"/>
    </row>
    <row r="28">
      <c r="A28" s="6"/>
      <c r="B28" s="6" t="str">
        <f>IFERROR(__xludf.DUMMYFUNCTION("""COMPUTED_VALUE"""),"Artialis")</f>
        <v>Artialis</v>
      </c>
      <c r="C28" s="6" t="str">
        <f>IFERROR(__xludf.DUMMYFUNCTION("""COMPUTED_VALUE"""),"Artialis is a biotechnology company offering Preclinical, Clinical, and 
Biotesting services aiming to accelerate the development of ATMP, drugs, 
medical devices, and food supplements. Artialis is specialized in 
Musculoskeletal, inflammatory, gastrointe"&amp;"stinal, nutrition, and age-related 
disorders. Preclinical:  We deliver Pharmacodynamics, Pharmacokinetics, 
Toxicity, Biocompatibility, Local tolerance, and Proof-Of Concept studies 
(in vivo...")</f>
        <v>Artialis is a biotechnology company offering Preclinical, Clinical, and 
Biotesting services aiming to accelerate the development of ATMP, drugs, 
medical devices, and food supplements. Artialis is specialized in 
Musculoskeletal, inflammatory, gastrointestinal, nutrition, and age-related 
disorders. Preclinical:  We deliver Pharmacodynamics, Pharmacokinetics, 
Toxicity, Biocompatibility, Local tolerance, and Proof-Of Concept studies 
(in vivo...</v>
      </c>
      <c r="D28" s="6"/>
      <c r="E28" s="6"/>
    </row>
    <row r="29">
      <c r="A29" s="6"/>
      <c r="B29" s="6" t="str">
        <f>IFERROR(__xludf.DUMMYFUNCTION("""COMPUTED_VALUE"""),"Aseptic Technologies S.A.")</f>
        <v>Aseptic Technologies S.A.</v>
      </c>
      <c r="C29" s="6" t="str">
        <f>IFERROR(__xludf.DUMMYFUNCTION("""COMPUTED_VALUE"""),"Aseptic Technologies develops and manufactures innovative equipment used 
for the manufacture of injectable drugs, and in particular for the aseptic 
fill &amp; finish of new biotechnology drugs, such as cell therapy, gene 
therapy or therapeutic vaccines. Th"&amp;"e closed vial technology (AT-Closed 
Vial® Technology) is based on a vial supplied ready-to-fill:...")</f>
        <v>Aseptic Technologies develops and manufactures innovative equipment used 
for the manufacture of injectable drugs, and in particular for the aseptic 
fill &amp; finish of new biotechnology drugs, such as cell therapy, gene 
therapy or therapeutic vaccines. The closed vial technology (AT-Closed 
Vial® Technology) is based on a vial supplied ready-to-fill:...</v>
      </c>
      <c r="D29" s="6"/>
      <c r="E29" s="6"/>
    </row>
    <row r="30">
      <c r="A30" s="6"/>
      <c r="B30" s="6" t="str">
        <f>IFERROR(__xludf.DUMMYFUNCTION("""COMPUTED_VALUE"""),"ATB Therapeutics")</f>
        <v>ATB Therapeutics</v>
      </c>
      <c r="C30" s="6" t="str">
        <f>IFERROR(__xludf.DUMMYFUNCTION("""COMPUTED_VALUE"""),"ATB Therapeutics has engineered a proprietary technology to manufacture 
a unique kind of immunotherapeutic designed to combine very high efficacy 
with unprecedent safety profile. ATB Therapeutics was funded in 2017 and 
aims to generate a pipeline of as"&amp;"sets for hard-to-treat hematological and 
solid cancers. The company is now entering preclinical stage. Website")</f>
        <v>ATB Therapeutics has engineered a proprietary technology to manufacture 
a unique kind of immunotherapeutic designed to combine very high efficacy 
with unprecedent safety profile. ATB Therapeutics was funded in 2017 and 
aims to generate a pipeline of assets for hard-to-treat hematological and 
solid cancers. The company is now entering preclinical stage. Website</v>
      </c>
      <c r="D30" s="6"/>
      <c r="E30" s="6"/>
    </row>
    <row r="31">
      <c r="A31" s="6"/>
      <c r="B31" s="6" t="str">
        <f>IFERROR(__xludf.DUMMYFUNCTION("""COMPUTED_VALUE"""),"Atryon Belgium")</f>
        <v>Atryon Belgium</v>
      </c>
      <c r="C31" s="6" t="str">
        <f>IFERROR(__xludf.DUMMYFUNCTION("""COMPUTED_VALUE"""),"We are an operational strategy consulting firm for the Life Sciences 
industries (Pharma, Biotech, Medtech, Chemicals, Cosmetics) We support them 
in their projects, from strategy to results, throughout their life cycle 
(development, industrialization, o"&amp;"perations). We have a strong expertise in 
securing or improving performance, quality and regulatory compliance. This 
level...")</f>
        <v>We are an operational strategy consulting firm for the Life Sciences 
industries (Pharma, Biotech, Medtech, Chemicals, Cosmetics) We support them 
in their projects, from strategy to results, throughout their life cycle 
(development, industrialization, operations). We have a strong expertise in 
securing or improving performance, quality and regulatory compliance. This 
level...</v>
      </c>
      <c r="D31" s="6"/>
      <c r="E31" s="6"/>
    </row>
    <row r="32">
      <c r="A32" s="6"/>
      <c r="B32" s="6" t="str">
        <f>IFERROR(__xludf.DUMMYFUNCTION("""COMPUTED_VALUE"""),"AWA Benelux SA")</f>
        <v>AWA Benelux SA</v>
      </c>
      <c r="C32" s="6" t="str">
        <f>IFERROR(__xludf.DUMMYFUNCTION("""COMPUTED_VALUE"""),"European, Belgian and French Patent attorneys protecting and defending the 
IP assets of their clients by patents, trademarks, design models, copy 
rights and plant breeder rights. Website")</f>
        <v>European, Belgian and French Patent attorneys protecting and defending the 
IP assets of their clients by patents, trademarks, design models, copy 
rights and plant breeder rights. Website</v>
      </c>
      <c r="D32" s="6"/>
      <c r="E32" s="6"/>
    </row>
    <row r="33">
      <c r="A33" s="6"/>
      <c r="B33" s="6" t="str">
        <f>IFERROR(__xludf.DUMMYFUNCTION("""COMPUTED_VALUE"""),"Wallonia Export &amp; Investment Agency (AWEX)")</f>
        <v>Wallonia Export &amp; Investment Agency (AWEX)</v>
      </c>
      <c r="C33" s="6" t="str">
        <f>IFERROR(__xludf.DUMMYFUNCTION("""COMPUTED_VALUE"""),"The Wallonia Export &amp; Investment Agency (AWEX) is the institution in charge 
of the development and management of Wallonia’s domestic and international 
economic relations. AWEX supports every Walloon companies in every step of 
their international endeav"&amp;"ors. The agency’s vast network of connections 
ensures the best advisors are always by your...")</f>
        <v>The Wallonia Export &amp; Investment Agency (AWEX) is the institution in charge 
of the development and management of Wallonia’s domestic and international 
economic relations. AWEX supports every Walloon companies in every step of 
their international endeavors. The agency’s vast network of connections 
ensures the best advisors are always by your...</v>
      </c>
      <c r="D33" s="6"/>
      <c r="E33" s="6"/>
    </row>
    <row r="34">
      <c r="A34" s="6"/>
      <c r="B34" s="6" t="str">
        <f>IFERROR(__xludf.DUMMYFUNCTION("""COMPUTED_VALUE"""),"Axinesis")</f>
        <v>Axinesis</v>
      </c>
      <c r="C34" s="6" t="str">
        <f>IFERROR(__xludf.DUMMYFUNCTION("""COMPUTED_VALUE"""),"Axinesis is a robotics company dedicated to optimizing patient clinical 
outcomes through innovative and cost-effective neuro-rehabilitation 
technologies. Founded in 2015, Axinesis offers a proven and CE certified 
range of devices dedicated to upper lim"&amp;"b rehabilitation. At Axinesis, we 
design, manufacture, and distribute neurorehabilitation solutions devoted 
to upper limb therapy. With...")</f>
        <v>Axinesis is a robotics company dedicated to optimizing patient clinical 
outcomes through innovative and cost-effective neuro-rehabilitation 
technologies. Founded in 2015, Axinesis offers a proven and CE certified 
range of devices dedicated to upper limb rehabilitation. At Axinesis, we 
design, manufacture, and distribute neurorehabilitation solutions devoted 
to upper limb therapy. With...</v>
      </c>
      <c r="D34" s="6"/>
      <c r="E34" s="6"/>
    </row>
    <row r="35">
      <c r="A35" s="6"/>
      <c r="B35" s="6" t="str">
        <f>IFERROR(__xludf.DUMMYFUNCTION("""COMPUTED_VALUE"""),"Ayming")</f>
        <v>Ayming</v>
      </c>
      <c r="C35" s="6" t="str">
        <f>IFERROR(__xludf.DUMMYFUNCTION("""COMPUTED_VALUE"""),"Ayming is a consultancy firm specialized in improving business performance. 
Thanks to its up-to-the-minute knowledge of the funding requirements for 
the scientific activities of biotech companies, Ayming Belgium has emerged 
as a driver of growth and ex"&amp;"pert advisor in defining, implementing and 
managing the financing strategy of their innovations – a process which...")</f>
        <v>Ayming is a consultancy firm specialized in improving business performance. 
Thanks to its up-to-the-minute knowledge of the funding requirements for 
the scientific activities of biotech companies, Ayming Belgium has emerged 
as a driver of growth and expert advisor in defining, implementing and 
managing the financing strategy of their innovations – a process which...</v>
      </c>
      <c r="D35" s="6"/>
      <c r="E35" s="6"/>
    </row>
    <row r="36">
      <c r="A36" s="6"/>
      <c r="B36" s="6" t="str">
        <f>IFERROR(__xludf.DUMMYFUNCTION("""COMPUTED_VALUE"""),"B12 Consulting")</f>
        <v>B12 Consulting</v>
      </c>
      <c r="C36" s="6" t="str">
        <f>IFERROR(__xludf.DUMMYFUNCTION("""COMPUTED_VALUE"""),"B12 Consulting is an IT services company, expert in custom software 
development and artificial intelligence, with the mission to develop 
innovative and customized IT solutions to meet the business challenges of 
its Clients. B12 Consulting's expertise c"&amp;"overs 3 areas : - data science and 
artificial intelligence - custom software development...")</f>
        <v>B12 Consulting is an IT services company, expert in custom software 
development and artificial intelligence, with the mission to develop 
innovative and customized IT solutions to meet the business challenges of 
its Clients. B12 Consulting's expertise covers 3 areas : - data science and 
artificial intelligence - custom software development...</v>
      </c>
      <c r="D36" s="6"/>
      <c r="E36" s="6"/>
    </row>
    <row r="37">
      <c r="A37" s="6"/>
      <c r="B37" s="6" t="str">
        <f>IFERROR(__xludf.DUMMYFUNCTION("""COMPUTED_VALUE"""),"BakerHicks")</f>
        <v>BakerHicks</v>
      </c>
      <c r="C37" s="6"/>
      <c r="D37" s="6" t="str">
        <f>IFERROR(__xludf.DUMMYFUNCTION("""COMPUTED_VALUE"""),"With a Life Sciences pedigree and a passion for shaping a healthier, 
sustainable and safer world, our 1100+ design, engineering and project 
delivery experts are proud to support the health and biotech valley of 
tomorrow initiative across Belgium. Life "&amp;"Sciences &amp; Industry A 
multi-disciplinary design, engineering and project delivery company,…")</f>
        <v>With a Life Sciences pedigree and a passion for shaping a healthier, 
sustainable and safer world, our 1100+ design, engineering and project 
delivery experts are proud to support the health and biotech valley of 
tomorrow initiative across Belgium. Life Sciences &amp; Industry A 
multi-disciplinary design, engineering and project delivery company,…</v>
      </c>
      <c r="E37" s="6"/>
    </row>
    <row r="38">
      <c r="A38" s="6"/>
      <c r="B38" s="6" t="str">
        <f>IFERROR(__xludf.DUMMYFUNCTION("""COMPUTED_VALUE"""),"Barré SA")</f>
        <v>Barré SA</v>
      </c>
      <c r="C38" s="6" t="str">
        <f>IFERROR(__xludf.DUMMYFUNCTION("""COMPUTED_VALUE"""),"For over 20 years Barré has specialized in the design, production, 
installation and maintenance of Clean Piping, Air Procesing, final 
filtration HVAC for Biopharma and Biotech production sites. We also design 
and produce for our Biopharma and Biotech c"&amp;"ustomers a large variety of 
Stainless-Steel Equipment: Trolleys Work Tables Spray balls...")</f>
        <v>For over 20 years Barré has specialized in the design, production, 
installation and maintenance of Clean Piping, Air Procesing, final 
filtration HVAC for Biopharma and Biotech production sites. We also design 
and produce for our Biopharma and Biotech customers a large variety of 
Stainless-Steel Equipment: Trolleys Work Tables Spray balls...</v>
      </c>
      <c r="D38" s="6"/>
      <c r="E38" s="6"/>
    </row>
    <row r="39">
      <c r="A39" s="6"/>
      <c r="B39" s="6" t="str">
        <f>IFERROR(__xludf.DUMMYFUNCTION("""COMPUTED_VALUE"""),"Baxalta (Shire)")</f>
        <v>Baxalta (Shire)</v>
      </c>
      <c r="C39" s="6" t="str">
        <f>IFERROR(__xludf.DUMMYFUNCTION("""COMPUTED_VALUE"""),"Baxalta and Shire combined are the leading global biotechnology company 
focused on serving patients with rare diseases and highly specialized 
conditions.")</f>
        <v>Baxalta and Shire combined are the leading global biotechnology company 
focused on serving patients with rare diseases and highly specialized 
conditions.</v>
      </c>
      <c r="D39" s="6"/>
      <c r="E39" s="6"/>
    </row>
    <row r="40">
      <c r="A40" s="6"/>
      <c r="B40" s="6" t="str">
        <f>IFERROR(__xludf.DUMMYFUNCTION("""COMPUTED_VALUE"""),"BCI Pharma")</f>
        <v>BCI Pharma</v>
      </c>
      <c r="C40" s="6" t="str">
        <f>IFERROR(__xludf.DUMMYFUNCTION("""COMPUTED_VALUE"""),"BCI Pharma is a biotech company which focuses on the discovery and 
development of novel, highly potent and selective kinase inhibitors. Our 
aim is to bring new innovative treatments for neuropathic pain, psoriasis, 
endometriosis and cancer fields. BCI "&amp;"Pharma is an innovative 
biopharmaceutical company focused on small molecule drug discovery....")</f>
        <v>BCI Pharma is a biotech company which focuses on the discovery and 
development of novel, highly potent and selective kinase inhibitors. Our 
aim is to bring new innovative treatments for neuropathic pain, psoriasis, 
endometriosis and cancer fields. BCI Pharma is an innovative 
biopharmaceutical company focused on small molecule drug discovery....</v>
      </c>
      <c r="D40" s="6"/>
      <c r="E40" s="6"/>
    </row>
    <row r="41">
      <c r="A41" s="6"/>
      <c r="B41" s="6" t="str">
        <f>IFERROR(__xludf.DUMMYFUNCTION("""COMPUTED_VALUE"""),"BECARV")</f>
        <v>BECARV</v>
      </c>
      <c r="C41" s="6" t="str">
        <f>IFERROR(__xludf.DUMMYFUNCTION("""COMPUTED_VALUE"""),"For more than 10 years, BECARV's mission has been to design and implement 
robust processes that accelerate the time to market for innovative 
therapies and increase patient safety. BECARV is active in the field of 
cell and viral culture. BECARV is an ex"&amp;"pert in the analysis, customization, 
integration and automation...")</f>
        <v>For more than 10 years, BECARV's mission has been to design and implement 
robust processes that accelerate the time to market for innovative 
therapies and increase patient safety. BECARV is active in the field of 
cell and viral culture. BECARV is an expert in the analysis, customization, 
integration and automation...</v>
      </c>
      <c r="D41" s="6"/>
      <c r="E41" s="6"/>
    </row>
    <row r="42">
      <c r="A42" s="6"/>
      <c r="B42" s="6" t="str">
        <f>IFERROR(__xludf.DUMMYFUNCTION("""COMPUTED_VALUE"""),"Belgian Volition SRL")</f>
        <v>Belgian Volition SRL</v>
      </c>
      <c r="C42" s="6" t="str">
        <f>IFERROR(__xludf.DUMMYFUNCTION("""COMPUTED_VALUE"""),"Belgian Volition, main affiliate of VolitionRx Limited (NYSE: VNRX) is 
active in R&amp;D, production and worldwide distribution of immunology-based 
kits for in-vitro diagnostic detection of cancers and NETs (Neutrophil 
Extracellular Traps) related diseases"&amp;". Website")</f>
        <v>Belgian Volition, main affiliate of VolitionRx Limited (NYSE: VNRX) is 
active in R&amp;D, production and worldwide distribution of immunology-based 
kits for in-vitro diagnostic detection of cancers and NETs (Neutrophil 
Extracellular Traps) related diseases. Website</v>
      </c>
      <c r="D42" s="6"/>
      <c r="E42" s="6"/>
    </row>
    <row r="43">
      <c r="A43" s="6"/>
      <c r="B43" s="6" t="str">
        <f>IFERROR(__xludf.DUMMYFUNCTION("""COMPUTED_VALUE"""),"Biocair Belgium")</f>
        <v>Biocair Belgium</v>
      </c>
      <c r="C43" s="6" t="str">
        <f>IFERROR(__xludf.DUMMYFUNCTION("""COMPUTED_VALUE"""),"Biocair is the global specialist courier with over 30 years of dedicated 
experience in the pharmaceutical, biotechnology and life science sectors. 
Specifically, we provide dedicated, specialised logistics services – both 
the systems and the people – fo"&amp;"r the scientific sector and our services are 
the most comprehensive of its kind...")</f>
        <v>Biocair is the global specialist courier with over 30 years of dedicated 
experience in the pharmaceutical, biotechnology and life science sectors. 
Specifically, we provide dedicated, specialised logistics services – both 
the systems and the people – for the scientific sector and our services are 
the most comprehensive of its kind...</v>
      </c>
      <c r="D43" s="6"/>
      <c r="E43" s="6"/>
    </row>
    <row r="44">
      <c r="A44" s="6"/>
      <c r="B44" s="6" t="str">
        <f>IFERROR(__xludf.DUMMYFUNCTION("""COMPUTED_VALUE"""),"BioPark Dev (Charleroi Brussels South Biopark Dev SA)")</f>
        <v>BioPark Dev (Charleroi Brussels South Biopark Dev SA)</v>
      </c>
      <c r="C44" s="6" t="str">
        <f>IFERROR(__xludf.DUMMYFUNCTION("""COMPUTED_VALUE"""),"Brussels South Charleroi Biopark Dev's mission is to support company growth 
from innovative start-ups through to global players. They provide services 
throughout a company's life from inception through to providing 
'Soft-Landing' support for internatio"&amp;"nal companies seeking a base in the 
heart of europe. Website")</f>
        <v>Brussels South Charleroi Biopark Dev's mission is to support company growth 
from innovative start-ups through to global players. They provide services 
throughout a company's life from inception through to providing 
'Soft-Landing' support for international companies seeking a base in the 
heart of europe. Website</v>
      </c>
      <c r="D44" s="6"/>
      <c r="E44" s="6"/>
    </row>
    <row r="45">
      <c r="A45" s="6"/>
      <c r="B45" s="6" t="str">
        <f>IFERROR(__xludf.DUMMYFUNCTION("""COMPUTED_VALUE"""),"BioSenic")</f>
        <v>BioSenic</v>
      </c>
      <c r="C45" s="6" t="str">
        <f>IFERROR(__xludf.DUMMYFUNCTION("""COMPUTED_VALUE"""),"BioSenic is a leading biotech company specializing in the development of 
clinical assets issued from: (i), the allogeneic cell therapy platform 
ALLOB and (ii) the Arsenic TriOxide (ATO) platform. Key target indications 
for the platforms include Graft v"&amp;"ersus Host Disease (GvHD), Systemic lupus 
erythematosus (SLE), Systemic Sclerosis (SSc) and high-risk...")</f>
        <v>BioSenic is a leading biotech company specializing in the development of 
clinical assets issued from: (i), the allogeneic cell therapy platform 
ALLOB and (ii) the Arsenic TriOxide (ATO) platform. Key target indications 
for the platforms include Graft versus Host Disease (GvHD), Systemic lupus 
erythematosus (SLE), Systemic Sclerosis (SSc) and high-risk...</v>
      </c>
      <c r="D45" s="6"/>
      <c r="E45" s="6"/>
    </row>
    <row r="46">
      <c r="A46" s="6"/>
      <c r="B46" s="6" t="str">
        <f>IFERROR(__xludf.DUMMYFUNCTION("""COMPUTED_VALUE"""),"BioSourcing Sa")</f>
        <v>BioSourcing Sa</v>
      </c>
      <c r="C46" s="6" t="str">
        <f>IFERROR(__xludf.DUMMYFUNCTION("""COMPUTED_VALUE"""),"BioSourcing is developing a New Generation of Biotherapeutics, in 
particular Monoclonal Antibodies for Global Unmet Medical Needs : 
Available, Affordable, Sustainable. BioSourcing changes the design paradigm 
of these new biotherapeutics thanks to the m"&amp;"astery of several breakthrough 
technologies including genome editing (CRISPR). The BioSourcing disruptive 
approach leads to a drastic...")</f>
        <v>BioSourcing is developing a New Generation of Biotherapeutics, in 
particular Monoclonal Antibodies for Global Unmet Medical Needs : 
Available, Affordable, Sustainable. BioSourcing changes the design paradigm 
of these new biotherapeutics thanks to the mastery of several breakthrough 
technologies including genome editing (CRISPR). The BioSourcing disruptive 
approach leads to a drastic...</v>
      </c>
      <c r="D46" s="6"/>
      <c r="E46" s="6"/>
    </row>
    <row r="47">
      <c r="A47" s="6"/>
      <c r="B47" s="6" t="str">
        <f>IFERROR(__xludf.DUMMYFUNCTION("""COMPUTED_VALUE"""),"Bioxodes")</f>
        <v>Bioxodes</v>
      </c>
      <c r="C47" s="6" t="str">
        <f>IFERROR(__xludf.DUMMYFUNCTION("""COMPUTED_VALUE"""),"Bioxodes is a clinical stage company developing a first-in-class drug 
candidate, Ir-CPI, for the prevention of thrombosis and neuroinflammation 
in haemorrhagic stroke patients. Bioxodes’ innovative pipeline includes a 
clinical-stage program for the pre"&amp;"vention of thrombosis and 
neuroinflammation in patients with an intracerebral haemorrhage (ICH). 
Neuroinflammation plays a critical role in...")</f>
        <v>Bioxodes is a clinical stage company developing a first-in-class drug 
candidate, Ir-CPI, for the prevention of thrombosis and neuroinflammation 
in haemorrhagic stroke patients. Bioxodes’ innovative pipeline includes a 
clinical-stage program for the prevention of thrombosis and 
neuroinflammation in patients with an intracerebral haemorrhage (ICH). 
Neuroinflammation plays a critical role in...</v>
      </c>
      <c r="D47" s="6"/>
      <c r="E47" s="6"/>
    </row>
    <row r="48">
      <c r="A48" s="6"/>
      <c r="B48" s="6" t="str">
        <f>IFERROR(__xludf.DUMMYFUNCTION("""COMPUTED_VALUE"""),"Bridge2Health (formerly Centre d’innovation Médicale (SCINNAMIC))")</f>
        <v>Bridge2Health (formerly Centre d’innovation Médicale (SCINNAMIC))</v>
      </c>
      <c r="C48" s="6" t="str">
        <f>IFERROR(__xludf.DUMMYFUNCTION("""COMPUTED_VALUE"""),"Bridge2Health connects you to state-of-the-art healthcare solutions, from 
bench to bedside. We provide a unique and integrated access to academic 
research excellence and to personalized medicine tools developed at the 
University of Liège (ULg) and the "&amp;"University Hospital of Liège (CHU) in 
Belgium. Website")</f>
        <v>Bridge2Health connects you to state-of-the-art healthcare solutions, from 
bench to bedside. We provide a unique and integrated access to academic 
research excellence and to personalized medicine tools developed at the 
University of Liège (ULg) and the University Hospital of Liège (CHU) in 
Belgium. Website</v>
      </c>
      <c r="D48" s="6"/>
      <c r="E48" s="6"/>
    </row>
    <row r="49">
      <c r="A49" s="6"/>
      <c r="B49" s="6" t="str">
        <f>IFERROR(__xludf.DUMMYFUNCTION("""COMPUTED_VALUE"""),"Brussels Medical Device Center (BMDC)")</f>
        <v>Brussels Medical Device Center (BMDC)</v>
      </c>
      <c r="C49" s="6" t="str">
        <f>IFERROR(__xludf.DUMMYFUNCTION("""COMPUTED_VALUE"""),"Brussels Medical Device Center (BMDC) is a platform between passionate 
medical doctors and engineers working in partnership to develop innovative 
medical devices. We aim to co-create a dynamic, offering everyone technical 
solutions for innovative healt"&amp;"hcare. Website")</f>
        <v>Brussels Medical Device Center (BMDC) is a platform between passionate 
medical doctors and engineers working in partnership to develop innovative 
medical devices. We aim to co-create a dynamic, offering everyone technical 
solutions for innovative healthcare. Website</v>
      </c>
      <c r="D49" s="6"/>
      <c r="E49" s="6"/>
    </row>
    <row r="50">
      <c r="A50" s="6"/>
      <c r="B50" s="6" t="str">
        <f>IFERROR(__xludf.DUMMYFUNCTION("""COMPUTED_VALUE"""),"Calysta SA")</f>
        <v>Calysta SA</v>
      </c>
      <c r="C50" s="6" t="str">
        <f>IFERROR(__xludf.DUMMYFUNCTION("""COMPUTED_VALUE"""),"Calysta is a new style, resolutely modern intellectual property (IP) 
consulting firm seeking to constantly align IP with the business strategy 
of its clients. Alternative and Strategic Intellectual Property Services 
Calysta is positioned as a key playe"&amp;"r in intellectual property, rich in the 
most experienced and passionate talents, with the...")</f>
        <v>Calysta is a new style, resolutely modern intellectual property (IP) 
consulting firm seeking to constantly align IP with the business strategy 
of its clients. Alternative and Strategic Intellectual Property Services 
Calysta is positioned as a key player in intellectual property, rich in the 
most experienced and passionate talents, with the...</v>
      </c>
      <c r="D50" s="6"/>
      <c r="E50" s="6"/>
    </row>
    <row r="51">
      <c r="A51" s="6"/>
      <c r="B51" s="6" t="str">
        <f>IFERROR(__xludf.DUMMYFUNCTION("""COMPUTED_VALUE"""),"CellCarta")</f>
        <v>CellCarta</v>
      </c>
      <c r="C51" s="6" t="str">
        <f>IFERROR(__xludf.DUMMYFUNCTION("""COMPUTED_VALUE"""),"CellCarta offers a complete menu of assays to characterize and monitor the 
immune response during discovery, pre-clinical, and clinical development.")</f>
        <v>CellCarta offers a complete menu of assays to characterize and monitor the 
immune response during discovery, pre-clinical, and clinical development.</v>
      </c>
      <c r="D51" s="6"/>
      <c r="E51" s="6"/>
    </row>
    <row r="52">
      <c r="A52" s="6"/>
      <c r="B52" s="6" t="str">
        <f>IFERROR(__xludf.DUMMYFUNCTION("""COMPUTED_VALUE"""),"Catalent")</f>
        <v>Catalent</v>
      </c>
      <c r="C52" s="6" t="str">
        <f>IFERROR(__xludf.DUMMYFUNCTION("""COMPUTED_VALUE"""),"Catalent is the leading global provider of advanced delivery technologies, 
development, and manufacturing solutions for drugs, biologics, cell and 
gene therapies, and consumer health products. With over 85 years’ industry 
experience, Catalent has the p"&amp;"roven expertise, superior technologies and 
flexible solutions at the right scale to help ensure successful product...")</f>
        <v>Catalent is the leading global provider of advanced delivery technologies, 
development, and manufacturing solutions for drugs, biologics, cell and 
gene therapies, and consumer health products. With over 85 years’ industry 
experience, Catalent has the proven expertise, superior technologies and 
flexible solutions at the right scale to help ensure successful product...</v>
      </c>
      <c r="D52" s="6"/>
      <c r="E52" s="6"/>
    </row>
    <row r="53">
      <c r="A53" s="6"/>
      <c r="B53" s="6" t="str">
        <f>IFERROR(__xludf.DUMMYFUNCTION("""COMPUTED_VALUE"""),"aptaskil")</f>
        <v>aptaskil</v>
      </c>
      <c r="C53" s="6" t="str">
        <f>IFERROR(__xludf.DUMMYFUNCTION("""COMPUTED_VALUE"""),"aptaskil is the competence center for the chemical, biopharmaceutical and 
biotechnological industries. More than 145.000 hours training per year. 30 
internal and external trainers from the industrial world. 4.500 
persons/year trained. aptaskil propose "&amp;"a specific training offer : more 
than 120 short training modules for active workers and students &amp;...")</f>
        <v>aptaskil is the competence center for the chemical, biopharmaceutical and 
biotechnological industries. More than 145.000 hours training per year. 30 
internal and external trainers from the industrial world. 4.500 
persons/year trained. aptaskil propose a specific training offer : more 
than 120 short training modules for active workers and students &amp;...</v>
      </c>
      <c r="D53" s="6"/>
      <c r="E53" s="6"/>
    </row>
    <row r="54">
      <c r="A54" s="6"/>
      <c r="B54" s="6" t="str">
        <f>IFERROR(__xludf.DUMMYFUNCTION("""COMPUTED_VALUE"""),"Cell Matters")</f>
        <v>Cell Matters</v>
      </c>
      <c r="C54" s="6" t="str">
        <f>IFERROR(__xludf.DUMMYFUNCTION("""COMPUTED_VALUE"""),"Cell Matters unleashes cell therapy productivity by turning 
cryopreservation into a competitive advantage, offering an integrated set 
of GMP services, in line with regulatory, quality and GMP requirements of 
cell therapy industry: • Cryopreservation of"&amp;" leukopaks (leukapheresis) in 
our EU and in US platforms creating a cross-Atlantic regulatory bridge •...")</f>
        <v>Cell Matters unleashes cell therapy productivity by turning 
cryopreservation into a competitive advantage, offering an integrated set 
of GMP services, in line with regulatory, quality and GMP requirements of 
cell therapy industry: • Cryopreservation of leukopaks (leukapheresis) in 
our EU and in US platforms creating a cross-Atlantic regulatory bridge •...</v>
      </c>
      <c r="D54" s="6"/>
      <c r="E54" s="6"/>
    </row>
    <row r="55">
      <c r="A55" s="6"/>
      <c r="B55" s="6" t="str">
        <f>IFERROR(__xludf.DUMMYFUNCTION("""COMPUTED_VALUE"""),"Celyad Oncology")</f>
        <v>Celyad Oncology</v>
      </c>
      <c r="C55" s="6" t="str">
        <f>IFERROR(__xludf.DUMMYFUNCTION("""COMPUTED_VALUE"""),"Celyad is a biopharmaceutical company, specialized in CAR-T cell therapy, 
that is developing landmark technologies aimed at treating severe diseases 
with poor prognosis such as cancer. Website")</f>
        <v>Celyad is a biopharmaceutical company, specialized in CAR-T cell therapy, 
that is developing landmark technologies aimed at treating severe diseases 
with poor prognosis such as cancer. Website</v>
      </c>
      <c r="D55" s="6"/>
      <c r="E55" s="6"/>
    </row>
    <row r="56">
      <c r="A56" s="6"/>
      <c r="B56" s="6" t="str">
        <f>IFERROR(__xludf.DUMMYFUNCTION("""COMPUTED_VALUE"""),"Cenaero")</f>
        <v>Cenaero</v>
      </c>
      <c r="C56" s="6" t="str">
        <f>IFERROR(__xludf.DUMMYFUNCTION("""COMPUTED_VALUE"""),"Cenaero is a Walloon Research Center whose mission is to drive innovation 
in the industry by the way of numerical simulation and optimization 
techniques. Initially created to support the Aerospace field, we 
progressively performed a technology transfer"&amp;" to Biomedical applications. 
Website")</f>
        <v>Cenaero is a Walloon Research Center whose mission is to drive innovation 
in the industry by the way of numerical simulation and optimization 
techniques. Initially created to support the Aerospace field, we 
progressively performed a technology transfer to Biomedical applications. 
Website</v>
      </c>
      <c r="D56" s="6"/>
      <c r="E56" s="6"/>
    </row>
    <row r="57">
      <c r="A57" s="6"/>
      <c r="B57" s="6" t="str">
        <f>IFERROR(__xludf.DUMMYFUNCTION("""COMPUTED_VALUE"""),"Cenexi (Laboratoire Thissen)")</f>
        <v>Cenexi (Laboratoire Thissen)</v>
      </c>
      <c r="C57" s="6" t="str">
        <f>IFERROR(__xludf.DUMMYFUNCTION("""COMPUTED_VALUE"""),"Cenexi is a global provider of contract development and manufacturing 
services. Website")</f>
        <v>Cenexi is a global provider of contract development and manufacturing 
services. Website</v>
      </c>
      <c r="D57" s="6"/>
      <c r="E57" s="6"/>
    </row>
    <row r="58">
      <c r="A58" s="6"/>
      <c r="B58" s="6" t="str">
        <f>IFERROR(__xludf.DUMMYFUNCTION("""COMPUTED_VALUE"""),"Center for Microscopy and Molecular Imaging (CMMI)")</f>
        <v>Center for Microscopy and Molecular Imaging (CMMI)</v>
      </c>
      <c r="C58" s="6" t="str">
        <f>IFERROR(__xludf.DUMMYFUNCTION("""COMPUTED_VALUE"""),"The CMMI is an integrated preclinical imaging facility which provides 
services and training for academic and industrial partners.")</f>
        <v>The CMMI is an integrated preclinical imaging facility which provides 
services and training for academic and industrial partners.</v>
      </c>
      <c r="D58" s="6"/>
      <c r="E58" s="6"/>
    </row>
    <row r="59">
      <c r="A59" s="6"/>
      <c r="B59" s="6" t="str">
        <f>IFERROR(__xludf.DUMMYFUNCTION("""COMPUTED_VALUE"""),"Centre d’Excellence en Technologies de l’Information et de la Communication 
(CETIC)")</f>
        <v>Centre d’Excellence en Technologies de l’Information et de la Communication 
(CETIC)</v>
      </c>
      <c r="C59" s="6" t="str">
        <f>IFERROR(__xludf.DUMMYFUNCTION("""COMPUTED_VALUE"""),"As an applied research center in the field of ICT, CETIC’s mission is to 
support economic development by transferring the results of the most 
innovative research in ICT to companies, particularly SMEs.")</f>
        <v>As an applied research center in the field of ICT, CETIC’s mission is to 
support economic development by transferring the results of the most 
innovative research in ICT to companies, particularly SMEs.</v>
      </c>
      <c r="D59" s="6"/>
      <c r="E59" s="6"/>
    </row>
    <row r="60">
      <c r="A60" s="6"/>
      <c r="B60" s="6" t="str">
        <f>IFERROR(__xludf.DUMMYFUNCTION("""COMPUTED_VALUE"""),"CER Groupe")</f>
        <v>CER Groupe</v>
      </c>
      <c r="C60" s="6" t="str">
        <f>IFERROR(__xludf.DUMMYFUNCTION("""COMPUTED_VALUE"""),"CER Groupe is a Certified Research Center which provides services, analyses 
and products in medical, veterinarian, biotechnological, biomedical and 
agro-food fields. To meet evolving market demands and new international 
challenges, the structure has be"&amp;"en growing steadily, with currently 185+ 
employees on board. CERg is continuously involved in research projects 
with...")</f>
        <v>CER Groupe is a Certified Research Center which provides services, analyses 
and products in medical, veterinarian, biotechnological, biomedical and 
agro-food fields. To meet evolving market demands and new international 
challenges, the structure has been growing steadily, with currently 185+ 
employees on board. CERg is continuously involved in research projects 
with...</v>
      </c>
      <c r="D60" s="6"/>
      <c r="E60" s="6"/>
    </row>
    <row r="61">
      <c r="A61" s="6"/>
      <c r="B61" s="6" t="str">
        <f>IFERROR(__xludf.DUMMYFUNCTION("""COMPUTED_VALUE"""),"Cerhum")</f>
        <v>Cerhum</v>
      </c>
      <c r="C61" s="6" t="str">
        <f>IFERROR(__xludf.DUMMYFUNCTION("""COMPUTED_VALUE"""),"CERHUM is a company specialized in bone reconstruction for maxillofacial 
and orthopaedic surgery. We print custom-made bone graft. Our goal is to 
facilitate surgical interventions and achieve the best aesthetic result for 
the patient, by offering an al"&amp;"ternative solution to autografts and 
allografts. Product information CERHUM established a fully controlled...")</f>
        <v>CERHUM is a company specialized in bone reconstruction for maxillofacial 
and orthopaedic surgery. We print custom-made bone graft. Our goal is to 
facilitate surgical interventions and achieve the best aesthetic result for 
the patient, by offering an alternative solution to autografts and 
allografts. Product information CERHUM established a fully controlled...</v>
      </c>
      <c r="D61" s="6"/>
      <c r="E61" s="6"/>
    </row>
    <row r="62">
      <c r="A62" s="6"/>
      <c r="B62" s="6" t="str">
        <f>IFERROR(__xludf.DUMMYFUNCTION("""COMPUTED_VALUE"""),"Certech")</f>
        <v>Certech</v>
      </c>
      <c r="C62" s="6" t="str">
        <f>IFERROR(__xludf.DUMMYFUNCTION("""COMPUTED_VALUE"""),"Certech is a research &amp; development partner and supplier of analytical and 
technological services for companies involved in activities related to 
(bio)chemistry. The R&amp;D strategy is based on the synergies of our expertise 
in industrial processes, envir"&amp;"onment and polymer materials technology. 
Certech, your R&amp;D partner Our activities for life sciences...")</f>
        <v>Certech is a research &amp; development partner and supplier of analytical and 
technological services for companies involved in activities related to 
(bio)chemistry. The R&amp;D strategy is based on the synergies of our expertise 
in industrial processes, environment and polymer materials technology. 
Certech, your R&amp;D partner Our activities for life sciences...</v>
      </c>
      <c r="D62" s="6"/>
      <c r="E62" s="6"/>
    </row>
    <row r="63">
      <c r="A63" s="6"/>
      <c r="B63" s="6" t="str">
        <f>IFERROR(__xludf.DUMMYFUNCTION("""COMPUTED_VALUE"""),"ChromaCure S.A.")</f>
        <v>ChromaCure S.A.</v>
      </c>
      <c r="C63" s="6" t="str">
        <f>IFERROR(__xludf.DUMMYFUNCTION("""COMPUTED_VALUE"""),"ChromaCure is a spin-off van het laboratorium van Cédric Blanpain, at ULB. 
We are developing therapies against cancer. Website")</f>
        <v>ChromaCure is a spin-off van het laboratorium van Cédric Blanpain, at ULB. 
We are developing therapies against cancer. Website</v>
      </c>
      <c r="D63" s="6"/>
      <c r="E63" s="6"/>
    </row>
    <row r="64">
      <c r="A64" s="6"/>
      <c r="B64" s="6" t="str">
        <f>IFERROR(__xludf.DUMMYFUNCTION("""COMPUTED_VALUE"""),"CILYX")</f>
        <v>CILYX</v>
      </c>
      <c r="C64" s="6" t="str">
        <f>IFERROR(__xludf.DUMMYFUNCTION("""COMPUTED_VALUE"""),"With advanced skills in the field of electromechanics, CILYX is specialised 
in the development of production tools for the Life Sciences, 
pharmaceutical and biotech sectors mainly. CILYX has a team of 85 people, 
including more than 65 engineers and spe"&amp;"cialised technicians. The two 
companies achieve together a turnover of around...")</f>
        <v>With advanced skills in the field of electromechanics, CILYX is specialised 
in the development of production tools for the Life Sciences, 
pharmaceutical and biotech sectors mainly. CILYX has a team of 85 people, 
including more than 65 engineers and specialised technicians. The two 
companies achieve together a turnover of around...</v>
      </c>
      <c r="D64" s="6"/>
      <c r="E64" s="6"/>
    </row>
    <row r="65">
      <c r="A65" s="6"/>
      <c r="B65" s="6" t="str">
        <f>IFERROR(__xludf.DUMMYFUNCTION("""COMPUTED_VALUE"""),"CluePoints")</f>
        <v>CluePoints</v>
      </c>
      <c r="C65" s="6" t="str">
        <f>IFERROR(__xludf.DUMMYFUNCTION("""COMPUTED_VALUE"""),"CluePoints® offers cloud-based Risk-Based Monitoring software to improve 
data quality, increase operational efficiency and reduce regulatory 
submission risk. Website")</f>
        <v>CluePoints® offers cloud-based Risk-Based Monitoring software to improve 
data quality, increase operational efficiency and reduce regulatory 
submission risk. Website</v>
      </c>
      <c r="D65" s="6"/>
      <c r="E65" s="6"/>
    </row>
    <row r="66">
      <c r="A66" s="6"/>
      <c r="B66" s="6" t="str">
        <f>IFERROR(__xludf.DUMMYFUNCTION("""COMPUTED_VALUE"""),"Codibel")</f>
        <v>Codibel</v>
      </c>
      <c r="C66" s="6" t="str">
        <f>IFERROR(__xludf.DUMMYFUNCTION("""COMPUTED_VALUE"""),"Established since 1964, Codibel is a Belgian manufacturer and brand owner 
of medical devices and cosmetics in the oral hygiene, skin care and hair 
care segments. Visit website")</f>
        <v>Established since 1964, Codibel is a Belgian manufacturer and brand owner 
of medical devices and cosmetics in the oral hygiene, skin care and hair 
care segments. Visit website</v>
      </c>
      <c r="D66" s="6"/>
      <c r="E66" s="6"/>
    </row>
    <row r="67">
      <c r="A67" s="6"/>
      <c r="B67" s="6" t="str">
        <f>IFERROR(__xludf.DUMMYFUNCTION("""COMPUTED_VALUE"""),"Comunicare Solutions")</f>
        <v>Comunicare Solutions</v>
      </c>
      <c r="C67" s="6" t="str">
        <f>IFERROR(__xludf.DUMMYFUNCTION("""COMPUTED_VALUE"""),"COMUNICARE SOLUTIONS is a spin-off of the University of Liege, specialised 
in e-health. The company develops and commercialises a digital solution to 
support patients in chronic care and post-hospitalization contexts. The 
Comunicare telemedicine platfo"&amp;"rm provides, through patient empowerment, 
remote monitoring and disease-specfic predictive models, a 
non-pharmacological strategy to improve disease...")</f>
        <v>COMUNICARE SOLUTIONS is a spin-off of the University of Liege, specialised 
in e-health. The company develops and commercialises a digital solution to 
support patients in chronic care and post-hospitalization contexts. The 
Comunicare telemedicine platform provides, through patient empowerment, 
remote monitoring and disease-specfic predictive models, a 
non-pharmacological strategy to improve disease...</v>
      </c>
      <c r="D67" s="6"/>
      <c r="E67" s="6"/>
    </row>
    <row r="68">
      <c r="A68" s="6"/>
      <c r="B68" s="6" t="str">
        <f>IFERROR(__xludf.DUMMYFUNCTION("""COMPUTED_VALUE"""),"Connected-Pathology")</f>
        <v>Connected-Pathology</v>
      </c>
      <c r="C68" s="6" t="str">
        <f>IFERROR(__xludf.DUMMYFUNCTION("""COMPUTED_VALUE"""),"Connected-Pathology simplifies access to a range of complex laboratory 
testing and computational tools for providing and assessing translatable 
data. As a translation focused contract research laboratory, we help 
industry innovators unlock clinically r"&amp;"elevant insights based on our 
curated data pool and extensive portfolio of readouts for a reduced-risk 
path to...")</f>
        <v>Connected-Pathology simplifies access to a range of complex laboratory 
testing and computational tools for providing and assessing translatable 
data. As a translation focused contract research laboratory, we help 
industry innovators unlock clinically relevant insights based on our 
curated data pool and extensive portfolio of readouts for a reduced-risk 
path to...</v>
      </c>
      <c r="D68" s="6"/>
      <c r="E68" s="6"/>
    </row>
    <row r="69">
      <c r="A69" s="6"/>
      <c r="B69" s="6" t="str">
        <f>IFERROR(__xludf.DUMMYFUNCTION("""COMPUTED_VALUE"""),"convEyXO")</f>
        <v>convEyXO</v>
      </c>
      <c r="C69" s="6"/>
      <c r="D69" s="6" t="str">
        <f>IFERROR(__xludf.DUMMYFUNCTION("""COMPUTED_VALUE"""),"Therapeutic portfolio development for the treatment of chronic inflammation 
based on exosomes enriched with active substances by mechanoporation and 
produced on a large scale using a new-generation technology on a 3D matrix 
in fixed-bed bioreactors. Co"&amp;"nvEyXo, a preclinical-stage biotech, aims to 
revolutionise access to exosome-based treatments through innovative 
technology platforms….")</f>
        <v>Therapeutic portfolio development for the treatment of chronic inflammation 
based on exosomes enriched with active substances by mechanoporation and 
produced on a large scale using a new-generation technology on a 3D matrix 
in fixed-bed bioreactors. ConvEyXo, a preclinical-stage biotech, aims to 
revolutionise access to exosome-based treatments through innovative 
technology platforms….</v>
      </c>
      <c r="E69" s="6"/>
    </row>
    <row r="70">
      <c r="A70" s="6"/>
      <c r="B70" s="6" t="str">
        <f>IFERROR(__xludf.DUMMYFUNCTION("""COMPUTED_VALUE"""),"Cophana Distribution")</f>
        <v>Cophana Distribution</v>
      </c>
      <c r="C70" s="6" t="str">
        <f>IFERROR(__xludf.DUMMYFUNCTION("""COMPUTED_VALUE"""),"COPHANA has set its mission as offering integrated logistics services to 
health manufacturers, with a high degree of customisation and quality 
standards higher than the market norm. Website")</f>
        <v>COPHANA has set its mission as offering integrated logistics services to 
health manufacturers, with a high degree of customisation and quality 
standards higher than the market norm. Website</v>
      </c>
      <c r="D70" s="6"/>
      <c r="E70" s="6"/>
    </row>
    <row r="71">
      <c r="A71" s="6"/>
      <c r="B71" s="6" t="str">
        <f>IFERROR(__xludf.DUMMYFUNCTION("""COMPUTED_VALUE"""),"Coris BioConcept")</f>
        <v>Coris BioConcept</v>
      </c>
      <c r="C71" s="6" t="str">
        <f>IFERROR(__xludf.DUMMYFUNCTION("""COMPUTED_VALUE"""),"Coris BioConcept is a leading expert in the field of immunochromatographic 
technologies (ICT) since 1996. Based in Belgium, the company develops, 
produces and markets rapid diagnostic kits for human respiratory and 
gastro-enteric diseases. Coris has al"&amp;"so developed a large range for 
detecting antibiotic resistance markers and was the first to...")</f>
        <v>Coris BioConcept is a leading expert in the field of immunochromatographic 
technologies (ICT) since 1996. Based in Belgium, the company develops, 
produces and markets rapid diagnostic kits for human respiratory and 
gastro-enteric diseases. Coris has also developed a large range for 
detecting antibiotic resistance markers and was the first to...</v>
      </c>
      <c r="D71" s="6"/>
      <c r="E71" s="6"/>
    </row>
    <row r="72">
      <c r="A72" s="6"/>
      <c r="B72" s="6" t="str">
        <f>IFERROR(__xludf.DUMMYFUNCTION("""COMPUTED_VALUE"""),"CorQuest MedTech")</f>
        <v>CorQuest MedTech</v>
      </c>
      <c r="C72" s="6"/>
      <c r="D72" s="6" t="str">
        <f>IFERROR(__xludf.DUMMYFUNCTION("""COMPUTED_VALUE"""),"An early stage start-up aiming at developing new technologies focused on 
heart and vascular diseases that increase efficacy while reducing 
invasiveness. CorQuest MedTech srl was created in 2019 and is actively 
working on a first project targeting mitra"&amp;"l valve. Our main activities are 
directly related to our pipeline of cardiac…")</f>
        <v>An early stage start-up aiming at developing new technologies focused on 
heart and vascular diseases that increase efficacy while reducing 
invasiveness. CorQuest MedTech srl was created in 2019 and is actively 
working on a first project targeting mitral valve. Our main activities are 
directly related to our pipeline of cardiac…</v>
      </c>
      <c r="E72" s="6"/>
    </row>
    <row r="73">
      <c r="A73" s="6"/>
      <c r="B73" s="6" t="str">
        <f>IFERROR(__xludf.DUMMYFUNCTION("""COMPUTED_VALUE"""),"Covartim")</f>
        <v>Covartim</v>
      </c>
      <c r="C73" s="6" t="str">
        <f>IFERROR(__xludf.DUMMYFUNCTION("""COMPUTED_VALUE"""),"Covartim supports their customers throughout their medical devices 
development cycle by providing a hands-on, reliable and flexible approach.")</f>
        <v>Covartim supports their customers throughout their medical devices 
development cycle by providing a hands-on, reliable and flexible approach.</v>
      </c>
      <c r="D73" s="6"/>
      <c r="E73" s="6"/>
    </row>
    <row r="74">
      <c r="A74" s="6"/>
      <c r="B74" s="6" t="str">
        <f>IFERROR(__xludf.DUMMYFUNCTION("""COMPUTED_VALUE"""),"Cytomine Corporation SA")</f>
        <v>Cytomine Corporation SA</v>
      </c>
      <c r="C74" s="6" t="str">
        <f>IFERROR(__xludf.DUMMYFUNCTION("""COMPUTED_VALUE"""),"Specialized in Digital Pathology in the field of biomedical imaging, 
Cytomine develops IT solutions allowing collaborative work on its web 
platform available anywhere &amp; at any time. Cytomine brings Digital 
innovation at the service of Pathology by deve"&amp;"loping specific AI algorithms 
and by hosting a powerful and modular AI engine....")</f>
        <v>Specialized in Digital Pathology in the field of biomedical imaging, 
Cytomine develops IT solutions allowing collaborative work on its web 
platform available anywhere &amp; at any time. Cytomine brings Digital 
innovation at the service of Pathology by developing specific AI algorithms 
and by hosting a powerful and modular AI engine....</v>
      </c>
      <c r="D74" s="6"/>
      <c r="E74" s="6"/>
    </row>
    <row r="75">
      <c r="A75" s="6"/>
      <c r="B75" s="6" t="str">
        <f>IFERROR(__xludf.DUMMYFUNCTION("""COMPUTED_VALUE"""),"D-Tek")</f>
        <v>D-Tek</v>
      </c>
      <c r="C75" s="6" t="str">
        <f>IFERROR(__xludf.DUMMYFUNCTION("""COMPUTED_VALUE"""),"D-Tek has developed and produced diagnostic kits for auto-immune diseases 
since 1995. Website")</f>
        <v>D-Tek has developed and produced diagnostic kits for auto-immune diseases 
since 1995. Website</v>
      </c>
      <c r="D75" s="6"/>
      <c r="E75" s="6"/>
    </row>
    <row r="76">
      <c r="A76" s="6"/>
      <c r="B76" s="6" t="str">
        <f>IFERROR(__xludf.DUMMYFUNCTION("""COMPUTED_VALUE"""),"De Clercq &amp; Partners")</f>
        <v>De Clercq &amp; Partners</v>
      </c>
      <c r="C76" s="6"/>
      <c r="D76" s="6" t="str">
        <f>IFERROR(__xludf.DUMMYFUNCTION("""COMPUTED_VALUE"""),"From Idea to Intellectual Property (IP) is what De Clercq &amp; Partners stands 
for. We help you navigate through the complex and dynamic world of IP, 
securing optimum protection for your achievements by patents, trademarks, 
designs and domain names. Toget"&amp;"her with you, our superb team of over twenty 
qualified European…")</f>
        <v>From Idea to Intellectual Property (IP) is what De Clercq &amp; Partners stands 
for. We help you navigate through the complex and dynamic world of IP, 
securing optimum protection for your achievements by patents, trademarks, 
designs and domain names. Together with you, our superb team of over twenty 
qualified European…</v>
      </c>
      <c r="E76" s="6"/>
    </row>
    <row r="77">
      <c r="A77" s="6"/>
      <c r="B77" s="6" t="str">
        <f>IFERROR(__xludf.DUMMYFUNCTION("""COMPUTED_VALUE"""),"DeuterOncology NV")</f>
        <v>DeuterOncology NV</v>
      </c>
      <c r="C77" s="6"/>
      <c r="D77" s="6" t="str">
        <f>IFERROR(__xludf.DUMMYFUNCTION("""COMPUTED_VALUE"""),"DeuterOncology is a clinical-stage drug development company. Its lead 
product, DO-2, is a deuterated MET kinase inhibitor that is brain penetrant 
and is being developed as a potential ‘best in class’ targeted therapy for 
MET driven disease. MET-inhibit"&amp;"ors shows success in NSCLC however these 
treatments are hindered by the toxic…")</f>
        <v>DeuterOncology is a clinical-stage drug development company. Its lead 
product, DO-2, is a deuterated MET kinase inhibitor that is brain penetrant 
and is being developed as a potential ‘best in class’ targeted therapy for 
MET driven disease. MET-inhibitors shows success in NSCLC however these 
treatments are hindered by the toxic…</v>
      </c>
      <c r="E77" s="6"/>
    </row>
    <row r="78">
      <c r="A78" s="6"/>
      <c r="B78" s="6" t="str">
        <f>IFERROR(__xludf.DUMMYFUNCTION("""COMPUTED_VALUE"""),"DiAgam")</f>
        <v>DiAgam</v>
      </c>
      <c r="C78" s="6" t="str">
        <f>IFERROR(__xludf.DUMMYFUNCTION("""COMPUTED_VALUE"""),"DiAgam manufactures reagents for immunoturbidi¬metry. Our company 
specializes in high technology R&amp;D, based on immunology technologies. 
Website")</f>
        <v>DiAgam manufactures reagents for immunoturbidi¬metry. Our company 
specializes in high technology R&amp;D, based on immunology technologies. 
Website</v>
      </c>
      <c r="D78" s="6"/>
      <c r="E78" s="6"/>
    </row>
    <row r="79">
      <c r="A79" s="6"/>
      <c r="B79" s="6" t="str">
        <f>IFERROR(__xludf.DUMMYFUNCTION("""COMPUTED_VALUE"""),"DIAsource ImmunoAssays S.A.")</f>
        <v>DIAsource ImmunoAssays S.A.</v>
      </c>
      <c r="C79" s="6" t="str">
        <f>IFERROR(__xludf.DUMMYFUNCTION("""COMPUTED_VALUE"""),"DIAsource ImmunoAssays® S.A. (A BioVendor Group company) is an 
international diagnostic company based in Belgium with more than 30 years 
of experience in IVD (kits and instrumentation). Our expertise is in the 
development, manufacturing and marketing o"&amp;"f  clinical diagnostic products 
in the field of endocrinology, auto-immunity and infectious diseases. Our...")</f>
        <v>DIAsource ImmunoAssays® S.A. (A BioVendor Group company) is an 
international diagnostic company based in Belgium with more than 30 years 
of experience in IVD (kits and instrumentation). Our expertise is in the 
development, manufacturing and marketing of  clinical diagnostic products 
in the field of endocrinology, auto-immunity and infectious diseases. Our...</v>
      </c>
      <c r="D79" s="6"/>
      <c r="E79" s="6"/>
    </row>
    <row r="80">
      <c r="A80" s="6" t="str">
        <f>IFERROR(__xludf.DUMMYFUNCTION("""COMPUTED_VALUE"""),"Digital Image Analysis in Pathology (DIAPATH)")</f>
        <v>Digital Image Analysis in Pathology (DIAPATH)</v>
      </c>
      <c r="B80" s="6" t="str">
        <f>IFERROR(__xludf.DUMMYFUNCTION("""COMPUTED_VALUE"""),"DIAPATH is developing an integrated approach for the identification, 
characterization and validation of protein biomarkers in animal and human 
tissues (in close collaboration with the Pathological Anatomy Laboratory of 
Erasme Hospital). Website")</f>
        <v>DIAPATH is developing an integrated approach for the identification, 
characterization and validation of protein biomarkers in animal and human 
tissues (in close collaboration with the Pathological Anatomy Laboratory of 
Erasme Hospital). Website</v>
      </c>
      <c r="C80" s="6"/>
      <c r="D80" s="6"/>
      <c r="E80" s="6"/>
    </row>
    <row r="81">
      <c r="A81" s="6"/>
      <c r="B81" s="6" t="str">
        <f>IFERROR(__xludf.DUMMYFUNCTION("""COMPUTED_VALUE"""),"DNAlytics")</f>
        <v>DNAlytics</v>
      </c>
      <c r="C81" s="6" t="str">
        <f>IFERROR(__xludf.DUMMYFUNCTION("""COMPUTED_VALUE"""),"Expertise in Data Sciences and Artificial Intelligence in Healthcare, 
towards Research &amp; Development, Bio-manufacturing and Public Health 
DNAlytics provides data science expertise for healthcare, including data 
management, bio-informatics, bio-statisti"&amp;"cs, extending to Machine Learning 
and other Artificial Intelligence techniques. Our solutions prove 
attractive in clinical research, in drug and med-tech development,...")</f>
        <v>Expertise in Data Sciences and Artificial Intelligence in Healthcare, 
towards Research &amp; Development, Bio-manufacturing and Public Health 
DNAlytics provides data science expertise for healthcare, including data 
management, bio-informatics, bio-statistics, extending to Machine Learning 
and other Artificial Intelligence techniques. Our solutions prove 
attractive in clinical research, in drug and med-tech development,...</v>
      </c>
      <c r="D81" s="6"/>
      <c r="E81" s="6"/>
    </row>
    <row r="82">
      <c r="A82" s="6"/>
      <c r="B82" s="6" t="str">
        <f>IFERROR(__xludf.DUMMYFUNCTION("""COMPUTED_VALUE"""),"eClinica")</f>
        <v>eClinica</v>
      </c>
      <c r="C82" s="6" t="str">
        <f>IFERROR(__xludf.DUMMYFUNCTION("""COMPUTED_VALUE"""),"The eClinica mission is to deliver best in class services and solutions to 
help our customers in the pharmaceutical, biotech, veterinary and other 
life science industries optimise the way they manage their clinical trials, 
laboratory data,... in compli"&amp;"ance with regulatory standards. Website")</f>
        <v>The eClinica mission is to deliver best in class services and solutions to 
help our customers in the pharmaceutical, biotech, veterinary and other 
life science industries optimise the way they manage their clinical trials, 
laboratory data,... in compliance with regulatory standards. Website</v>
      </c>
      <c r="D82" s="6"/>
      <c r="E82" s="6"/>
    </row>
    <row r="83">
      <c r="A83" s="6"/>
      <c r="B83" s="6" t="str">
        <f>IFERROR(__xludf.DUMMYFUNCTION("""COMPUTED_VALUE"""),"ECSOR")</f>
        <v>ECSOR</v>
      </c>
      <c r="C83" s="6" t="str">
        <f>IFERROR(__xludf.DUMMYFUNCTION("""COMPUTED_VALUE"""),"EXPERT CRO providing integrated services in pharmaceutical 
biopharmaceutical and Medical device areas at an international level. 
website")</f>
        <v>EXPERT CRO providing integrated services in pharmaceutical 
biopharmaceutical and Medical device areas at an international level. 
website</v>
      </c>
      <c r="D83" s="6"/>
      <c r="E83" s="6"/>
    </row>
    <row r="84">
      <c r="A84" s="6"/>
      <c r="B84" s="6" t="str">
        <f>IFERROR(__xludf.DUMMYFUNCTION("""COMPUTED_VALUE"""),"EKLO")</f>
        <v>EKLO</v>
      </c>
      <c r="C84" s="6" t="str">
        <f>IFERROR(__xludf.DUMMYFUNCTION("""COMPUTED_VALUE"""),"EKLO is the foremost advisory organisation for the creation and development 
of innovative businesses and companies with strong potential for growth. 
Website")</f>
        <v>EKLO is the foremost advisory organisation for the creation and development 
of innovative businesses and companies with strong potential for growth. 
Website</v>
      </c>
      <c r="D84" s="6"/>
      <c r="E84" s="6"/>
    </row>
    <row r="85">
      <c r="A85" s="6"/>
      <c r="B85" s="6" t="str">
        <f>IFERROR(__xludf.DUMMYFUNCTION("""COMPUTED_VALUE"""),"Ellion")</f>
        <v>Ellion</v>
      </c>
      <c r="C85" s="6" t="str">
        <f>IFERROR(__xludf.DUMMYFUNCTION("""COMPUTED_VALUE"""),"With a solid background in innovation and R&amp;D, Ellion is supporting the 
Belgian Life Sciences market in all their manufacturing &amp; development 
projects. Our expertise focus is the following: Change Management and 
Project Management related to: Quality A"&amp;"ssurance, Qualification &amp; 
Validation, Compliance, Quality Control Engineering activities At Ellion, 
we disrupt the consulting...")</f>
        <v>With a solid background in innovation and R&amp;D, Ellion is supporting the 
Belgian Life Sciences market in all their manufacturing &amp; development 
projects. Our expertise focus is the following: Change Management and 
Project Management related to: Quality Assurance, Qualification &amp; 
Validation, Compliance, Quality Control Engineering activities At Ellion, 
we disrupt the consulting...</v>
      </c>
      <c r="D85" s="6"/>
      <c r="E85" s="6"/>
    </row>
    <row r="86">
      <c r="A86" s="6"/>
      <c r="B86" s="6" t="str">
        <f>IFERROR(__xludf.DUMMYFUNCTION("""COMPUTED_VALUE"""),"Elysia SA")</f>
        <v>Elysia SA</v>
      </c>
      <c r="C86" s="6" t="str">
        <f>IFERROR(__xludf.DUMMYFUNCTION("""COMPUTED_VALUE"""),"Your partner to ensure radio-pharmaceutical quality to fight more 
effectively against cancer. Website")</f>
        <v>Your partner to ensure radio-pharmaceutical quality to fight more 
effectively against cancer. Website</v>
      </c>
      <c r="D86" s="6"/>
      <c r="E86" s="6"/>
    </row>
    <row r="87">
      <c r="A87" s="6"/>
      <c r="B87" s="6" t="str">
        <f>IFERROR(__xludf.DUMMYFUNCTION("""COMPUTED_VALUE"""),"Endo Tools Therapeutics Sa")</f>
        <v>Endo Tools Therapeutics Sa</v>
      </c>
      <c r="C87" s="6" t="str">
        <f>IFERROR(__xludf.DUMMYFUNCTION("""COMPUTED_VALUE"""),"Endo Tools Therapeutics (ETT) is a privately held medical device company 
dedicated to the development of innovative devices providing new means of 
therapeutic interventions for gastroenterologists. Website")</f>
        <v>Endo Tools Therapeutics (ETT) is a privately held medical device company 
dedicated to the development of innovative devices providing new means of 
therapeutic interventions for gastroenterologists. Website</v>
      </c>
      <c r="D87" s="6"/>
      <c r="E87" s="6"/>
    </row>
    <row r="88">
      <c r="A88" s="6"/>
      <c r="B88" s="6" t="str">
        <f>IFERROR(__xludf.DUMMYFUNCTION("""COMPUTED_VALUE"""),"Enzybel International Sa")</f>
        <v>Enzybel International Sa</v>
      </c>
      <c r="C88" s="6" t="str">
        <f>IFERROR(__xludf.DUMMYFUNCTION("""COMPUTED_VALUE"""),"Enzybel International has been developing plant derived enzymes for 
decades. While, continually expanding our knowledge in this, we use our 
ever-growing expertise to improve the products we offer our customers. 
Website")</f>
        <v>Enzybel International has been developing plant derived enzymes for 
decades. While, continually expanding our knowledge in this, we use our 
ever-growing expertise to improve the products we offer our customers. 
Website</v>
      </c>
      <c r="D88" s="6"/>
      <c r="E88" s="6"/>
    </row>
    <row r="89">
      <c r="A89" s="6"/>
      <c r="B89" s="6" t="str">
        <f>IFERROR(__xludf.DUMMYFUNCTION("""COMPUTED_VALUE"""),"EONIX SA")</f>
        <v>EONIX SA</v>
      </c>
      <c r="C89" s="6" t="str">
        <f>IFERROR(__xludf.DUMMYFUNCTION("""COMPUTED_VALUE"""),"University spin-off active in data acquisition and management. Website")</f>
        <v>University spin-off active in data acquisition and management. Website</v>
      </c>
      <c r="D89" s="6"/>
      <c r="E89" s="6"/>
    </row>
    <row r="90">
      <c r="A90" s="6"/>
      <c r="B90" s="6" t="str">
        <f>IFERROR(__xludf.DUMMYFUNCTION("""COMPUTED_VALUE"""),"Eppendorf Application Technologies Sa")</f>
        <v>Eppendorf Application Technologies Sa</v>
      </c>
      <c r="C90" s="6" t="str">
        <f>IFERROR(__xludf.DUMMYFUNCTION("""COMPUTED_VALUE"""),"Competency R&amp;D centre for Molecular Biology reagent and consumable. Website")</f>
        <v>Competency R&amp;D centre for Molecular Biology reagent and consumable. Website</v>
      </c>
      <c r="D90" s="6"/>
      <c r="E90" s="6"/>
    </row>
    <row r="91">
      <c r="A91" s="6"/>
      <c r="B91" s="6" t="str">
        <f>IFERROR(__xludf.DUMMYFUNCTION("""COMPUTED_VALUE"""),"Equaly SA")</f>
        <v>Equaly SA</v>
      </c>
      <c r="C91" s="6" t="str">
        <f>IFERROR(__xludf.DUMMYFUNCTION("""COMPUTED_VALUE"""),"Equaly is a start-up rooted on innovative science for applications in the 
treatment of immunological disorders. We are developing and licensing 
treatment solutions based on patent-protected technology platforms aiming 
at 1) eliminating immunogenicity o"&amp;"f therapeutic biologicals, 2) generating 
target-specific cytoxic cells to eradicate intracellular infections and 
tumors 3) modulating innate...")</f>
        <v>Equaly is a start-up rooted on innovative science for applications in the 
treatment of immunological disorders. We are developing and licensing 
treatment solutions based on patent-protected technology platforms aiming 
at 1) eliminating immunogenicity of therapeutic biologicals, 2) generating 
target-specific cytoxic cells to eradicate intracellular infections and 
tumors 3) modulating innate...</v>
      </c>
      <c r="D91" s="6"/>
      <c r="E91" s="6"/>
    </row>
    <row r="92">
      <c r="A92" s="6"/>
      <c r="B92" s="6" t="str">
        <f>IFERROR(__xludf.DUMMYFUNCTION("""COMPUTED_VALUE"""),"ERC Belgium (Epitopoietic Research Corporation)")</f>
        <v>ERC Belgium (Epitopoietic Research Corporation)</v>
      </c>
      <c r="C92" s="6" t="str">
        <f>IFERROR(__xludf.DUMMYFUNCTION("""COMPUTED_VALUE"""),"Research and pharmaceutical company focused on the development, 
manufacturing and clinical testing of a new cell therapy anti-cancer 
vaccine. Website")</f>
        <v>Research and pharmaceutical company focused on the development, 
manufacturing and clinical testing of a new cell therapy anti-cancer 
vaccine. Website</v>
      </c>
      <c r="D92" s="6"/>
      <c r="E92" s="6"/>
    </row>
    <row r="93">
      <c r="A93" s="6"/>
      <c r="B93" s="6" t="str">
        <f>IFERROR(__xludf.DUMMYFUNCTION("""COMPUTED_VALUE"""),"Essenscia Wallonie")</f>
        <v>Essenscia Wallonie</v>
      </c>
      <c r="C93" s="6" t="str">
        <f>IFERROR(__xludf.DUMMYFUNCTION("""COMPUTED_VALUE"""),"essenscia is the Belgian federation of the chemical industry and life 
sciences sector. The organisation defends the specific interests of more 
than 720 companies active in the chemistry, plastics, pharma and biotech. 
Representing 720 companies in the s"&amp;"ector, essenscia brings together both 
international businesses and SME’s, which represent 95% of...")</f>
        <v>essenscia is the Belgian federation of the chemical industry and life 
sciences sector. The organisation defends the specific interests of more 
than 720 companies active in the chemistry, plastics, pharma and biotech. 
Representing 720 companies in the sector, essenscia brings together both 
international businesses and SME’s, which represent 95% of...</v>
      </c>
      <c r="D93" s="6"/>
      <c r="E93" s="6"/>
    </row>
    <row r="94">
      <c r="A94" s="6"/>
      <c r="B94" s="6" t="str">
        <f>IFERROR(__xludf.DUMMYFUNCTION("""COMPUTED_VALUE"""),"Euronext Brussels")</f>
        <v>Euronext Brussels</v>
      </c>
      <c r="C94" s="6" t="str">
        <f>IFERROR(__xludf.DUMMYFUNCTION("""COMPUTED_VALUE"""),"Euronext is the leading pan-European market infrastructure, connecting 
local economies to global capital markets, to accelerate innovation and 
sustainable growth. Euronext operates regulated exchanges in Belgium, 
France, Ireland, The Netherlands, Norwa"&amp;"y and Portugal. With close to 1,500 
listed issuers worth €4.5 trillion in market capitalisation as of end 
December 2020, it has...")</f>
        <v>Euronext is the leading pan-European market infrastructure, connecting 
local economies to global capital markets, to accelerate innovation and 
sustainable growth. Euronext operates regulated exchanges in Belgium, 
France, Ireland, The Netherlands, Norway and Portugal. With close to 1,500 
listed issuers worth €4.5 trillion in market capitalisation as of end 
December 2020, it has...</v>
      </c>
      <c r="D94" s="6"/>
      <c r="E94" s="6"/>
    </row>
    <row r="95">
      <c r="A95" s="6"/>
      <c r="B95" s="6" t="str">
        <f>IFERROR(__xludf.DUMMYFUNCTION("""COMPUTED_VALUE"""),"EXO Biologics")</f>
        <v>EXO Biologics</v>
      </c>
      <c r="C95" s="6"/>
      <c r="D95" s="6" t="str">
        <f>IFERROR(__xludf.DUMMYFUNCTION("""COMPUTED_VALUE"""),"EXO Biologics is a clinical stage biotech company committed to developing 
extracellular vesicles treatment for high unmet medical needs. Partnering 
with leading academic researchers, EXO Biologics aims to set the stage for 
future nanomedicines. The Com"&amp;"pany’s development strategy focuses on novel 
drug candidates for therapeutic applications in Respiratory Diseases, 
Inflammatory…")</f>
        <v>EXO Biologics is a clinical stage biotech company committed to developing 
extracellular vesicles treatment for high unmet medical needs. Partnering 
with leading academic researchers, EXO Biologics aims to set the stage for 
future nanomedicines. The Company’s development strategy focuses on novel 
drug candidates for therapeutic applications in Respiratory Diseases, 
Inflammatory…</v>
      </c>
      <c r="E95" s="6"/>
    </row>
    <row r="96">
      <c r="A96" s="6"/>
      <c r="B96" s="6" t="str">
        <f>IFERROR(__xludf.DUMMYFUNCTION("""COMPUTED_VALUE"""),"Exothera SA")</f>
        <v>Exothera SA</v>
      </c>
      <c r="C96" s="6" t="str">
        <f>IFERROR(__xludf.DUMMYFUNCTION("""COMPUTED_VALUE"""),"Exothera is a full-service CDMO (Contract Development and Manufacturing 
Organization) delivering customized process development and GMP (Good 
Manufacturing Practices) manufacturing services for gene therapy and viral 
vector-based vaccines. As a Univerc"&amp;"ells company, Exothera provides 
best-in-class bioprocessing expertise that capitalizes on novel 
manufacturing technologies. The company delivers accelerated process 
development/optimization to rapidly reach...")</f>
        <v>Exothera is a full-service CDMO (Contract Development and Manufacturing 
Organization) delivering customized process development and GMP (Good 
Manufacturing Practices) manufacturing services for gene therapy and viral 
vector-based vaccines. As a Univercells company, Exothera provides 
best-in-class bioprocessing expertise that capitalizes on novel 
manufacturing technologies. The company delivers accelerated process 
development/optimization to rapidly reach...</v>
      </c>
      <c r="D96" s="6"/>
      <c r="E96" s="6"/>
    </row>
    <row r="97">
      <c r="A97" s="6"/>
      <c r="B97" s="6" t="str">
        <f>IFERROR(__xludf.DUMMYFUNCTION("""COMPUTED_VALUE"""),"EyeD Pharma")</f>
        <v>EyeD Pharma</v>
      </c>
      <c r="C97" s="6" t="str">
        <f>IFERROR(__xludf.DUMMYFUNCTION("""COMPUTED_VALUE"""),"Pharmaceutical company dedicated to the development of innovative drug 
products in ophthalmology. EyeD Pharma is also offering surgical products 
to ophthalmologists who need the highest high products for their clinical 
practice. Website")</f>
        <v>Pharmaceutical company dedicated to the development of innovative drug 
products in ophthalmology. EyeD Pharma is also offering surgical products 
to ophthalmologists who need the highest high products for their clinical 
practice. Website</v>
      </c>
      <c r="D97" s="6"/>
      <c r="E97" s="6"/>
    </row>
    <row r="98">
      <c r="A98" s="6"/>
      <c r="B98" s="6" t="str">
        <f>IFERROR(__xludf.DUMMYFUNCTION("""COMPUTED_VALUE"""),"Forem Formation Biotechnologie")</f>
        <v>Forem Formation Biotechnologie</v>
      </c>
      <c r="C98" s="6" t="str">
        <f>IFERROR(__xludf.DUMMYFUNCTION("""COMPUTED_VALUE"""),"Our aims are to develop and organize biotechnology training programmes for 
job-hunters and company staff, in response to market needs and to 
complement the training offered by technical colleges in terms of 
techniques and specific expertise. Contact: P"&amp;"ierre Gillain Tel: +32(0)4 366 
39 00 - Cell: +32(0)478 96 22 77...")</f>
        <v>Our aims are to develop and organize biotechnology training programmes for 
job-hunters and company staff, in response to market needs and to 
complement the training offered by technical colleges in terms of 
techniques and specific expertise. Contact: Pierre Gillain Tel: +32(0)4 366 
39 00 - Cell: +32(0)478 96 22 77...</v>
      </c>
      <c r="D98" s="6"/>
      <c r="E98" s="6"/>
    </row>
    <row r="99">
      <c r="A99" s="6"/>
      <c r="B99" s="6" t="str">
        <f>IFERROR(__xludf.DUMMYFUNCTION("""COMPUTED_VALUE"""),"Fortil Belgium")</f>
        <v>Fortil Belgium</v>
      </c>
      <c r="C99" s="6" t="str">
        <f>IFERROR(__xludf.DUMMYFUNCTION("""COMPUTED_VALUE"""),"Founded in 2009, the Fortil model was designed/created by entrepreneurial 
engineers. Our Fortil Care brand supports our customers in their 
engineering and digital transformation projects, through a matrix of 
solutions designed to meet the key challenge"&amp;"s of their growth. Our 
intervention/actions/expertise includes all stages of development, 
industrialization, production, distribution and...")</f>
        <v>Founded in 2009, the Fortil model was designed/created by entrepreneurial 
engineers. Our Fortil Care brand supports our customers in their 
engineering and digital transformation projects, through a matrix of 
solutions designed to meet the key challenges of their growth. Our 
intervention/actions/expertise includes all stages of development, 
industrialization, production, distribution and...</v>
      </c>
      <c r="D99" s="6"/>
      <c r="E99" s="6"/>
    </row>
    <row r="100">
      <c r="A100" s="6"/>
      <c r="B100" s="6" t="str">
        <f>IFERROR(__xludf.DUMMYFUNCTION("""COMPUTED_VALUE"""),"Frid Mind Technologies")</f>
        <v>Frid Mind Technologies</v>
      </c>
      <c r="C100" s="6" t="str">
        <f>IFERROR(__xludf.DUMMYFUNCTION("""COMPUTED_VALUE"""),"I am text block. Click edit button to change this text. Lorem ipsum dolor 
sit amet, consectetur adipiscing elit. Ut elit tellus, luctus nec 
ullamcorper mattis, pulvinar dapibus leo. Website")</f>
        <v>I am text block. Click edit button to change this text. Lorem ipsum dolor 
sit amet, consectetur adipiscing elit. Ut elit tellus, luctus nec 
ullamcorper mattis, pulvinar dapibus leo. Website</v>
      </c>
      <c r="D100" s="6"/>
      <c r="E100" s="6"/>
    </row>
    <row r="101">
      <c r="A101" s="6"/>
      <c r="B101" s="6" t="str">
        <f>IFERROR(__xludf.DUMMYFUNCTION("""COMPUTED_VALUE"""),"Fund+")</f>
        <v>Fund+</v>
      </c>
      <c r="C101" s="6" t="str">
        <f>IFERROR(__xludf.DUMMYFUNCTION("""COMPUTED_VALUE"""),"Fund+ is an open-ended Fund for long term equity investment in innovative 
Life Sciences companies with a focus on Belgium. Website")</f>
        <v>Fund+ is an open-ended Fund for long term equity investment in innovative 
Life Sciences companies with a focus on Belgium. Website</v>
      </c>
      <c r="D101" s="6"/>
      <c r="E101" s="6"/>
    </row>
    <row r="102">
      <c r="A102" s="6"/>
      <c r="B102" s="6" t="str">
        <f>IFERROR(__xludf.DUMMYFUNCTION("""COMPUTED_VALUE"""),"Futurewave")</f>
        <v>Futurewave</v>
      </c>
      <c r="C102" s="6"/>
      <c r="D102" s="6" t="str">
        <f>IFERROR(__xludf.DUMMYFUNCTION("""COMPUTED_VALUE"""),"Futurewave is a forward-thinking Design &amp; Technology agency that empowers 
organizations to drive innovation to stimulate growth. By tightly combining 
the expertise of designers and technology experts, Futurewave offers a 
range of services that enable c"&amp;"ompanies to unlock the power of their 
future, now. Sectors: Mobility Smart Products Healthcare Home…")</f>
        <v>Futurewave is a forward-thinking Design &amp; Technology agency that empowers 
organizations to drive innovation to stimulate growth. By tightly combining 
the expertise of designers and technology experts, Futurewave offers a 
range of services that enable companies to unlock the power of their 
future, now. Sectors: Mobility Smart Products Healthcare Home…</v>
      </c>
      <c r="E102" s="6"/>
    </row>
    <row r="103">
      <c r="A103" s="6"/>
      <c r="B103" s="6" t="str">
        <f>IFERROR(__xludf.DUMMYFUNCTION("""COMPUTED_VALUE"""),"Gabi SmartCare")</f>
        <v>Gabi SmartCare</v>
      </c>
      <c r="C103" s="6" t="str">
        <f>IFERROR(__xludf.DUMMYFUNCTION("""COMPUTED_VALUE"""),"Medtech start-up developing predictive at-home monitoring solutions for 
early diagnosis and improved home care of paediatric respiratory diseases. 
Visit website")</f>
        <v>Medtech start-up developing predictive at-home monitoring solutions for 
early diagnosis and improved home care of paediatric respiratory diseases. 
Visit website</v>
      </c>
      <c r="D103" s="6"/>
      <c r="E103" s="6"/>
    </row>
    <row r="104">
      <c r="A104" s="6"/>
      <c r="B104" s="6" t="str">
        <f>IFERROR(__xludf.DUMMYFUNCTION("""COMPUTED_VALUE"""),"Genalyse Partner")</f>
        <v>Genalyse Partner</v>
      </c>
      <c r="C104" s="6" t="str">
        <f>IFERROR(__xludf.DUMMYFUNCTION("""COMPUTED_VALUE"""),"Specialized in quality control of the agro-food, cosmetics and 
parapharmaceutical sectors. Website")</f>
        <v>Specialized in quality control of the agro-food, cosmetics and 
parapharmaceutical sectors. Website</v>
      </c>
      <c r="D104" s="6"/>
      <c r="E104" s="6"/>
    </row>
    <row r="105">
      <c r="A105" s="6"/>
      <c r="B105" s="6" t="str">
        <f>IFERROR(__xludf.DUMMYFUNCTION("""COMPUTED_VALUE"""),"GSK")</f>
        <v>GSK</v>
      </c>
      <c r="C105" s="6" t="str">
        <f>IFERROR(__xludf.DUMMYFUNCTION("""COMPUTED_VALUE"""),"GSK is a science-led global healthcare company with a special purpose: to 
help people do more, feel better, live longer. GSK Vaccines is one of the 
largest vaccine manufacturers with a portfolio of more than 30 vaccines. In 
Belgium, GSK integrates all "&amp;"operations from research to development 
(preclinical and clinical),...")</f>
        <v>GSK is a science-led global healthcare company with a special purpose: to 
help people do more, feel better, live longer. GSK Vaccines is one of the 
largest vaccine manufacturers with a portfolio of more than 30 vaccines. In 
Belgium, GSK integrates all operations from research to development 
(preclinical and clinical),...</v>
      </c>
      <c r="D105" s="6"/>
      <c r="E105" s="6"/>
    </row>
    <row r="106">
      <c r="A106" s="6"/>
      <c r="B106" s="6" t="str">
        <f>IFERROR(__xludf.DUMMYFUNCTION("""COMPUTED_VALUE"""),"Harmony Clinical Research BV")</f>
        <v>Harmony Clinical Research BV</v>
      </c>
      <c r="C106" s="6"/>
      <c r="D106" s="6" t="str">
        <f>IFERROR(__xludf.DUMMYFUNCTION("""COMPUTED_VALUE"""),"HarmonyCR is a private clinical CRO offering stand-alone and full spectrum 
project services predominantly in Europe, next to staff outsourcing 
solutions. Established in January 2012, we operate with a stable and 
gradually expanding team of highly quali"&amp;"fied and experienced clinical 
research professionals, located both in Belgium and The Netherlands. 
Maintaining…")</f>
        <v>HarmonyCR is a private clinical CRO offering stand-alone and full spectrum 
project services predominantly in Europe, next to staff outsourcing 
solutions. Established in January 2012, we operate with a stable and 
gradually expanding team of highly qualified and experienced clinical 
research professionals, located both in Belgium and The Netherlands. 
Maintaining…</v>
      </c>
      <c r="E106" s="6"/>
    </row>
    <row r="107">
      <c r="A107" s="6"/>
      <c r="B107" s="6" t="str">
        <f>IFERROR(__xludf.DUMMYFUNCTION("""COMPUTED_VALUE"""),"HC NEXT")</f>
        <v>HC NEXT</v>
      </c>
      <c r="C107" s="6" t="str">
        <f>IFERROR(__xludf.DUMMYFUNCTION("""COMPUTED_VALUE"""),"HC NEXT expertise will help you to better anticipate the many challenges 
that slow down the progress of your healthcare product development 
projects. Thanks to our tailor-made services in operations management 
(regulatory, clinical, strategic marketing"&amp;", etc…), we help you de-risk and 
accelerate your drug and medical device development projects. Expert...")</f>
        <v>HC NEXT expertise will help you to better anticipate the many challenges 
that slow down the progress of your healthcare product development 
projects. Thanks to our tailor-made services in operations management 
(regulatory, clinical, strategic marketing, etc…), we help you de-risk and 
accelerate your drug and medical device development projects. Expert...</v>
      </c>
      <c r="D107" s="6"/>
      <c r="E107" s="6"/>
    </row>
    <row r="108">
      <c r="A108" s="6"/>
      <c r="B108" s="6" t="str">
        <f>IFERROR(__xludf.DUMMYFUNCTION("""COMPUTED_VALUE"""),"HeartKinetics")</f>
        <v>HeartKinetics</v>
      </c>
      <c r="C108" s="6"/>
      <c r="D108" s="6" t="str">
        <f>IFERROR(__xludf.DUMMYFUNCTION("""COMPUTED_VALUE"""),"HeartKinetics, founded in 2019, aims to revolutionize the management of 
heart failure by leveraging digital technologies to enhance patient care. 
We are dedicated to improving outcomes and transforming the lives of 
individuals affected by heart failure"&amp;". Intercepting heart failure 
HeartKinetics is a medtech company active in digital health, specializing 
in…")</f>
        <v>HeartKinetics, founded in 2019, aims to revolutionize the management of 
heart failure by leveraging digital technologies to enhance patient care. 
We are dedicated to improving outcomes and transforming the lives of 
individuals affected by heart failure. Intercepting heart failure 
HeartKinetics is a medtech company active in digital health, specializing 
in…</v>
      </c>
      <c r="E108" s="6"/>
    </row>
    <row r="109">
      <c r="A109" s="6" t="str">
        <f>IFERROR(__xludf.DUMMYFUNCTION("""COMPUTED_VALUE"""),"Hedera-22")</f>
        <v>Hedera-22</v>
      </c>
      <c r="B109" s="6"/>
      <c r="C109" s="6"/>
      <c r="D109" s="6"/>
      <c r="E109" s="6"/>
    </row>
    <row r="110">
      <c r="A110" s="6"/>
      <c r="B110" s="6" t="str">
        <f>IFERROR(__xludf.DUMMYFUNCTION("""COMPUTED_VALUE"""),"HeX GROUP")</f>
        <v>HeX GROUP</v>
      </c>
      <c r="C110" s="6" t="str">
        <f>IFERROR(__xludf.DUMMYFUNCTION("""COMPUTED_VALUE"""),"HeX Group, experts in CONTAMINATION CONTROL for CRITICAL ENVIRONMENTS, 
including clean and ultra-clean rooms. Based on 5 sites: in Belgium, France 
and Switzerland, HeX Group stands out thanks to its comprehensive approach: 
- Environmental quality manag"&amp;"ement, - Qualification of clean utilities and 
equipment, - Microbiological analyses, - Particle monitoring &amp;...")</f>
        <v>HeX Group, experts in CONTAMINATION CONTROL for CRITICAL ENVIRONMENTS, 
including clean and ultra-clean rooms. Based on 5 sites: in Belgium, France 
and Switzerland, HeX Group stands out thanks to its comprehensive approach: 
- Environmental quality management, - Qualification of clean utilities and 
equipment, - Microbiological analyses, - Particle monitoring &amp;...</v>
      </c>
      <c r="D110" s="6"/>
      <c r="E110" s="6"/>
    </row>
    <row r="111">
      <c r="A111" s="6"/>
      <c r="B111" s="6" t="str">
        <f>IFERROR(__xludf.DUMMYFUNCTION("""COMPUTED_VALUE"""),"H&amp;O Equipments")</f>
        <v>H&amp;O Equipments</v>
      </c>
      <c r="C111" s="6" t="str">
        <f>IFERROR(__xludf.DUMMYFUNCTION("""COMPUTED_VALUE"""),"Design, manufacturing and sales of cryogenic surgical instruments for the 
use in cosmetic dermatology, podiatry and for the treatment of all skin 
lesions in medical and veterinary clinics. Website")</f>
        <v>Design, manufacturing and sales of cryogenic surgical instruments for the 
use in cosmetic dermatology, podiatry and for the treatment of all skin 
lesions in medical and veterinary clinics. Website</v>
      </c>
      <c r="D111" s="6"/>
      <c r="E111" s="6"/>
    </row>
    <row r="112">
      <c r="A112" s="6"/>
      <c r="B112" s="6" t="str">
        <f>IFERROR(__xludf.DUMMYFUNCTION("""COMPUTED_VALUE"""),"Hyloris Pharmaceuticals")</f>
        <v>Hyloris Pharmaceuticals</v>
      </c>
      <c r="C112" s="6" t="str">
        <f>IFERROR(__xludf.DUMMYFUNCTION("""COMPUTED_VALUE"""),"Hyloris is a specialty biopharma company identifying and unlocking hidden 
potential in existing medications for the benefit of patients, physicians, 
and the healthcare systems. Hyloris applies its knowhow and technological 
innovations to existing pharm"&amp;"aceuticals and has built a broad, patented 
portfolio of reformulated and repurposed value-added products that have 
the...")</f>
        <v>Hyloris is a specialty biopharma company identifying and unlocking hidden 
potential in existing medications for the benefit of patients, physicians, 
and the healthcare systems. Hyloris applies its knowhow and technological 
innovations to existing pharmaceuticals and has built a broad, patented 
portfolio of reformulated and repurposed value-added products that have 
the...</v>
      </c>
      <c r="D112" s="6"/>
      <c r="E112" s="6"/>
    </row>
    <row r="113">
      <c r="A113" s="6"/>
      <c r="B113" s="6" t="str">
        <f>IFERROR(__xludf.DUMMYFUNCTION("""COMPUTED_VALUE"""),"IBA (Ion Beam Applications)")</f>
        <v>IBA (Ion Beam Applications)</v>
      </c>
      <c r="C113" s="6" t="str">
        <f>IFERROR(__xludf.DUMMYFUNCTION("""COMPUTED_VALUE"""),"Cancer diagnostics and treatment equipment company. Worldwide technology 
leader in the field of proton therapy. Website")</f>
        <v>Cancer diagnostics and treatment equipment company. Worldwide technology 
leader in the field of proton therapy. Website</v>
      </c>
      <c r="D113" s="6"/>
      <c r="E113" s="6"/>
    </row>
    <row r="114">
      <c r="A114" s="6"/>
      <c r="B114" s="6" t="str">
        <f>IFERROR(__xludf.DUMMYFUNCTION("""COMPUTED_VALUE"""),"ICOSA EUROPE")</f>
        <v>ICOSA EUROPE</v>
      </c>
      <c r="C114" s="6" t="str">
        <f>IFERROR(__xludf.DUMMYFUNCTION("""COMPUTED_VALUE"""),"ICOSA is an intellectual property firm dedicated to the health sector and 
specialized in Life Sciences and Medtech. We operate at all the stages of 
the protection of the Intellectual Property, by filing patents and 
trademarks, by elaborating strategies"&amp;" of Industrial Property, by issuing 
Legal Opinions on the patentability or...")</f>
        <v>ICOSA is an intellectual property firm dedicated to the health sector and 
specialized in Life Sciences and Medtech. We operate at all the stages of 
the protection of the Intellectual Property, by filing patents and 
trademarks, by elaborating strategies of Industrial Property, by issuing 
Legal Opinions on the patentability or...</v>
      </c>
      <c r="D114" s="6"/>
      <c r="E114" s="6"/>
    </row>
    <row r="115">
      <c r="A115" s="6"/>
      <c r="B115" s="6" t="str">
        <f>IFERROR(__xludf.DUMMYFUNCTION("""COMPUTED_VALUE"""),"IMCYSE")</f>
        <v>IMCYSE</v>
      </c>
      <c r="C115" s="6" t="str">
        <f>IFERROR(__xludf.DUMMYFUNCTION("""COMPUTED_VALUE"""),"Active immunotherapeutics to treat and to prevent severe chronic diseases 
mediated by inadequate immune responses. Website")</f>
        <v>Active immunotherapeutics to treat and to prevent severe chronic diseases 
mediated by inadequate immune responses. Website</v>
      </c>
      <c r="D115" s="6"/>
      <c r="E115" s="6"/>
    </row>
    <row r="116">
      <c r="A116" s="6"/>
      <c r="B116" s="6" t="str">
        <f>IFERROR(__xludf.DUMMYFUNCTION("""COMPUTED_VALUE"""),"Immuno Diagnostic Systems (IDS)")</f>
        <v>Immuno Diagnostic Systems (IDS)</v>
      </c>
      <c r="C116" s="6" t="str">
        <f>IFERROR(__xludf.DUMMYFUNCTION("""COMPUTED_VALUE"""),"Immuno Diagnostic Systems Holdings plc (IDS) is dedicated to the 
development and provision of innovative immunoassays for use in clinical 
and research laboratories. Website")</f>
        <v>Immuno Diagnostic Systems Holdings plc (IDS) is dedicated to the 
development and provision of innovative immunoassays for use in clinical 
and research laboratories. Website</v>
      </c>
      <c r="D116" s="6"/>
      <c r="E116" s="6"/>
    </row>
    <row r="117">
      <c r="A117" s="6"/>
      <c r="B117" s="6" t="str">
        <f>IFERROR(__xludf.DUMMYFUNCTION("""COMPUTED_VALUE"""),"Immunochem")</f>
        <v>Immunochem</v>
      </c>
      <c r="C117" s="6" t="str">
        <f>IFERROR(__xludf.DUMMYFUNCTION("""COMPUTED_VALUE"""),"Immunochem is a small company active in the IVD sector, specialised in the 
generation of high quality antibodies. Building on this expertise, 
Immunochem holds a promising idea by setting up new research and 
development projects tackling the AMR problem"&amp;"atic.  The principal focus at 
Immunochem is antibody development and sales, especially...")</f>
        <v>Immunochem is a small company active in the IVD sector, specialised in the 
generation of high quality antibodies. Building on this expertise, 
Immunochem holds a promising idea by setting up new research and 
development projects tackling the AMR problematic.  The principal focus at 
Immunochem is antibody development and sales, especially...</v>
      </c>
      <c r="D117" s="6"/>
      <c r="E117" s="6"/>
    </row>
    <row r="118">
      <c r="A118" s="6"/>
      <c r="B118" s="6" t="str">
        <f>IFERROR(__xludf.DUMMYFUNCTION("""COMPUTED_VALUE"""),"ImmunXperts SA")</f>
        <v>ImmunXperts SA</v>
      </c>
      <c r="C118" s="6" t="str">
        <f>IFERROR(__xludf.DUMMYFUNCTION("""COMPUTED_VALUE"""),"ImmunXperts offers services to accelerate and risk mitigate your drug 
development process. Website")</f>
        <v>ImmunXperts offers services to accelerate and risk mitigate your drug 
development process. Website</v>
      </c>
      <c r="D118" s="6"/>
      <c r="E118" s="6"/>
    </row>
    <row r="119">
      <c r="A119" s="6"/>
      <c r="B119" s="6" t="str">
        <f>IFERROR(__xludf.DUMMYFUNCTION("""COMPUTED_VALUE"""),"InhaTarget Therapeutics")</f>
        <v>InhaTarget Therapeutics</v>
      </c>
      <c r="C119" s="6" t="str">
        <f>IFERROR(__xludf.DUMMYFUNCTION("""COMPUTED_VALUE"""),"Inhatarget Therapeutics is a ULB spin-off company dedicated to the early 
development of innovative treatments by inhalation of severe and/or chronic 
respiratory diseases, with a first focus on lung cancer. Inhatarget 
Therapeutics is currently focusing "&amp;"its activities on the development of its 
lead product (innovative formulation of cisplatin as a...")</f>
        <v>Inhatarget Therapeutics is a ULB spin-off company dedicated to the early 
development of innovative treatments by inhalation of severe and/or chronic 
respiratory diseases, with a first focus on lung cancer. Inhatarget 
Therapeutics is currently focusing its activities on the development of its 
lead product (innovative formulation of cisplatin as a...</v>
      </c>
      <c r="D119" s="6"/>
      <c r="E119" s="6"/>
    </row>
    <row r="120">
      <c r="A120" s="6"/>
      <c r="B120" s="6" t="str">
        <f>IFERROR(__xludf.DUMMYFUNCTION("""COMPUTED_VALUE"""),"InnoSer")</f>
        <v>InnoSer</v>
      </c>
      <c r="C120" s="6" t="str">
        <f>IFERROR(__xludf.DUMMYFUNCTION("""COMPUTED_VALUE"""),"As an innovative and dynamic contract research organization (CRO) InnoSer 
supports the preclinical pipeline from its facilities in Belgium and the 
Netherlands. Founded in 2012, our in-depth expertise allows us to provide 
customized and streamlined earl"&amp;"y drug development options with 
well-characterized and near-patient research models. Our services are 
designed with...")</f>
        <v>As an innovative and dynamic contract research organization (CRO) InnoSer 
supports the preclinical pipeline from its facilities in Belgium and the 
Netherlands. Founded in 2012, our in-depth expertise allows us to provide 
customized and streamlined early drug development options with 
well-characterized and near-patient research models. Our services are 
designed with...</v>
      </c>
      <c r="D120" s="6"/>
      <c r="E120" s="6"/>
    </row>
    <row r="121">
      <c r="A121" s="6"/>
      <c r="B121" s="6" t="str">
        <f>IFERROR(__xludf.DUMMYFUNCTION("""COMPUTED_VALUE"""),"Inovigate BVBA")</f>
        <v>Inovigate BVBA</v>
      </c>
      <c r="C121" s="6" t="str">
        <f>IFERROR(__xludf.DUMMYFUNCTION("""COMPUTED_VALUE"""),"We are Inovigate, an independent strategy and management consulting company 
operating in the European Life Science and Healthcare industry, specialised 
in helping our clients to innovate and navigate through an increasingly 
complex health ecosystem. We"&amp;" strive to achieve better outcomes for our 
clients by utilizing our deep sector knowledge and...")</f>
        <v>We are Inovigate, an independent strategy and management consulting company 
operating in the European Life Science and Healthcare industry, specialised 
in helping our clients to innovate and navigate through an increasingly 
complex health ecosystem. We strive to achieve better outcomes for our 
clients by utilizing our deep sector knowledge and...</v>
      </c>
      <c r="D121" s="6"/>
      <c r="E121" s="6"/>
    </row>
    <row r="122">
      <c r="A122" s="6"/>
      <c r="B122" s="6" t="str">
        <f>IFERROR(__xludf.DUMMYFUNCTION("""COMPUTED_VALUE"""),"Institut Jules Bordet")</f>
        <v>Institut Jules Bordet</v>
      </c>
      <c r="C122" s="6" t="str">
        <f>IFERROR(__xludf.DUMMYFUNCTION("""COMPUTED_VALUE"""),"The Institut Jules Bordet is an integrated, multidisciplinary centre, 
unique in Belgium and which enjoys an international reputation. The 
hospital is devoted entirely to patients affected by cancer. For more than 
75 years, our teams have been offering "&amp;"patients leading-edge diagnostic and 
therapeutic strategies in the prevention, screening and active...")</f>
        <v>The Institut Jules Bordet is an integrated, multidisciplinary centre, 
unique in Belgium and which enjoys an international reputation. The 
hospital is devoted entirely to patients affected by cancer. For more than 
75 years, our teams have been offering patients leading-edge diagnostic and 
therapeutic strategies in the prevention, screening and active...</v>
      </c>
      <c r="D122" s="6"/>
      <c r="E122" s="6"/>
    </row>
    <row r="123">
      <c r="A123" s="6"/>
      <c r="B123" s="6" t="str">
        <f>IFERROR(__xludf.DUMMYFUNCTION("""COMPUTED_VALUE"""),"Institut National des Radioéléments (IRE)")</f>
        <v>Institut National des Radioéléments (IRE)</v>
      </c>
      <c r="C123" s="6" t="str">
        <f>IFERROR(__xludf.DUMMYFUNCTION("""COMPUTED_VALUE"""),"Our mission is to contribute to the improvement of public health through 
the production of radioelements used in medicine for diagnostic and 
therapeutic purposes. Website")</f>
        <v>Our mission is to contribute to the improvement of public health through 
the production of radioelements used in medicine for diagnostic and 
therapeutic purposes. Website</v>
      </c>
      <c r="D123" s="6"/>
      <c r="E123" s="6"/>
    </row>
    <row r="124">
      <c r="A124" s="6"/>
      <c r="B124" s="6" t="str">
        <f>IFERROR(__xludf.DUMMYFUNCTION("""COMPUTED_VALUE"""),"International Drug Development institute (IDDI)")</f>
        <v>International Drug Development institute (IDDI)</v>
      </c>
      <c r="C124" s="6" t="str">
        <f>IFERROR(__xludf.DUMMYFUNCTION("""COMPUTED_VALUE"""),"Biostatistical and eClinical Services for phase I to IV clinical trials: 
Trial Design, Randomization, Data Management, Biostatistics Website")</f>
        <v>Biostatistical and eClinical Services for phase I to IV clinical trials: 
Trial Design, Randomization, Data Management, Biostatistics Website</v>
      </c>
      <c r="D124" s="6"/>
      <c r="E124" s="6"/>
    </row>
    <row r="125">
      <c r="A125" s="6"/>
      <c r="B125" s="6" t="str">
        <f>IFERROR(__xludf.DUMMYFUNCTION("""COMPUTED_VALUE"""),"IPS (Groupe)")</f>
        <v>IPS (Groupe)</v>
      </c>
      <c r="C125" s="6" t="str">
        <f>IFERROR(__xludf.DUMMYFUNCTION("""COMPUTED_VALUE"""),"Group-IPS manages your industrial projects from idea till validation and 
production. Website")</f>
        <v>Group-IPS manages your industrial projects from idea till validation and 
production. Website</v>
      </c>
      <c r="D125" s="6"/>
      <c r="E125" s="6"/>
    </row>
    <row r="126">
      <c r="A126" s="6"/>
      <c r="B126" s="6" t="str">
        <f>IFERROR(__xludf.DUMMYFUNCTION("""COMPUTED_VALUE"""),"IRE ELIT")</f>
        <v>IRE ELIT</v>
      </c>
      <c r="C126" s="6" t="str">
        <f>IFERROR(__xludf.DUMMYFUNCTION("""COMPUTED_VALUE"""),"The IRE group is composed of 2 main entities, IRE and IRE ELiT. With nearly 
250 employees, IRE is one of the world’s leading producers of radioisotopes 
used in nuclear medicine for diagnosis and therapy. For its part, IRE ELiT 
is active in radiopharmac"&amp;"eutical production. The main activity of IRE...")</f>
        <v>The IRE group is composed of 2 main entities, IRE and IRE ELiT. With nearly 
250 employees, IRE is one of the world’s leading producers of radioisotopes 
used in nuclear medicine for diagnosis and therapy. For its part, IRE ELiT 
is active in radiopharmaceutical production. The main activity of IRE...</v>
      </c>
      <c r="D126" s="6"/>
      <c r="E126" s="6"/>
    </row>
    <row r="127">
      <c r="A127" s="6"/>
      <c r="B127" s="6" t="str">
        <f>IFERROR(__xludf.DUMMYFUNCTION("""COMPUTED_VALUE"""),"Isalys consulting sa")</f>
        <v>Isalys consulting sa</v>
      </c>
      <c r="C127" s="6" t="str">
        <f>IFERROR(__xludf.DUMMYFUNCTION("""COMPUTED_VALUE"""),"ISALYS Life Sciences, part of ISALYS Group, is fully dedicated to the 
development, the industrialization and the production of drugs. We provide 
business and project support, scientific and technical expertise as well as 
methodological and operational "&amp;"advice. Various areas are addressed, such 
as: - galenic, - analytical, - quality, - regulatory affairs,...")</f>
        <v>ISALYS Life Sciences, part of ISALYS Group, is fully dedicated to the 
development, the industrialization and the production of drugs. We provide 
business and project support, scientific and technical expertise as well as 
methodological and operational advice. Various areas are addressed, such 
as: - galenic, - analytical, - quality, - regulatory affairs,...</v>
      </c>
      <c r="D127" s="6"/>
      <c r="E127" s="6"/>
    </row>
    <row r="128">
      <c r="A128" s="6"/>
      <c r="B128" s="6" t="str">
        <f>IFERROR(__xludf.DUMMYFUNCTION("""COMPUTED_VALUE"""),"iSTAR MEDICAL SA")</f>
        <v>iSTAR MEDICAL SA</v>
      </c>
      <c r="C128" s="6" t="str">
        <f>IFERROR(__xludf.DUMMYFUNCTION("""COMPUTED_VALUE"""),"iSTAR Medical is a medtech company developing minimally invasive ophthalmic 
implants for the treatment of patients with glaucoma. MINIjectTM, made of 
STAR® material, is iSTAR Medical’s revolutionary microinvasive glaucoma 
surgery (MIGS) device for pati"&amp;"ents with primary open-angle glaucoma. iSTAR 
Medical was founded in 2011 and is headquartered in Wavre, Belgium. iSTAR 
Medical has developed MINIject using...")</f>
        <v>iSTAR Medical is a medtech company developing minimally invasive ophthalmic 
implants for the treatment of patients with glaucoma. MINIjectTM, made of 
STAR® material, is iSTAR Medical’s revolutionary microinvasive glaucoma 
surgery (MIGS) device for patients with primary open-angle glaucoma. iSTAR 
Medical was founded in 2011 and is headquartered in Wavre, Belgium. iSTAR 
Medical has developed MINIject using...</v>
      </c>
      <c r="D128" s="6"/>
      <c r="E128" s="6"/>
    </row>
    <row r="129">
      <c r="A129" s="6"/>
      <c r="B129" s="6" t="str">
        <f>IFERROR(__xludf.DUMMYFUNCTION("""COMPUTED_VALUE"""),"it4ip S.A.")</f>
        <v>it4ip S.A.</v>
      </c>
      <c r="C129" s="6" t="str">
        <f>IFERROR(__xludf.DUMMYFUNCTION("""COMPUTED_VALUE"""),"We develop and manufacture unique porous templates and membranes based on 
polymer track etching technology. Website")</f>
        <v>We develop and manufacture unique porous templates and membranes based on 
polymer track etching technology. Website</v>
      </c>
      <c r="D129" s="6"/>
      <c r="E129" s="6"/>
    </row>
    <row r="130">
      <c r="A130" s="6"/>
      <c r="B130" s="6" t="str">
        <f>IFERROR(__xludf.DUMMYFUNCTION("""COMPUTED_VALUE"""),"iTeos Therapeutics Inc and iTeos Belgium SA")</f>
        <v>iTeos Therapeutics Inc and iTeos Belgium SA</v>
      </c>
      <c r="C130" s="6" t="str">
        <f>IFERROR(__xludf.DUMMYFUNCTION("""COMPUTED_VALUE"""),"Teos Therapeutics is a clinical-stage biopharmaceutical company pioneering 
the discovery and development of a new generation of differentiated 
immuno-oncology therapeutics for patients. The company is headquartered in 
Cambridge, MA with a research cent"&amp;"er in Gosselies, Belgium. iTeos leverages 
its understanding of the tumor microenvironment and immunosuppressive 
pathways to design novel...")</f>
        <v>Teos Therapeutics is a clinical-stage biopharmaceutical company pioneering 
the discovery and development of a new generation of differentiated 
immuno-oncology therapeutics for patients. The company is headquartered in 
Cambridge, MA with a research center in Gosselies, Belgium. iTeos leverages 
its understanding of the tumor microenvironment and immunosuppressive 
pathways to design novel...</v>
      </c>
      <c r="D130" s="6"/>
      <c r="E130" s="6"/>
    </row>
    <row r="131">
      <c r="A131" s="6"/>
      <c r="B131" s="6" t="str">
        <f>IFERROR(__xludf.DUMMYFUNCTION("""COMPUTED_VALUE"""),"Janssen Pharmaceutica NV")</f>
        <v>Janssen Pharmaceutica NV</v>
      </c>
      <c r="C131" s="6" t="str">
        <f>IFERROR(__xludf.DUMMYFUNCTION("""COMPUTED_VALUE"""),"Janssen Pharmaceutica NV is part of the Janssen Pharmaceutical Companies of 
Johnson &amp; Johnson. At the Janssen Pharmaceutical Companies of Johnson &amp; 
Johnson, we are working to create a world without disease. Transforming 
lives by finding new and better "&amp;"ways to prevent, intercept, treat and cure 
disease inspires us. We bring...")</f>
        <v>Janssen Pharmaceutica NV is part of the Janssen Pharmaceutical Companies of 
Johnson &amp; Johnson. At the Janssen Pharmaceutical Companies of Johnson &amp; 
Johnson, we are working to create a world without disease. Transforming 
lives by finding new and better ways to prevent, intercept, treat and cure 
disease inspires us. We bring...</v>
      </c>
      <c r="D131" s="6"/>
      <c r="E131" s="6"/>
    </row>
    <row r="132">
      <c r="A132" s="6"/>
      <c r="B132" s="6" t="str">
        <f>IFERROR(__xludf.DUMMYFUNCTION("""COMPUTED_VALUE"""),"Kaneka Eurogentec Sa")</f>
        <v>Kaneka Eurogentec Sa</v>
      </c>
      <c r="C132" s="6" t="str">
        <f>IFERROR(__xludf.DUMMYFUNCTION("""COMPUTED_VALUE"""),"Eurogentec was founded in 1985 as a spin-off company of the University of 
Liège and is now part of Kaneka Corporation. Its mission is to develop and 
deliver reliable, innovative products and services to the life science 
community including research lab"&amp;"s, biotech, diagnostic company, hospitals 
and pharmaceuticals companies. ACTIVITIES Eurogentec...")</f>
        <v>Eurogentec was founded in 1985 as a spin-off company of the University of 
Liège and is now part of Kaneka Corporation. Its mission is to develop and 
deliver reliable, innovative products and services to the life science 
community including research labs, biotech, diagnostic company, hospitals 
and pharmaceuticals companies. ACTIVITIES Eurogentec...</v>
      </c>
      <c r="D132" s="6"/>
      <c r="E132" s="6"/>
    </row>
    <row r="133">
      <c r="A133" s="6"/>
      <c r="B133" s="6" t="str">
        <f>IFERROR(__xludf.DUMMYFUNCTION("""COMPUTED_VALUE"""),"KBI Biopharma")</f>
        <v>KBI Biopharma</v>
      </c>
      <c r="C133" s="6"/>
      <c r="D133" s="6" t="str">
        <f>IFERROR(__xludf.DUMMYFUNCTION("""COMPUTED_VALUE"""),"As the icon of next-Generation CDMOs, KBI Biopharma Is driving 
breakthroughs in biopharmaceutical development and manufacturing that 
positively impact the lives of patients worldwide. With 8 locations both in 
United Stated and in Europe, KBI is a patie"&amp;"nt-focused biopharmaceutical 
industry analytical and manufacturing partner providing the following 
services : Cell…")</f>
        <v>As the icon of next-Generation CDMOs, KBI Biopharma Is driving 
breakthroughs in biopharmaceutical development and manufacturing that 
positively impact the lives of patients worldwide. With 8 locations both in 
United Stated and in Europe, KBI is a patient-focused biopharmaceutical 
industry analytical and manufacturing partner providing the following 
services : Cell…</v>
      </c>
      <c r="E133" s="6"/>
    </row>
    <row r="134">
      <c r="A134" s="6"/>
      <c r="B134" s="6" t="str">
        <f>IFERROR(__xludf.DUMMYFUNCTION("""COMPUTED_VALUE"""),"KiOmed Pharma")</f>
        <v>KiOmed Pharma</v>
      </c>
      <c r="C134" s="6" t="str">
        <f>IFERROR(__xludf.DUMMYFUNCTION("""COMPUTED_VALUE"""),"KiOmed Pharma offers animal-free, ultrapure chitosan-based breakthrough 
biomaterials for the development of safer and highly efficient therapeutic 
medical devices and implants for joint health, ophthalmology, tissue 
engineering and biosurgery. Website")</f>
        <v>KiOmed Pharma offers animal-free, ultrapure chitosan-based breakthrough 
biomaterials for the development of safer and highly efficient therapeutic 
medical devices and implants for joint health, ophthalmology, tissue 
engineering and biosurgery. Website</v>
      </c>
      <c r="D134" s="6"/>
      <c r="E134" s="6"/>
    </row>
    <row r="135">
      <c r="A135" s="6"/>
      <c r="B135" s="6" t="str">
        <f>IFERROR(__xludf.DUMMYFUNCTION("""COMPUTED_VALUE"""),"KitoZyme SA")</f>
        <v>KitoZyme SA</v>
      </c>
      <c r="C135" s="6" t="str">
        <f>IFERROR(__xludf.DUMMYFUNCTION("""COMPUTED_VALUE"""),"KitoZyme is a “green biotech company” created in 2000, starting from 
academic research on fungal-derived biopolymers at the University of Liege. 
From a technological start-up, KitoZyme has gradually evolved into an 
industrial and commercial company, em"&amp;"ploying 30 people and selling its 
products in more than 40 countries. KitoZyme is the...")</f>
        <v>KitoZyme is a “green biotech company” created in 2000, starting from 
academic research on fungal-derived biopolymers at the University of Liege. 
From a technological start-up, KitoZyme has gradually evolved into an 
industrial and commercial company, employing 30 people and selling its 
products in more than 40 countries. KitoZyme is the...</v>
      </c>
      <c r="D135" s="6"/>
      <c r="E135" s="6"/>
    </row>
    <row r="136">
      <c r="A136" s="6"/>
      <c r="B136" s="6" t="str">
        <f>IFERROR(__xludf.DUMMYFUNCTION("""COMPUTED_VALUE"""),"Knoware Sa")</f>
        <v>Knoware Sa</v>
      </c>
      <c r="C136" s="6" t="str">
        <f>IFERROR(__xludf.DUMMYFUNCTION("""COMPUTED_VALUE"""),"A software solution design and development company, specializing in the 
management of oncology treatments and other complex treatments in 
hospitals. Website")</f>
        <v>A software solution design and development company, specializing in the 
management of oncology treatments and other complex treatments in 
hospitals. Website</v>
      </c>
      <c r="D136" s="6"/>
      <c r="E136" s="6"/>
    </row>
    <row r="137">
      <c r="A137" s="6"/>
      <c r="B137" s="6" t="str">
        <f>IFERROR(__xludf.DUMMYFUNCTION("""COMPUTED_VALUE"""),"Labconsult")</f>
        <v>Labconsult</v>
      </c>
      <c r="C137" s="6" t="str">
        <f>IFERROR(__xludf.DUMMYFUNCTION("""COMPUTED_VALUE"""),"Labconsult is an independent distributor that supports leading laboratories 
in the selection and supply of scientific accessories and instrumentation.  
It is our mission to provide every lab with scientific expertise and a high 
level of service. We are"&amp;" primarily oriented towards research activities, 
life science &amp; biotechnology, in vitro diagnostics and industrial quality 
control....")</f>
        <v>Labconsult is an independent distributor that supports leading laboratories 
in the selection and supply of scientific accessories and instrumentation.  
It is our mission to provide every lab with scientific expertise and a high 
level of service. We are primarily oriented towards research activities, 
life science &amp; biotechnology, in vitro diagnostics and industrial quality 
control....</v>
      </c>
      <c r="D137" s="6"/>
      <c r="E137" s="6"/>
    </row>
    <row r="138">
      <c r="A138" s="6"/>
      <c r="B138" s="6" t="str">
        <f>IFERROR(__xludf.DUMMYFUNCTION("""COMPUTED_VALUE"""),"LAMBDA-X")</f>
        <v>LAMBDA-X</v>
      </c>
      <c r="C138" s="6" t="str">
        <f>IFERROR(__xludf.DUMMYFUNCTION("""COMPUTED_VALUE"""),"Lambda-X creates and manufactures optical systems for metrology and imaging 
applications. Moving fast from an optical principle to a high-tech product 
is how we help you to innovate. Anywhere a Commercial-Off-The-Shelf (COTS) 
metrology tool doesn’t exi"&amp;"st, Lambda-X offers a path with custom optical 
systems. Numerous applications in a number of...")</f>
        <v>Lambda-X creates and manufactures optical systems for metrology and imaging 
applications. Moving fast from an optical principle to a high-tech product 
is how we help you to innovate. Anywhere a Commercial-Off-The-Shelf (COTS) 
metrology tool doesn’t exist, Lambda-X offers a path with custom optical 
systems. Numerous applications in a number of...</v>
      </c>
      <c r="D138" s="6"/>
      <c r="E138" s="6"/>
    </row>
    <row r="139">
      <c r="A139" s="6"/>
      <c r="B139" s="6" t="str">
        <f>IFERROR(__xludf.DUMMYFUNCTION("""COMPUTED_VALUE"""),"Laurenty Cleanroom")</f>
        <v>Laurenty Cleanroom</v>
      </c>
      <c r="C139" s="6" t="str">
        <f>IFERROR(__xludf.DUMMYFUNCTION("""COMPUTED_VALUE"""),"Laurenty Cleanroom is a cleaning and disinfection service for classified 
zones with the objective of particulate and microbiological control of your 
controlled environments. We have procedures that comply with GMP 
guidelines, as well as qualified perso"&amp;"nnel that we can put at your disposal 
for your periodic maintenance. CONTACT Rue Charles...")</f>
        <v>Laurenty Cleanroom is a cleaning and disinfection service for classified 
zones with the objective of particulate and microbiological control of your 
controlled environments. We have procedures that comply with GMP 
guidelines, as well as qualified personnel that we can put at your disposal 
for your periodic maintenance. CONTACT Rue Charles...</v>
      </c>
      <c r="D139" s="6"/>
      <c r="E139" s="6"/>
    </row>
    <row r="140">
      <c r="A140" s="6"/>
      <c r="B140" s="6" t="str">
        <f>IFERROR(__xludf.DUMMYFUNCTION("""COMPUTED_VALUE"""),"Lonza Verviers SRL")</f>
        <v>Lonza Verviers SRL</v>
      </c>
      <c r="C140" s="6" t="str">
        <f>IFERROR(__xludf.DUMMYFUNCTION("""COMPUTED_VALUE"""),"At Lonza Group, since 125 years, we combine technological innovation with 
world class manufacturing and process excellence. Together, these enable 
our customers to deliver their discoveries. We are a preferred global 
partner to the pharmaceutical, biot"&amp;"ech and specialty ingredients markets. 
Our solutions improve life quality by preventing illness, enabling 
healthier...")</f>
        <v>At Lonza Group, since 125 years, we combine technological innovation with 
world class manufacturing and process excellence. Together, these enable 
our customers to deliver their discoveries. We are a preferred global 
partner to the pharmaceutical, biotech and specialty ingredients markets. 
Our solutions improve life quality by preventing illness, enabling 
healthier...</v>
      </c>
      <c r="D140" s="6"/>
      <c r="E140" s="6"/>
    </row>
    <row r="141">
      <c r="A141" s="6"/>
      <c r="B141" s="6" t="str">
        <f>IFERROR(__xludf.DUMMYFUNCTION("""COMPUTED_VALUE"""),"Louvain Bionics (UCL)")</f>
        <v>Louvain Bionics (UCL)</v>
      </c>
      <c r="C141" s="6" t="str">
        <f>IFERROR(__xludf.DUMMYFUNCTION("""COMPUTED_VALUE"""),"Louvain Bionics brings together researchers from the three academic sectors 
of UCLouvain – i.e. science and technology, social sciences and health 
sciences - in order to reinforce knowledge and skills in areas such as 
surgical assistance, and assistanc"&amp;"e with diagnosis and rehabilitation.")</f>
        <v>Louvain Bionics brings together researchers from the three academic sectors 
of UCLouvain – i.e. science and technology, social sciences and health 
sciences - in order to reinforce knowledge and skills in areas such as 
surgical assistance, and assistance with diagnosis and rehabilitation.</v>
      </c>
      <c r="D141" s="6"/>
      <c r="E141" s="6"/>
    </row>
    <row r="142">
      <c r="A142" s="6"/>
      <c r="B142" s="6" t="str">
        <f>IFERROR(__xludf.DUMMYFUNCTION("""COMPUTED_VALUE"""),"Maedia")</f>
        <v>Maedia</v>
      </c>
      <c r="C142" s="6"/>
      <c r="D142" s="6" t="str">
        <f>IFERROR(__xludf.DUMMYFUNCTION("""COMPUTED_VALUE"""),"Providing support and advice to life sciences companies with a specific 
focus on management (C-level), governance (board level) and investment 
(pre-seed to Series A) challenges. Empowering innovation and advancement in 
Life Sciences and Healthcare All "&amp;"things managerial including definition and 
implementation of start-up launch and growth strategies, assembly and 
interaction…")</f>
        <v>Providing support and advice to life sciences companies with a specific 
focus on management (C-level), governance (board level) and investment 
(pre-seed to Series A) challenges. Empowering innovation and advancement in 
Life Sciences and Healthcare All things managerial including definition and 
implementation of start-up launch and growth strategies, assembly and 
interaction…</v>
      </c>
      <c r="E142" s="6"/>
    </row>
    <row r="143">
      <c r="A143" s="6"/>
      <c r="B143" s="6" t="str">
        <f>IFERROR(__xludf.DUMMYFUNCTION("""COMPUTED_VALUE"""),"Malenstein Global Logistics")</f>
        <v>Malenstein Global Logistics</v>
      </c>
      <c r="C143" s="6"/>
      <c r="D143" s="6" t="str">
        <f>IFERROR(__xludf.DUMMYFUNCTION("""COMPUTED_VALUE"""),"Malenstein Global Logistics is an independently owned, family sized 
forwarding and logistics provider with a Client Centric culture. Quality of 
service in a timely manner defines our character with a strong desire to 
constantly provide our business par"&amp;"tners the optimum solution for their 
logistics needs. Specialized Bio-Pharmaceutical transportation services 
Complex…")</f>
        <v>Malenstein Global Logistics is an independently owned, family sized 
forwarding and logistics provider with a Client Centric culture. Quality of 
service in a timely manner defines our character with a strong desire to 
constantly provide our business partners the optimum solution for their 
logistics needs. Specialized Bio-Pharmaceutical transportation services 
Complex…</v>
      </c>
      <c r="E143" s="6"/>
    </row>
    <row r="144">
      <c r="A144" s="6"/>
      <c r="B144" s="6" t="str">
        <f>IFERROR(__xludf.DUMMYFUNCTION("""COMPUTED_VALUE"""),"Marsh BeLux")</f>
        <v>Marsh BeLux</v>
      </c>
      <c r="C144" s="6" t="str">
        <f>IFERROR(__xludf.DUMMYFUNCTION("""COMPUTED_VALUE"""),"Our purpose is Possibility. At Marsh, the idea of possibility isn’t just 
something we talk about — it’s something we've lived for over 150 years. We 
help our clients and colleagues grow — and our communities thrive — by 
protecting and promoting Possibi"&amp;"lity. We seek better ways to manage risk...")</f>
        <v>Our purpose is Possibility. At Marsh, the idea of possibility isn’t just 
something we talk about — it’s something we've lived for over 150 years. We 
help our clients and colleagues grow — and our communities thrive — by 
protecting and promoting Possibility. We seek better ways to manage risk...</v>
      </c>
      <c r="D144" s="6"/>
      <c r="E144" s="6"/>
    </row>
    <row r="145">
      <c r="A145" s="6"/>
      <c r="B145" s="6" t="str">
        <f>IFERROR(__xludf.DUMMYFUNCTION("""COMPUTED_VALUE"""),"Meurice R&amp;D")</f>
        <v>Meurice R&amp;D</v>
      </c>
      <c r="C145" s="6" t="str">
        <f>IFERROR(__xludf.DUMMYFUNCTION("""COMPUTED_VALUE"""),"Website")</f>
        <v>Website</v>
      </c>
      <c r="D145" s="6"/>
      <c r="E145" s="6"/>
    </row>
    <row r="146">
      <c r="A146" s="6"/>
      <c r="B146" s="6" t="str">
        <f>IFERROR(__xludf.DUMMYFUNCTION("""COMPUTED_VALUE"""),"Minoryx Therapeutics")</f>
        <v>Minoryx Therapeutics</v>
      </c>
      <c r="C146" s="6" t="str">
        <f>IFERROR(__xludf.DUMMYFUNCTION("""COMPUTED_VALUE"""),"Minoryx Therapeutics is a private VC-backed company developing innovative 
therapies for the treatment of orphan CNS (central nervous system) 
diseases. Leriglitazone was evaluated in a double-blind, placebo-controlled 
phase 2/3 clinical study (ADVANCE) "&amp;"in adult AMN patients in EU and US, 
overall showing a significant effect on reducing progression of cerebral...")</f>
        <v>Minoryx Therapeutics is a private VC-backed company developing innovative 
therapies for the treatment of orphan CNS (central nervous system) 
diseases. Leriglitazone was evaluated in a double-blind, placebo-controlled 
phase 2/3 clinical study (ADVANCE) in adult AMN patients in EU and US, 
overall showing a significant effect on reducing progression of cerebral...</v>
      </c>
      <c r="D146" s="6"/>
      <c r="E146" s="6"/>
    </row>
    <row r="147">
      <c r="A147" s="6"/>
      <c r="B147" s="6" t="str">
        <f>IFERROR(__xludf.DUMMYFUNCTION("""COMPUTED_VALUE"""),"Mithra Pharmaceuticals SA")</f>
        <v>Mithra Pharmaceuticals SA</v>
      </c>
      <c r="C147" s="6" t="str">
        <f>IFERROR(__xludf.DUMMYFUNCTION("""COMPUTED_VALUE"""),"Mithra (Euronext: MITRA) is a Belgian biotech company dedicated to 
transforming Women’s Health by offering new choices through innovation, 
with a focus on contraception and menopause. Mithra’s goal is to develop 
products offering better efficacy, safet"&amp;"y and convenience, meeting women’s 
needs throughout their life span. Its three lead development candidates...")</f>
        <v>Mithra (Euronext: MITRA) is a Belgian biotech company dedicated to 
transforming Women’s Health by offering new choices through innovation, 
with a focus on contraception and menopause. Mithra’s goal is to develop 
products offering better efficacy, safety and convenience, meeting women’s 
needs throughout their life span. Its three lead development candidates...</v>
      </c>
      <c r="D147" s="6"/>
      <c r="E147" s="6"/>
    </row>
    <row r="148">
      <c r="A148" s="6" t="str">
        <f>IFERROR(__xludf.DUMMYFUNCTION("""COMPUTED_VALUE"""),"MSA Consulting")</f>
        <v>MSA Consulting</v>
      </c>
      <c r="B148" s="6" t="str">
        <f>IFERROR(__xludf.DUMMYFUNCTION("""COMPUTED_VALUE"""),"Consulting company in Operational Strategy, Management and Organization 
specializing in Biotech (production of bacteria and other stem cells).")</f>
        <v>Consulting company in Operational Strategy, Management and Organization 
specializing in Biotech (production of bacteria and other stem cells).</v>
      </c>
      <c r="C148" s="6"/>
      <c r="D148" s="6"/>
      <c r="E148" s="6"/>
    </row>
    <row r="149">
      <c r="A149" s="6"/>
      <c r="B149" s="6" t="str">
        <f>IFERROR(__xludf.DUMMYFUNCTION("""COMPUTED_VALUE"""),"MULTITEL Asbl")</f>
        <v>MULTITEL Asbl</v>
      </c>
      <c r="C149" s="6" t="str">
        <f>IFERROR(__xludf.DUMMYFUNCTION("""COMPUTED_VALUE"""),"Multitel is a research and innovation centre that offers services to 
companies and develops new technological concepts in the following fields: 
Signal &amp;embedded systems Network engineering Applied photonics Computer 
vision Railway certification One of "&amp;"the assets of Multitel is its 
multidisciplinary and complementary skills of its about seventy employees 
that...")</f>
        <v>Multitel is a research and innovation centre that offers services to 
companies and develops new technological concepts in the following fields: 
Signal &amp;embedded systems Network engineering Applied photonics Computer 
vision Railway certification One of the assets of Multitel is its 
multidisciplinary and complementary skills of its about seventy employees 
that...</v>
      </c>
      <c r="D149" s="6"/>
      <c r="E149" s="6"/>
    </row>
    <row r="150">
      <c r="A150" s="6"/>
      <c r="B150" s="6" t="str">
        <f>IFERROR(__xludf.DUMMYFUNCTION("""COMPUTED_VALUE"""),"My Engineering SRL")</f>
        <v>My Engineering SRL</v>
      </c>
      <c r="C150" s="6" t="str">
        <f>IFERROR(__xludf.DUMMYFUNCTION("""COMPUTED_VALUE"""),"My Engineering SPRL is an engineering office based in La Louvière and 
specialized in the study of pharmaceutical and biotechnology 
infrastructures. My Engineering is an engineering office specialized in the 
field of advanced technologies. The clean roo"&amp;"ms, controlled environments, 
air conditioning, aseptic areas finishes or the transport of clean fluids...")</f>
        <v>My Engineering SPRL is an engineering office based in La Louvière and 
specialized in the study of pharmaceutical and biotechnology 
infrastructures. My Engineering is an engineering office specialized in the 
field of advanced technologies. The clean rooms, controlled environments, 
air conditioning, aseptic areas finishes or the transport of clean fluids...</v>
      </c>
      <c r="D150" s="6"/>
      <c r="E150" s="6"/>
    </row>
    <row r="151">
      <c r="A151" s="6"/>
      <c r="B151" s="6" t="str">
        <f>IFERROR(__xludf.DUMMYFUNCTION("""COMPUTED_VALUE"""),"MyCellHub")</f>
        <v>MyCellHub</v>
      </c>
      <c r="C151" s="6" t="str">
        <f>IFERROR(__xludf.DUMMYFUNCTION("""COMPUTED_VALUE"""),"MyCellHub is a spin-off of the KU Leuven, founded in 2019 and raised over 
€1M with a broad investors consortium. The team has extensive knowledge in 
both cell therapy manufacturing and software development for highly 
regulated industries. MyCellHub is "&amp;"part of the Horizon 2020 Eurostars 
project and has been sponsored...")</f>
        <v>MyCellHub is a spin-off of the KU Leuven, founded in 2019 and raised over 
€1M with a broad investors consortium. The team has extensive knowledge in 
both cell therapy manufacturing and software development for highly 
regulated industries. MyCellHub is part of the Horizon 2020 Eurostars 
project and has been sponsored...</v>
      </c>
      <c r="D151" s="6"/>
      <c r="E151" s="6"/>
    </row>
    <row r="152">
      <c r="A152" s="6"/>
      <c r="B152" s="6" t="str">
        <f>IFERROR(__xludf.DUMMYFUNCTION("""COMPUTED_VALUE"""),"MyData-TRUST S.A.")</f>
        <v>MyData-TRUST S.A.</v>
      </c>
      <c r="C152" s="6" t="str">
        <f>IFERROR(__xludf.DUMMYFUNCTION("""COMPUTED_VALUE"""),"MyData-TRUST is a Belgian company specialised in data protection and 
exclusively dedicated to the Life Science sector; CROs, Biotechs, Medtechs, 
eHealth and Hospitals.  MyData-TRUST is a company specialized in assisting 
the life science industry to com"&amp;"ply with the regulations on the protection 
of personal data (GDPR) which affects all players in the sector...")</f>
        <v>MyData-TRUST is a Belgian company specialised in data protection and 
exclusively dedicated to the Life Science sector; CROs, Biotechs, Medtechs, 
eHealth and Hospitals.  MyData-TRUST is a company specialized in assisting 
the life science industry to comply with the regulations on the protection 
of personal data (GDPR) which affects all players in the sector...</v>
      </c>
      <c r="D152" s="6"/>
      <c r="E152" s="6"/>
    </row>
    <row r="153">
      <c r="A153" s="6"/>
      <c r="B153" s="6" t="str">
        <f>IFERROR(__xludf.DUMMYFUNCTION("""COMPUTED_VALUE"""),"NAOS DESIGN")</f>
        <v>NAOS DESIGN</v>
      </c>
      <c r="C153" s="6" t="str">
        <f>IFERROR(__xludf.DUMMYFUNCTION("""COMPUTED_VALUE"""),"INNOVATIVE DESIGN CONCEPTS FROM IDEA TO MARKETS From an idea born out from 
a need (a missing need) a scientific or technological innovation driven by 
the client, NAOS .iD+ develops a Concept, a promise, a marketing and 
commercial positioning, carrying "&amp;"the values and identity of the company to 
establish its...")</f>
        <v>INNOVATIVE DESIGN CONCEPTS FROM IDEA TO MARKETS From an idea born out from 
a need (a missing need) a scientific or technological innovation driven by 
the client, NAOS .iD+ develops a Concept, a promise, a marketing and 
commercial positioning, carrying the values and identity of the company to 
establish its...</v>
      </c>
      <c r="D153" s="6"/>
      <c r="E153" s="6"/>
    </row>
    <row r="154">
      <c r="A154" s="6"/>
      <c r="B154" s="6" t="str">
        <f>IFERROR(__xludf.DUMMYFUNCTION("""COMPUTED_VALUE"""),"NARILIS")</f>
        <v>NARILIS</v>
      </c>
      <c r="C154" s="6" t="str">
        <f>IFERROR(__xludf.DUMMYFUNCTION("""COMPUTED_VALUE"""),"NARILIS was jointly created by the University of Namur and the CHU UCL 
Namur. NARILIS promotes multidisciplinary life sciences research with the 
aim to further improve health and wellbeing in human and animals. NARILIS 
supports research expanding our u"&amp;"nderstanding of fundamental biological 
processes underlying normal and pathological conditions, as well...")</f>
        <v>NARILIS was jointly created by the University of Namur and the CHU UCL 
Namur. NARILIS promotes multidisciplinary life sciences research with the 
aim to further improve health and wellbeing in human and animals. NARILIS 
supports research expanding our understanding of fundamental biological 
processes underlying normal and pathological conditions, as well...</v>
      </c>
      <c r="D154" s="6"/>
      <c r="E154" s="6"/>
    </row>
    <row r="155">
      <c r="A155" s="6"/>
      <c r="B155" s="6" t="str">
        <f>IFERROR(__xludf.DUMMYFUNCTION("""COMPUTED_VALUE"""),"Cellistic")</f>
        <v>Cellistic</v>
      </c>
      <c r="C155" s="6" t="str">
        <f>IFERROR(__xludf.DUMMYFUNCTION("""COMPUTED_VALUE"""),"iPSCs-based platforms, engineered to propel allogeneic cell therapies to 
clinic with high efficiency and acuity at every step. Website")</f>
        <v>iPSCs-based platforms, engineered to propel allogeneic cell therapies to 
clinic with high efficiency and acuity at every step. Website</v>
      </c>
      <c r="D155" s="6"/>
      <c r="E155" s="6"/>
    </row>
    <row r="156">
      <c r="A156" s="6"/>
      <c r="B156" s="6" t="str">
        <f>IFERROR(__xludf.DUMMYFUNCTION("""COMPUTED_VALUE"""),"NeuroPath")</f>
        <v>NeuroPath</v>
      </c>
      <c r="C156" s="6" t="str">
        <f>IFERROR(__xludf.DUMMYFUNCTION("""COMPUTED_VALUE"""),"Empowering People with Parkinson’s disease. Connecting People with 
Parkinson’s disease with their care team for a better quality of life at 
lower cost. NeuroPath develops a platform to capture, analyze and report 
Patient Generated Health Data and inter"&amp;"disciplinary data of patients 
suffering from neurological diseases. NeuroPath creates real world 
insights...")</f>
        <v>Empowering People with Parkinson’s disease. Connecting People with 
Parkinson’s disease with their care team for a better quality of life at 
lower cost. NeuroPath develops a platform to capture, analyze and report 
Patient Generated Health Data and interdisciplinary data of patients 
suffering from neurological diseases. NeuroPath creates real world 
insights...</v>
      </c>
      <c r="D156" s="6"/>
      <c r="E156" s="6"/>
    </row>
    <row r="157">
      <c r="A157" s="6"/>
      <c r="B157" s="6" t="str">
        <f>IFERROR(__xludf.DUMMYFUNCTION("""COMPUTED_VALUE"""),"Neuvasq Biotechnologies S.A.")</f>
        <v>Neuvasq Biotechnologies S.A.</v>
      </c>
      <c r="C157" s="6"/>
      <c r="D157" s="6" t="str">
        <f>IFERROR(__xludf.DUMMYFUNCTION("""COMPUTED_VALUE"""),"NeuVasQ is developing pharmaceutical treatments to restore the blood-brain 
barrier function in acute neurological disorders such as stroke and 
epilepsy, and in neurodegenerative disorders like Alzheimer’s disease. 
Disruptive technology NeuVasQ Biotechn"&amp;"ologies, a spin-off from the 
Université Libre de Bruxelles (ULB), is developing pharmaceuticals to 
sustain or restore the neurovascular function,…")</f>
        <v>NeuVasQ is developing pharmaceutical treatments to restore the blood-brain 
barrier function in acute neurological disorders such as stroke and 
epilepsy, and in neurodegenerative disorders like Alzheimer’s disease. 
Disruptive technology NeuVasQ Biotechnologies, a spin-off from the 
Université Libre de Bruxelles (ULB), is developing pharmaceuticals to 
sustain or restore the neurovascular function,…</v>
      </c>
      <c r="E157" s="6"/>
    </row>
    <row r="158">
      <c r="A158" s="6"/>
      <c r="B158" s="6" t="str">
        <f>IFERROR(__xludf.DUMMYFUNCTION("""COMPUTED_VALUE"""),"Newton Biocapital Partners SPRL")</f>
        <v>Newton Biocapital Partners SPRL</v>
      </c>
      <c r="C158" s="6" t="str">
        <f>IFERROR(__xludf.DUMMYFUNCTION("""COMPUTED_VALUE"""),"Newton Biocapital is a Venture Capital Fund incorporated in Belgium, 
focused on financing biotech and life science projects in the ""core of 
Europe"" (B, NL, D, F) and Japan for the prevention and treatment of chronic 
diseases. Website")</f>
        <v>Newton Biocapital is a Venture Capital Fund incorporated in Belgium, 
focused on financing biotech and life science projects in the "core of 
Europe" (B, NL, D, F) and Japan for the prevention and treatment of chronic 
diseases. Website</v>
      </c>
      <c r="D158" s="6"/>
      <c r="E158" s="6"/>
    </row>
    <row r="159">
      <c r="A159" s="6"/>
      <c r="B159" s="6" t="str">
        <f>IFERROR(__xludf.DUMMYFUNCTION("""COMPUTED_VALUE"""),"Novadip Biosciences")</f>
        <v>Novadip Biosciences</v>
      </c>
      <c r="C159" s="6" t="str">
        <f>IFERROR(__xludf.DUMMYFUNCTION("""COMPUTED_VALUE"""),"Your cells for your treatment: with its family of new generation therapies 
for hard &amp; soft tissue reconstruction from autologous adipose stem cells, 
Novadip Biosciences offers a 3D solution without use of scaffold, for 
better clinical outcomes. Website")</f>
        <v>Your cells for your treatment: with its family of new generation therapies 
for hard &amp; soft tissue reconstruction from autologous adipose stem cells, 
Novadip Biosciences offers a 3D solution without use of scaffold, for 
better clinical outcomes. Website</v>
      </c>
      <c r="D159" s="6"/>
      <c r="E159" s="6"/>
    </row>
    <row r="160">
      <c r="A160" s="6"/>
      <c r="B160" s="6" t="str">
        <f>IFERROR(__xludf.DUMMYFUNCTION("""COMPUTED_VALUE"""),"Nucleis")</f>
        <v>Nucleis</v>
      </c>
      <c r="C160" s="6" t="str">
        <f>IFERROR(__xludf.DUMMYFUNCTION("""COMPUTED_VALUE"""),"Nucleis is a radiopharmaceutical company which manufacture and distribute 
Radiopharmaceutical Drugs for Diagnostic and Therapy Monitoring. The 
company was created in June 2017 with the transfer of the business unit 
(existing team, pharmaceutical certif"&amp;"ications, CMO contracts and dedicated 
manufacturing facilities) from CRC (Cyclotron Research Centre – Liège 
Belgium) and benefits...")</f>
        <v>Nucleis is a radiopharmaceutical company which manufacture and distribute 
Radiopharmaceutical Drugs for Diagnostic and Therapy Monitoring. The 
company was created in June 2017 with the transfer of the business unit 
(existing team, pharmaceutical certifications, CMO contracts and dedicated 
manufacturing facilities) from CRC (Cyclotron Research Centre – Liège 
Belgium) and benefits...</v>
      </c>
      <c r="D160" s="6"/>
      <c r="E160" s="6"/>
    </row>
    <row r="161">
      <c r="A161" s="6"/>
      <c r="B161" s="6" t="str">
        <f>IFERROR(__xludf.DUMMYFUNCTION("""COMPUTED_VALUE"""),"NYXOAH Sa")</f>
        <v>NYXOAH Sa</v>
      </c>
      <c r="C161" s="6" t="str">
        <f>IFERROR(__xludf.DUMMYFUNCTION("""COMPUTED_VALUE"""),"Nyxoah is a pioneering medical device company, engaged in developing a 
novel diagnostic and therapeutic solution to combat Obstructive Sleep Apnea 
(OSA). Website")</f>
        <v>Nyxoah is a pioneering medical device company, engaged in developing a 
novel diagnostic and therapeutic solution to combat Obstructive Sleep Apnea 
(OSA). Website</v>
      </c>
      <c r="D161" s="6"/>
      <c r="E161" s="6"/>
    </row>
    <row r="162">
      <c r="A162" s="6"/>
      <c r="B162" s="6" t="str">
        <f>IFERROR(__xludf.DUMMYFUNCTION("""COMPUTED_VALUE"""),"ONCODESIGN")</f>
        <v>ONCODESIGN</v>
      </c>
      <c r="C162" s="6" t="str">
        <f>IFERROR(__xludf.DUMMYFUNCTION("""COMPUTED_VALUE"""),"Oncodesign is a modern biopharmaceutical company that keeps its finger on 
the pulse of unmet medical needs, connected to the planet and acts in 
complete freedom. Oncodesign is a vector for therapeutic innovation: its 
mission is to discover effective th"&amp;"erapies for patients suffering from 
diseases with unmet medical needs. Patients...")</f>
        <v>Oncodesign is a modern biopharmaceutical company that keeps its finger on 
the pulse of unmet medical needs, connected to the planet and acts in 
complete freedom. Oncodesign is a vector for therapeutic innovation: its 
mission is to discover effective therapies for patients suffering from 
diseases with unmet medical needs. Patients...</v>
      </c>
      <c r="D162" s="6"/>
      <c r="E162" s="6"/>
    </row>
    <row r="163">
      <c r="A163" s="6"/>
      <c r="B163" s="6" t="str">
        <f>IFERROR(__xludf.DUMMYFUNCTION("""COMPUTED_VALUE"""),"OncoDNA Sa")</f>
        <v>OncoDNA Sa</v>
      </c>
      <c r="C163" s="6" t="str">
        <f>IFERROR(__xludf.DUMMYFUNCTION("""COMPUTED_VALUE"""),"OncoDNA is a theranostic and genomic company specialising in precision 
oncology. The company is headquartered in Belgium and comprises two 
entities, IntegraGen and BioSequence. The Group works with a global network 
of distributors and laboratories to d"&amp;"eliver the promises of precision 
medicine for cancer patients. OncoDNA provides a unique offering...")</f>
        <v>OncoDNA is a theranostic and genomic company specialising in precision 
oncology. The company is headquartered in Belgium and comprises two 
entities, IntegraGen and BioSequence. The Group works with a global network 
of distributors and laboratories to deliver the promises of precision 
medicine for cancer patients. OncoDNA provides a unique offering...</v>
      </c>
      <c r="D163" s="6"/>
      <c r="E163" s="6"/>
    </row>
    <row r="164">
      <c r="A164" s="6"/>
      <c r="B164" s="6" t="str">
        <f>IFERROR(__xludf.DUMMYFUNCTION("""COMPUTED_VALUE"""),"Oncomfort")</f>
        <v>Oncomfort</v>
      </c>
      <c r="C164" s="6" t="str">
        <f>IFERROR(__xludf.DUMMYFUNCTION("""COMPUTED_VALUE"""),"Oncomfort develops and commercialises the Digital Sedation™, unique digital 
therapy for relieving patients’ pain and anxiety during medical procedures. 
This revolutionising therapy combines clinical hypnotherapy and integrative 
therapeutic techniques t"&amp;"hrough Virtual Reality. Oncomfort develops the 
Sedakit™, a non-pharmacological therapeutic solution adapted to the 
patients and medical procedure. The Sedakit™ contains...")</f>
        <v>Oncomfort develops and commercialises the Digital Sedation™, unique digital 
therapy for relieving patients’ pain and anxiety during medical procedures. 
This revolutionising therapy combines clinical hypnotherapy and integrative 
therapeutic techniques through Virtual Reality. Oncomfort develops the 
Sedakit™, a non-pharmacological therapeutic solution adapted to the 
patients and medical procedure. The Sedakit™ contains...</v>
      </c>
      <c r="D164" s="6"/>
      <c r="E164" s="6"/>
    </row>
    <row r="165">
      <c r="A165" s="6"/>
      <c r="B165" s="6" t="str">
        <f>IFERROR(__xludf.DUMMYFUNCTION("""COMPUTED_VALUE"""),"Radiomics")</f>
        <v>Radiomics</v>
      </c>
      <c r="C165" s="6" t="str">
        <f>IFERROR(__xludf.DUMMYFUNCTION("""COMPUTED_VALUE"""),"OncoRadiomics develops products and services with the unique advantage of 
providing higher quality care for cancer patients while minimizing total 
treatment cost at the same time. Decision Support for Treatment: 
Semi-automatic high throughput augmented"&amp;" clinical decision support with an 
accuracy on par or superior to an oncologist Efficient Trial Management:...")</f>
        <v>OncoRadiomics develops products and services with the unique advantage of 
providing higher quality care for cancer patients while minimizing total 
treatment cost at the same time. Decision Support for Treatment: 
Semi-automatic high throughput augmented clinical decision support with an 
accuracy on par or superior to an oncologist Efficient Trial Management:...</v>
      </c>
      <c r="D165" s="6"/>
      <c r="E165" s="6"/>
    </row>
    <row r="166">
      <c r="A166" s="6"/>
      <c r="B166" s="6" t="str">
        <f>IFERROR(__xludf.DUMMYFUNCTION("""COMPUTED_VALUE"""),"OneLife Sa")</f>
        <v>OneLife Sa</v>
      </c>
      <c r="C166" s="6" t="str">
        <f>IFERROR(__xludf.DUMMYFUNCTION("""COMPUTED_VALUE"""),"OneLife S.A. is a biotech company specialized in decontamination solutions 
&amp; infection control for medical devices and the patients’ environment. 
Spin-out of Realco SA, world leader with 30 years experience in 
enzyme-based hygiene &amp; worldwide renown as"&amp;" surface cleaning expert, OneLife 
provides innovative enzymatic detergence products, protocols and services 
that...")</f>
        <v>OneLife S.A. is a biotech company specialized in decontamination solutions 
&amp; infection control for medical devices and the patients’ environment. 
Spin-out of Realco SA, world leader with 30 years experience in 
enzyme-based hygiene &amp; worldwide renown as surface cleaning expert, OneLife 
provides innovative enzymatic detergence products, protocols and services 
that...</v>
      </c>
      <c r="D166" s="6"/>
      <c r="E166" s="6"/>
    </row>
    <row r="167">
      <c r="A167" s="6" t="str">
        <f>IFERROR(__xludf.DUMMYFUNCTION("""COMPUTED_VALUE"""),"OOC Sprl")</f>
        <v>OOC Sprl</v>
      </c>
      <c r="B167" s="6"/>
      <c r="C167" s="6"/>
      <c r="D167" s="6"/>
      <c r="E167" s="6"/>
    </row>
    <row r="168">
      <c r="A168" s="6" t="str">
        <f>IFERROR(__xludf.DUMMYFUNCTION("""COMPUTED_VALUE"""),"Op2lysis")</f>
        <v>Op2lysis</v>
      </c>
      <c r="B168" s="6"/>
      <c r="C168" s="6"/>
      <c r="D168" s="6"/>
      <c r="E168" s="6"/>
    </row>
    <row r="169">
      <c r="A169" s="6"/>
      <c r="B169" s="6" t="str">
        <f>IFERROR(__xludf.DUMMYFUNCTION("""COMPUTED_VALUE"""),"O+R")</f>
        <v>O+R</v>
      </c>
      <c r="C169" s="6"/>
      <c r="D169" s="6"/>
      <c r="E169" s="6"/>
    </row>
    <row r="170">
      <c r="A170" s="6"/>
      <c r="B170" s="6" t="str">
        <f>IFERROR(__xludf.DUMMYFUNCTION("""COMPUTED_VALUE"""),"ORA Neptis")</f>
        <v>ORA Neptis</v>
      </c>
      <c r="C170" s="6" t="str">
        <f>IFERROR(__xludf.DUMMYFUNCTION("""COMPUTED_VALUE"""),"At ORA, we are developing innovative radiochemistry platforms. Website")</f>
        <v>At ORA, we are developing innovative radiochemistry platforms. Website</v>
      </c>
      <c r="D170" s="6"/>
      <c r="E170" s="6"/>
    </row>
    <row r="171">
      <c r="A171" s="6"/>
      <c r="B171" s="6" t="str">
        <f>IFERROR(__xludf.DUMMYFUNCTION("""COMPUTED_VALUE"""),"Orgenesis (Belgium) SRL")</f>
        <v>Orgenesis (Belgium) SRL</v>
      </c>
      <c r="C171" s="6" t="str">
        <f>IFERROR(__xludf.DUMMYFUNCTION("""COMPUTED_VALUE"""),"Orgenesis is a pioneering global biotech company which is unlocking the 
full potential of personalized therapies and closed processing systems 
through its Cell &amp; Gene Therapy Biotech Platform, with the ultimate aim of 
providing life changing treatments"&amp;" at the point of care (POCare) to large 
numbers of patients at low...")</f>
        <v>Orgenesis is a pioneering global biotech company which is unlocking the 
full potential of personalized therapies and closed processing systems 
through its Cell &amp; Gene Therapy Biotech Platform, with the ultimate aim of 
providing life changing treatments at the point of care (POCare) to large 
numbers of patients at low...</v>
      </c>
      <c r="D171" s="6"/>
      <c r="E171" s="6"/>
    </row>
    <row r="172">
      <c r="A172" s="6"/>
      <c r="B172" s="6" t="str">
        <f>IFERROR(__xludf.DUMMYFUNCTION("""COMPUTED_VALUE"""),"Osborne Clarke")</f>
        <v>Osborne Clarke</v>
      </c>
      <c r="C172" s="6" t="str">
        <f>IFERROR(__xludf.DUMMYFUNCTION("""COMPUTED_VALUE"""),"Osborne Clarke Belgium is a fast-growing and dynamic firm in the heart of 
Brussels. Our team is made up of experts in Commercial, Corporate, 
Employment, EU, IT &amp; IP, Payments and Regulatory and Tax law who 
collaborate to provide innovative and efficien"&amp;"t advice across sectors. Our 
clients are established and...")</f>
        <v>Osborne Clarke Belgium is a fast-growing and dynamic firm in the heart of 
Brussels. Our team is made up of experts in Commercial, Corporate, 
Employment, EU, IT &amp; IP, Payments and Regulatory and Tax law who 
collaborate to provide innovative and efficient advice across sectors. Our 
clients are established and...</v>
      </c>
      <c r="D172" s="6"/>
      <c r="E172" s="6"/>
    </row>
    <row r="173">
      <c r="A173" s="6"/>
      <c r="B173" s="6" t="str">
        <f>IFERROR(__xludf.DUMMYFUNCTION("""COMPUTED_VALUE"""),"OSIVAX")</f>
        <v>OSIVAX</v>
      </c>
      <c r="C173" s="6" t="str">
        <f>IFERROR(__xludf.DUMMYFUNCTION("""COMPUTED_VALUE"""),"Osivax is a clinical-stage biotech company leveraging platform technology, 
oligoDOM®, to transform the respiratory virus vaccine landscape with 
pan-flu and pan-covid-19 vaccines delivered in one single shot. The company 
is establishing proof of concept"&amp;" with its broad-spectrum “universal” 
influenza candidate, OVX836, which is currently in Phase 2 clinical trial 
with...")</f>
        <v>Osivax is a clinical-stage biotech company leveraging platform technology, 
oligoDOM®, to transform the respiratory virus vaccine landscape with 
pan-flu and pan-covid-19 vaccines delivered in one single shot. The company 
is establishing proof of concept with its broad-spectrum “universal” 
influenza candidate, OVX836, which is currently in Phase 2 clinical trial 
with...</v>
      </c>
      <c r="D173" s="6"/>
      <c r="E173" s="6"/>
    </row>
    <row r="174">
      <c r="A174" s="6"/>
      <c r="B174" s="6" t="str">
        <f>IFERROR(__xludf.DUMMYFUNCTION("""COMPUTED_VALUE"""),"OUAT!")</f>
        <v>OUAT!</v>
      </c>
      <c r="C174" s="6" t="str">
        <f>IFERROR(__xludf.DUMMYFUNCTION("""COMPUTED_VALUE"""),"OUAT! is the digital transformation partner for companies in the life 
sciences industry. We offer a web platform - HakoBio - allowing 
biopharmaceutical companies to easily create a 3D digital twin of their 
factories. Once that digital copy is ready, vi"&amp;"rtual reality (VR) and 
augmented reality (AR) empower users to...")</f>
        <v>OUAT! is the digital transformation partner for companies in the life 
sciences industry. We offer a web platform - HakoBio - allowing 
biopharmaceutical companies to easily create a 3D digital twin of their 
factories. Once that digital copy is ready, virtual reality (VR) and 
augmented reality (AR) empower users to...</v>
      </c>
      <c r="D174" s="6"/>
      <c r="E174" s="6"/>
    </row>
    <row r="175">
      <c r="A175" s="6" t="str">
        <f>IFERROR(__xludf.DUMMYFUNCTION("""COMPUTED_VALUE"""),"P³Lab")</f>
        <v>P³Lab</v>
      </c>
      <c r="B175" s="6" t="str">
        <f>IFERROR(__xludf.DUMMYFUNCTION("""COMPUTED_VALUE"""),"P3Lab est une société basée Louvain-la-Neuve. Sa mission : développer des 
solutions fournissant aux médecins des biomarqueurs quantifiés, renforçant 
leur diagnostic et permettant le suivi longitudinal. Nous sommes des 
chercheurs en neurologie, médecins"&amp;" et ingénieurs convaincus de l’intérêt de 
l’eye tracking pour la pratique clinique. Nous développons NeuroClues, un 
laboratoire portable...")</f>
        <v>P3Lab est une société basée Louvain-la-Neuve. Sa mission : développer des 
solutions fournissant aux médecins des biomarqueurs quantifiés, renforçant 
leur diagnostic et permettant le suivi longitudinal. Nous sommes des 
chercheurs en neurologie, médecins et ingénieurs convaincus de l’intérêt de 
l’eye tracking pour la pratique clinique. Nous développons NeuroClues, un 
laboratoire portable...</v>
      </c>
      <c r="C175" s="6"/>
      <c r="D175" s="6"/>
      <c r="E175" s="6"/>
    </row>
    <row r="176">
      <c r="A176" s="6"/>
      <c r="B176" s="6" t="str">
        <f>IFERROR(__xludf.DUMMYFUNCTION("""COMPUTED_VALUE"""),"PaHRTners Sprl")</f>
        <v>PaHRTners Sprl</v>
      </c>
      <c r="C176" s="6" t="str">
        <f>IFERROR(__xludf.DUMMYFUNCTION("""COMPUTED_VALUE"""),"PaHRtners is a Belgian human resources consultancy company, mainly for 
companies in the industrial and life sciences sectors. Our offices are 
located in Brussels, Gosselies, Mont-Saint-Guibert and Liège. Our mission? 
Simply make our clients' ambitions "&amp;"possible, by focusing on Human. We 
support innovative and growing companies in their human resources...")</f>
        <v>PaHRtners is a Belgian human resources consultancy company, mainly for 
companies in the industrial and life sciences sectors. Our offices are 
located in Brussels, Gosselies, Mont-Saint-Guibert and Liège. Our mission? 
Simply make our clients' ambitions possible, by focusing on Human. We 
support innovative and growing companies in their human resources...</v>
      </c>
      <c r="D176" s="6"/>
      <c r="E176" s="6"/>
    </row>
    <row r="177">
      <c r="A177" s="6"/>
      <c r="B177" s="6" t="str">
        <f>IFERROR(__xludf.DUMMYFUNCTION("""COMPUTED_VALUE"""),"PDC*line Pharma SA")</f>
        <v>PDC*line Pharma SA</v>
      </c>
      <c r="C177" s="6" t="str">
        <f>IFERROR(__xludf.DUMMYFUNCTION("""COMPUTED_VALUE"""),"PDC*line Pharma is a clinical-stage biotech company that develops a new 
class of antigen – specific active immunotherapies based on a proprietary 
allogeneic cell line of Plasmacytoid Dendritic cells (PDC*line). Website")</f>
        <v>PDC*line Pharma is a clinical-stage biotech company that develops a new 
class of antigen – specific active immunotherapies based on a proprietary 
allogeneic cell line of Plasmacytoid Dendritic cells (PDC*line). Website</v>
      </c>
      <c r="D177" s="6"/>
      <c r="E177" s="6"/>
    </row>
    <row r="178">
      <c r="A178" s="6"/>
      <c r="B178" s="6" t="str">
        <f>IFERROR(__xludf.DUMMYFUNCTION("""COMPUTED_VALUE"""),"Pharmalex Belgium")</f>
        <v>Pharmalex Belgium</v>
      </c>
      <c r="C178" s="6" t="str">
        <f>IFERROR(__xludf.DUMMYFUNCTION("""COMPUTED_VALUE"""),"PharmaLex Belgium provides statistical expertise through consulting 
services, training and dedicated software to pharmaceutical and 
biopharmaceutical companies. Our goal is the same as the companies we 
support – to efficiently and consistently develop "&amp;"and deliver quality 
medicine to patients. PharmaLex is one of the largest specialized providers 
of Development Consulting,...")</f>
        <v>PharmaLex Belgium provides statistical expertise through consulting 
services, training and dedicated software to pharmaceutical and 
biopharmaceutical companies. Our goal is the same as the companies we 
support – to efficiently and consistently develop and deliver quality 
medicine to patients. PharmaLex is one of the largest specialized providers 
of Development Consulting,...</v>
      </c>
      <c r="D178" s="6"/>
      <c r="E178" s="6"/>
    </row>
    <row r="179">
      <c r="A179" s="6"/>
      <c r="B179" s="6" t="str">
        <f>IFERROR(__xludf.DUMMYFUNCTION("""COMPUTED_VALUE"""),"Pharmaplan (TTP Group)")</f>
        <v>Pharmaplan (TTP Group)</v>
      </c>
      <c r="C179" s="6" t="str">
        <f>IFERROR(__xludf.DUMMYFUNCTION("""COMPUTED_VALUE"""),"PHARMAPLAN is an engineering company dedicated to Pharmaceutical and 
Biotechnologies industries. As part of the TTP Group, with 1.000 experts in 
Europe, we support our customers in the design and the execution of their 
revamping and greenfield projects"&amp;", for laboratories and production 
facilities. Our services cover the complete project lifecycle,...")</f>
        <v>PHARMAPLAN is an engineering company dedicated to Pharmaceutical and 
Biotechnologies industries. As part of the TTP Group, with 1.000 experts in 
Europe, we support our customers in the design and the execution of their 
revamping and greenfield projects, for laboratories and production 
facilities. Our services cover the complete project lifecycle,...</v>
      </c>
      <c r="D179" s="6"/>
      <c r="E179" s="6"/>
    </row>
    <row r="180">
      <c r="A180" s="6"/>
      <c r="B180" s="6" t="str">
        <f>IFERROR(__xludf.DUMMYFUNCTION("""COMPUTED_VALUE"""),"pi Life Science Consultancy (Pharma Insight)")</f>
        <v>pi Life Science Consultancy (Pharma Insight)</v>
      </c>
      <c r="C180" s="6" t="str">
        <f>IFERROR(__xludf.DUMMYFUNCTION("""COMPUTED_VALUE"""),"Since 2004, pi is recognized as the consulting partner for bringing 
excellence in the Life Science industry. We deliver high-quality services 
tailored our clients' specific demands and focus on achieving deliverables 
effectively. We invest tremendously"&amp;" in the growth and well-being of 
consultants therefore putting our human capital first. Our services...")</f>
        <v>Since 2004, pi is recognized as the consulting partner for bringing 
excellence in the Life Science industry. We deliver high-quality services 
tailored our clients' specific demands and focus on achieving deliverables 
effectively. We invest tremendously in the growth and well-being of 
consultants therefore putting our human capital first. Our services...</v>
      </c>
      <c r="D180" s="6"/>
      <c r="E180" s="6"/>
    </row>
    <row r="181">
      <c r="A181" s="6"/>
      <c r="B181" s="6" t="str">
        <f>IFERROR(__xludf.DUMMYFUNCTION("""COMPUTED_VALUE"""),"Plus One")</f>
        <v>Plus One</v>
      </c>
      <c r="C181" s="6" t="str">
        <f>IFERROR(__xludf.DUMMYFUNCTION("""COMPUTED_VALUE"""),"Recruitment in Biotech – Medtech – HighTech Bringing the right people on 
board is important for any business, but small companies in particular 
can’t afford to make hiring mistakes! Our mission: ""support small 
innovative structures at every stage of t"&amp;"heir development by recruiting 
sharp and rare profiles."" Our sectors: Biotech,...")</f>
        <v>Recruitment in Biotech – Medtech – HighTech Bringing the right people on 
board is important for any business, but small companies in particular 
can’t afford to make hiring mistakes! Our mission: "support small 
innovative structures at every stage of their development by recruiting 
sharp and rare profiles." Our sectors: Biotech,...</v>
      </c>
      <c r="D181" s="6"/>
      <c r="E181" s="6"/>
    </row>
    <row r="182">
      <c r="A182" s="6"/>
      <c r="B182" s="6" t="str">
        <f>IFERROR(__xludf.DUMMYFUNCTION("""COMPUTED_VALUE"""),"PolyPeptide SA")</f>
        <v>PolyPeptide SA</v>
      </c>
      <c r="C182" s="6" t="str">
        <f>IFERROR(__xludf.DUMMYFUNCTION("""COMPUTED_VALUE"""),"PolyPeptide S.A., Belgium, is part of the international PolyPeptide Group, 
a focused Contract Development and Manufacturing Organization (CDMO) for 
peptide - and oligonucleotide - based active pharmaceutical ingredients 
(API). By supporting its custome"&amp;"rs mainly in pharma and biotech, it 
contributes to the health of millions of patients across the world....")</f>
        <v>PolyPeptide S.A., Belgium, is part of the international PolyPeptide Group, 
a focused Contract Development and Manufacturing Organization (CDMO) for 
peptide - and oligonucleotide - based active pharmaceutical ingredients 
(API). By supporting its customers mainly in pharma and biotech, it 
contributes to the health of millions of patients across the world....</v>
      </c>
      <c r="D182" s="6"/>
      <c r="E182" s="6"/>
    </row>
    <row r="183">
      <c r="A183" s="6"/>
      <c r="B183" s="6" t="str">
        <f>IFERROR(__xludf.DUMMYFUNCTION("""COMPUTED_VALUE"""),"PQE Belgium")</f>
        <v>PQE Belgium</v>
      </c>
      <c r="C183" s="6" t="str">
        <f>IFERROR(__xludf.DUMMYFUNCTION("""COMPUTED_VALUE"""),"PQE Belgium is a subsidiary of PQE Group, an international consultancy 
company in the field of pharmaceuticals and medical devices. PQE Group was 
founded in 1998 in Italy and the Belgian subsidiary was created 22 years 
later, in 2020. PQE Group is a co"&amp;"mpany specializing in the validation of 
computerized...")</f>
        <v>PQE Belgium is a subsidiary of PQE Group, an international consultancy 
company in the field of pharmaceuticals and medical devices. PQE Group was 
founded in 1998 in Italy and the Belgian subsidiary was created 22 years 
later, in 2020. PQE Group is a company specializing in the validation of 
computerized...</v>
      </c>
      <c r="D183" s="6"/>
      <c r="E183" s="6"/>
    </row>
    <row r="184">
      <c r="A184" s="6"/>
      <c r="B184" s="6" t="str">
        <f>IFERROR(__xludf.DUMMYFUNCTION("""COMPUTED_VALUE"""),"Progenus SA")</f>
        <v>Progenus SA</v>
      </c>
      <c r="C184" s="6"/>
      <c r="D184" s="6" t="str">
        <f>IFERROR(__xludf.DUMMYFUNCTION("""COMPUTED_VALUE"""),"Progenus is an innovative scientific Belgian company founded in 2001. The 
Progenus team offers development and/or OEM production services for 
diagnostic kits based on DNA analysis. Your creative, innovative partner 
for DNA expertise Progenus develops y"&amp;"our PCR tests and DNA extraction kits 
according to your requirements. Whether you want to…")</f>
        <v>Progenus is an innovative scientific Belgian company founded in 2001. The 
Progenus team offers development and/or OEM production services for 
diagnostic kits based on DNA analysis. Your creative, innovative partner 
for DNA expertise Progenus develops your PCR tests and DNA extraction kits 
according to your requirements. Whether you want to…</v>
      </c>
      <c r="E184" s="6"/>
    </row>
    <row r="185">
      <c r="A185" s="6"/>
      <c r="B185" s="6" t="str">
        <f>IFERROR(__xludf.DUMMYFUNCTION("""COMPUTED_VALUE"""),"Cellaïon")</f>
        <v>Cellaïon</v>
      </c>
      <c r="C185" s="6" t="str">
        <f>IFERROR(__xludf.DUMMYFUNCTION("""COMPUTED_VALUE"""),"Cellaïon SA is a Belgian biotechnology company developing life-saving 
advanced therapies to repair tissue and regenerate the liver; Cellaïon 
primarily targets potentially lethal diseases without medical solutions. 
Located in the biotech valley of the W"&amp;"alloon Region in Belgium, we are a 
team of biotech entrepreneurs, physicians and highly talented scientists...")</f>
        <v>Cellaïon SA is a Belgian biotechnology company developing life-saving 
advanced therapies to repair tissue and regenerate the liver; Cellaïon 
primarily targets potentially lethal diseases without medical solutions. 
Located in the biotech valley of the Walloon Region in Belgium, we are a 
team of biotech entrepreneurs, physicians and highly talented scientists...</v>
      </c>
      <c r="D185" s="6"/>
      <c r="E185" s="6"/>
    </row>
    <row r="186">
      <c r="A186" s="6" t="str">
        <f>IFERROR(__xludf.DUMMYFUNCTION("""COMPUTED_VALUE"""),"Haute Ecole Province de Hainaut")</f>
        <v>Haute Ecole Province de Hainaut</v>
      </c>
      <c r="B186" s="6"/>
      <c r="C186" s="6"/>
      <c r="D186" s="6"/>
      <c r="E186" s="6"/>
    </row>
    <row r="187">
      <c r="A187" s="6"/>
      <c r="B187" s="6" t="str">
        <f>IFERROR(__xludf.DUMMYFUNCTION("""COMPUTED_VALUE"""),"Q1 Scientific – a Cambrex company")</f>
        <v>Q1 Scientific – a Cambrex company</v>
      </c>
      <c r="C187" s="6" t="str">
        <f>IFERROR(__xludf.DUMMYFUNCTION("""COMPUTED_VALUE"""),"If you are looking for a secure, reliable and cost-effective way to store 
your pharmaceutical and medical device products under any ICH or custom 
temperature and humidity condition, you need Q1 Scientific, the leader in 
outsourced stability storage. Op"&amp;"erating from state-of-the-art facilities in 
Belgium and Ireland, Q1 Scientific helps improve...")</f>
        <v>If you are looking for a secure, reliable and cost-effective way to store 
your pharmaceutical and medical device products under any ICH or custom 
temperature and humidity condition, you need Q1 Scientific, the leader in 
outsourced stability storage. Operating from state-of-the-art facilities in 
Belgium and Ireland, Q1 Scientific helps improve...</v>
      </c>
      <c r="D187" s="6"/>
      <c r="E187" s="6"/>
    </row>
    <row r="188">
      <c r="A188" s="6"/>
      <c r="B188" s="6" t="str">
        <f>IFERROR(__xludf.DUMMYFUNCTION("""COMPUTED_VALUE"""),"Qualiblood")</f>
        <v>Qualiblood</v>
      </c>
      <c r="C188" s="6" t="str">
        <f>IFERROR(__xludf.DUMMYFUNCTION("""COMPUTED_VALUE"""),"QUALIblood is a contract research laboratory offering state-of-the-art 
analytical services in the field of blood biomarker assessment. The 
laboratory is ISO-17025 compliant and undertakes clinical studies in 
accordance with GCP. A tailor-made accompani"&amp;"ment in blood analyses 
Management of all laboratory tasks in your clinical trials Selection of the 
most appropriate...")</f>
        <v>QUALIblood is a contract research laboratory offering state-of-the-art 
analytical services in the field of blood biomarker assessment. The 
laboratory is ISO-17025 compliant and undertakes clinical studies in 
accordance with GCP. A tailor-made accompaniment in blood analyses 
Management of all laboratory tasks in your clinical trials Selection of the 
most appropriate...</v>
      </c>
      <c r="D188" s="6"/>
      <c r="E188" s="6"/>
    </row>
    <row r="189">
      <c r="A189" s="6"/>
      <c r="B189" s="6" t="str">
        <f>IFERROR(__xludf.DUMMYFUNCTION("""COMPUTED_VALUE"""),"Quality Assistance Sa")</f>
        <v>Quality Assistance Sa</v>
      </c>
      <c r="C189" s="6" t="str">
        <f>IFERROR(__xludf.DUMMYFUNCTION("""COMPUTED_VALUE"""),"Quality Assistance S.A. is a leading European Contract Research 
Organisation providing the pharmaceutical industry with all the analytical 
services required by EMA and FDA regulations for the development and 
marketing of innovative human medicinal prod"&amp;"ucts. Quality Assistance is 
positioned as a preferred partner for the innovative pharmaceutical 
industry. Using our...")</f>
        <v>Quality Assistance S.A. is a leading European Contract Research 
Organisation providing the pharmaceutical industry with all the analytical 
services required by EMA and FDA regulations for the development and 
marketing of innovative human medicinal products. Quality Assistance is 
positioned as a preferred partner for the innovative pharmaceutical 
industry. Using our...</v>
      </c>
      <c r="D189" s="6"/>
      <c r="E189" s="6"/>
    </row>
    <row r="190">
      <c r="A190" s="6"/>
      <c r="B190" s="6" t="str">
        <f>IFERROR(__xludf.DUMMYFUNCTION("""COMPUTED_VALUE"""),"QBD Group")</f>
        <v>QBD Group</v>
      </c>
      <c r="C190" s="6" t="str">
        <f>IFERROR(__xludf.DUMMYFUNCTION("""COMPUTED_VALUE"""),"The QbD Group supports companies worldwide in the life sciences throughout 
the entire product lifecycle, from idea to patient. Our knowledge and 
expertise are at our clients’ disposal. We gained this expertise in 
following main domains: quality assuran"&amp;"ce, validation &amp; qualification, 
regulatory affairs, clinical, quality control, software solutions and 
commercialization....")</f>
        <v>The QbD Group supports companies worldwide in the life sciences throughout 
the entire product lifecycle, from idea to patient. Our knowledge and 
expertise are at our clients’ disposal. We gained this expertise in 
following main domains: quality assurance, validation &amp; qualification, 
regulatory affairs, clinical, quality control, software solutions and 
commercialization....</v>
      </c>
      <c r="D190" s="6"/>
      <c r="E190" s="6"/>
    </row>
    <row r="191">
      <c r="A191" s="6"/>
      <c r="B191" s="6" t="str">
        <f>IFERROR(__xludf.DUMMYFUNCTION("""COMPUTED_VALUE"""),"QUBES")</f>
        <v>QUBES</v>
      </c>
      <c r="C191" s="6" t="str">
        <f>IFERROR(__xludf.DUMMYFUNCTION("""COMPUTED_VALUE"""),"QUBES. is a Belgian company providing biostatistical and data science 
consulting services to Pharmaceutical companies, Biotech’s, MedTechs &amp; 
CROs. QUBES. members bring on average 20 years of drug development 
experience in the pharma industry. QUBES. pr"&amp;"ovide statistical support in 
every step of clinical drug development: development of clinical plan, 
clinical trial...")</f>
        <v>QUBES. is a Belgian company providing biostatistical and data science 
consulting services to Pharmaceutical companies, Biotech’s, MedTechs &amp; 
CROs. QUBES. members bring on average 20 years of drug development 
experience in the pharma industry. QUBES. provide statistical support in 
every step of clinical drug development: development of clinical plan, 
clinical trial...</v>
      </c>
      <c r="D191" s="6"/>
      <c r="E191" s="6"/>
    </row>
    <row r="192">
      <c r="A192" s="6"/>
      <c r="B192" s="6" t="str">
        <f>IFERROR(__xludf.DUMMYFUNCTION("""COMPUTED_VALUE"""),"Quimesis")</f>
        <v>Quimesis</v>
      </c>
      <c r="C192" s="6" t="str">
        <f>IFERROR(__xludf.DUMMYFUNCTION("""COMPUTED_VALUE"""),"Quimesis helps its customers to turn their innovation projects into 
marketable  products. Starting from an idea, we can support any 
technological project from early feasibility studies to mass-production. 
Website")</f>
        <v>Quimesis helps its customers to turn their innovation projects into 
marketable  products. Starting from an idea, we can support any 
technological project from early feasibility studies to mass-production. 
Website</v>
      </c>
      <c r="D192" s="6"/>
      <c r="E192" s="6"/>
    </row>
    <row r="193">
      <c r="A193" s="6"/>
      <c r="B193" s="6" t="str">
        <f>IFERROR(__xludf.DUMMYFUNCTION("""COMPUTED_VALUE"""),"Revatis")</f>
        <v>Revatis</v>
      </c>
      <c r="C193" s="6" t="str">
        <f>IFERROR(__xludf.DUMMYFUNCTION("""COMPUTED_VALUE"""),"RevaTis proposes a global concept in regenerative veterinary medicine based 
on the combination of growth factors (PRP kits), scaffolds (new generation 
of hyaluronic acid) and regenerative stem cells.")</f>
        <v>RevaTis proposes a global concept in regenerative veterinary medicine based 
on the combination of growth factors (PRP kits), scaffolds (new generation 
of hyaluronic acid) and regenerative stem cells.</v>
      </c>
      <c r="D193" s="6"/>
      <c r="E193" s="6"/>
    </row>
    <row r="194">
      <c r="A194" s="6"/>
      <c r="B194" s="6" t="str">
        <f>IFERROR(__xludf.DUMMYFUNCTION("""COMPUTED_VALUE"""),"RLM Consulting")</f>
        <v>RLM Consulting</v>
      </c>
      <c r="C194" s="6" t="str">
        <f>IFERROR(__xludf.DUMMYFUNCTION("""COMPUTED_VALUE"""),"RLM Consulting provides regulatory affairs support at all stages of the 
medicinal product development, from discovery research through preclinical 
and clinical testing, up to and beyond submission of the dossier required 
for marketing authorization. We"&amp;"bsite")</f>
        <v>RLM Consulting provides regulatory affairs support at all stages of the 
medicinal product development, from discovery research through preclinical 
and clinical testing, up to and beyond submission of the dossier required 
for marketing authorization. Website</v>
      </c>
      <c r="D194" s="6"/>
      <c r="E194" s="6"/>
    </row>
    <row r="195">
      <c r="A195" s="6"/>
      <c r="B195" s="6" t="str">
        <f>IFERROR(__xludf.DUMMYFUNCTION("""COMPUTED_VALUE"""),"Rommel Consulting Partners Sprl")</f>
        <v>Rommel Consulting Partners Sprl</v>
      </c>
      <c r="C195" s="6" t="str">
        <f>IFERROR(__xludf.DUMMYFUNCTION("""COMPUTED_VALUE"""),"With decades of experience in pharmaceutical industry and academic 
research, we provide consultancy services to biotech companies, 
pharmaceutical companies, academic research institutions and 
Governmental/Non-Governmental l Organizations (WHO, TBVi, PA"&amp;"TH,...) to help 
them to conduct their pharmaceutical development programs in an efficient, 
effective and ethical manner. Consultancy services related to :...")</f>
        <v>With decades of experience in pharmaceutical industry and academic 
research, we provide consultancy services to biotech companies, 
pharmaceutical companies, academic research institutions and 
Governmental/Non-Governmental l Organizations (WHO, TBVi, PATH,...) to help 
them to conduct their pharmaceutical development programs in an efficient, 
effective and ethical manner. Consultancy services related to :...</v>
      </c>
      <c r="D195" s="6"/>
      <c r="E195" s="6"/>
    </row>
    <row r="196">
      <c r="A196" s="6"/>
      <c r="B196" s="6" t="str">
        <f>IFERROR(__xludf.DUMMYFUNCTION("""COMPUTED_VALUE"""),"Sagitta Biotech")</f>
        <v>Sagitta Biotech</v>
      </c>
      <c r="C196" s="6" t="str">
        <f>IFERROR(__xludf.DUMMYFUNCTION("""COMPUTED_VALUE"""),"Sagitta Biotech is developing a targeted therapy based on Oncolytic 
Viruses, which are vaccine strains modified to specifically kill tumor 
cells. Sagitta Biotech is building a vector that we hope is better than the 
competition, because we designed it t"&amp;"o be targeted (it specifically infects 
cells carrying a tumor marker)...")</f>
        <v>Sagitta Biotech is developing a targeted therapy based on Oncolytic 
Viruses, which are vaccine strains modified to specifically kill tumor 
cells. Sagitta Biotech is building a vector that we hope is better than the 
competition, because we designed it to be targeted (it specifically infects 
cells carrying a tumor marker)...</v>
      </c>
      <c r="D196" s="6"/>
      <c r="E196" s="6"/>
    </row>
    <row r="197">
      <c r="A197" s="6"/>
      <c r="B197" s="6" t="str">
        <f>IFERROR(__xludf.DUMMYFUNCTION("""COMPUTED_VALUE"""),"SalamanderU")</f>
        <v>SalamanderU</v>
      </c>
      <c r="C197" s="6" t="str">
        <f>IFERROR(__xludf.DUMMYFUNCTION("""COMPUTED_VALUE"""),"salamanderU is a technology company made up of a multidisciplinary team of 
business experts in life science industry, pharmaceutical engineering and 
IT. We support you by integrating innovative tailor-made solutions On the 
one hand, technical, with our"&amp;" acrylic resin isolator that encompasses all 
of your equipment On the other hand,...")</f>
        <v>salamanderU is a technology company made up of a multidisciplinary team of 
business experts in life science industry, pharmaceutical engineering and 
IT. We support you by integrating innovative tailor-made solutions On the 
one hand, technical, with our acrylic resin isolator that encompasses all 
of your equipment On the other hand,...</v>
      </c>
      <c r="D197" s="6"/>
      <c r="E197" s="6"/>
    </row>
    <row r="198">
      <c r="A198" s="6"/>
      <c r="B198" s="6" t="str">
        <f>IFERROR(__xludf.DUMMYFUNCTION("""COMPUTED_VALUE"""),"Sambrinvest")</f>
        <v>Sambrinvest</v>
      </c>
      <c r="C198" s="6" t="str">
        <f>IFERROR(__xludf.DUMMYFUNCTION("""COMPUTED_VALUE"""),"Financial partner of SMEs and catalyst of the economic development of 
Charleroi Metropole. With over 35 years of experience working alongside 
companies and entrepreneurs, close to 300 portfolio companies and more than 
180 million euros under management"&amp;", Sambrinvest is a major venture capital 
player in Wallonia. More than an investment fund, Sambrinvest is also a 
catalyst for...")</f>
        <v>Financial partner of SMEs and catalyst of the economic development of 
Charleroi Metropole. With over 35 years of experience working alongside 
companies and entrepreneurs, close to 300 portfolio companies and more than 
180 million euros under management, Sambrinvest is a major venture capital 
player in Wallonia. More than an investment fund, Sambrinvest is also a 
catalyst for...</v>
      </c>
      <c r="D198" s="6"/>
      <c r="E198" s="6"/>
    </row>
    <row r="199">
      <c r="A199" s="6"/>
      <c r="B199" s="6" t="str">
        <f>IFERROR(__xludf.DUMMYFUNCTION("""COMPUTED_VALUE"""),"Secoya Technologies")</f>
        <v>Secoya Technologies</v>
      </c>
      <c r="C199" s="6" t="str">
        <f>IFERROR(__xludf.DUMMYFUNCTION("""COMPUTED_VALUE"""),"Secoya is a company (ULB spin-off) based in Louvain-La-Neuve offering 
innovative solutions &amp; equipment in particles engineering (Microfluidics) 
to the (bio)pharmaceutical industry from lab to industrial scale. At Secoya 
Technologies our technology expe"&amp;"rts develop innovative production 
technologies and equipment by a smart use of micro-structured elements, 
enabling pharmaceutical companies a...")</f>
        <v>Secoya is a company (ULB spin-off) based in Louvain-La-Neuve offering 
innovative solutions &amp; equipment in particles engineering (Microfluidics) 
to the (bio)pharmaceutical industry from lab to industrial scale. At Secoya 
Technologies our technology experts develop innovative production 
technologies and equipment by a smart use of micro-structured elements, 
enabling pharmaceutical companies a...</v>
      </c>
      <c r="D199" s="6"/>
      <c r="E199" s="6"/>
    </row>
    <row r="200">
      <c r="A200" s="6"/>
      <c r="B200" s="6" t="str">
        <f>IFERROR(__xludf.DUMMYFUNCTION("""COMPUTED_VALUE"""),"Seqalis")</f>
        <v>Seqalis</v>
      </c>
      <c r="C200" s="6" t="str">
        <f>IFERROR(__xludf.DUMMYFUNCTION("""COMPUTED_VALUE"""),"Seqalis offers the following analytical services: T Cell Repertoire 
Sequencing (qTCR-seq) for quantitative monitoring of T cell receptors in 
immuno-oncology and vaccinology, Cytogenomics for quality control in cell 
and gene therapy, And NGS sequencing "&amp;"(WGS, Total RNA-seq, etc.) of 
micro-organisms, among others. Backed by its 20 years' experience and the...")</f>
        <v>Seqalis offers the following analytical services: T Cell Repertoire 
Sequencing (qTCR-seq) for quantitative monitoring of T cell receptors in 
immuno-oncology and vaccinology, Cytogenomics for quality control in cell 
and gene therapy, And NGS sequencing (WGS, Total RNA-seq, etc.) of 
micro-organisms, among others. Backed by its 20 years' experience and the...</v>
      </c>
      <c r="D200" s="6"/>
      <c r="E200" s="6"/>
    </row>
    <row r="201">
      <c r="A201" s="6"/>
      <c r="B201" s="6" t="str">
        <f>IFERROR(__xludf.DUMMYFUNCTION("""COMPUTED_VALUE"""),"Shengsheng supply chain management SA (SS-SCM)")</f>
        <v>Shengsheng supply chain management SA (SS-SCM)</v>
      </c>
      <c r="C201" s="6" t="str">
        <f>IFERROR(__xludf.DUMMYFUNCTION("""COMPUTED_VALUE"""),"ShengSheng (SS) is a premier logistics company specializes in servicing the 
life science, biotechnology, and drug research industries. We offer 
professional, integrated solutions to transport temperature-sensitive 
biological and pharmaceutical goods, u"&amp;"sing our own manufactured cold chain 
packaging products, which are certified and validated internationally. We 
have been serving thousands of clients,...")</f>
        <v>ShengSheng (SS) is a premier logistics company specializes in servicing the 
life science, biotechnology, and drug research industries. We offer 
professional, integrated solutions to transport temperature-sensitive 
biological and pharmaceutical goods, using our own manufactured cold chain 
packaging products, which are certified and validated internationally. We 
have been serving thousands of clients,...</v>
      </c>
      <c r="D201" s="6"/>
      <c r="E201" s="6"/>
    </row>
    <row r="202">
      <c r="A202" s="6"/>
      <c r="B202" s="6" t="str">
        <f>IFERROR(__xludf.DUMMYFUNCTION("""COMPUTED_VALUE"""),"SIBO Consult SPRL")</f>
        <v>SIBO Consult SPRL</v>
      </c>
      <c r="C202" s="6" t="str">
        <f>IFERROR(__xludf.DUMMYFUNCTION("""COMPUTED_VALUE"""),"Clinical start-up activities, clinical monitoring, project management as 
well as trial end activities (phase I-IV) for Biotech, Pharma &amp; Medical 
Devices companies. Support for Market Access as well as reimbursement 
activities including translations. We"&amp;"bsite")</f>
        <v>Clinical start-up activities, clinical monitoring, project management as 
well as trial end activities (phase I-IV) for Biotech, Pharma &amp; Medical 
Devices companies. Support for Market Access as well as reimbursement 
activities including translations. Website</v>
      </c>
      <c r="D202" s="6"/>
      <c r="E202" s="6"/>
    </row>
    <row r="203">
      <c r="A203" s="6"/>
      <c r="B203" s="6" t="str">
        <f>IFERROR(__xludf.DUMMYFUNCTION("""COMPUTED_VALUE"""),"Sillar Clinical")</f>
        <v>Sillar Clinical</v>
      </c>
      <c r="C203" s="6" t="str">
        <f>IFERROR(__xludf.DUMMYFUNCTION("""COMPUTED_VALUE"""),"SILLAR CLINICAL is a CTMO, a Clinical Trial Management Organization, 
providing solutions for our customers ranging from the design, over the 
set-up, to the full management of clinical trials. We primarily aim at 
phase I, II and IV clinical trials. Our "&amp;"customers are biotech, 
pharmaceutical companies and academic researchers. Our...")</f>
        <v>SILLAR CLINICAL is a CTMO, a Clinical Trial Management Organization, 
providing solutions for our customers ranging from the design, over the 
set-up, to the full management of clinical trials. We primarily aim at 
phase I, II and IV clinical trials. Our customers are biotech, 
pharmaceutical companies and academic researchers. Our...</v>
      </c>
      <c r="D203" s="6"/>
      <c r="E203" s="6"/>
    </row>
    <row r="204">
      <c r="A204" s="6"/>
      <c r="B204" s="6" t="str">
        <f>IFERROR(__xludf.DUMMYFUNCTION("""COMPUTED_VALUE"""),"SIRRIS")</f>
        <v>SIRRIS</v>
      </c>
      <c r="C204" s="6" t="str">
        <f>IFERROR(__xludf.DUMMYFUNCTION("""COMPUTED_VALUE"""),"Sirris is the collective centre of the Belgian technological industry 
helping companies in the implementation of technological innovations, 
enabling them to strengthen their competitive position over the longterm. 
Website")</f>
        <v>Sirris is the collective centre of the Belgian technological industry 
helping companies in the implementation of technological innovations, 
enabling them to strengthen their competitive position over the longterm. 
Website</v>
      </c>
      <c r="D204" s="6"/>
      <c r="E204" s="6"/>
    </row>
    <row r="205">
      <c r="A205" s="6" t="str">
        <f>IFERROR(__xludf.DUMMYFUNCTION("""COMPUTED_VALUE"""),"Skeletal Cell Therapy Support SA")</f>
        <v>Skeletal Cell Therapy Support SA</v>
      </c>
      <c r="B205" s="6"/>
      <c r="C205" s="6"/>
      <c r="D205" s="6"/>
      <c r="E205" s="6"/>
    </row>
    <row r="206">
      <c r="A206" s="6"/>
      <c r="B206" s="6" t="str">
        <f>IFERROR(__xludf.DUMMYFUNCTION("""COMPUTED_VALUE"""),"SRIW Life Sciences")</f>
        <v>SRIW Life Sciences</v>
      </c>
      <c r="C206" s="6" t="str">
        <f>IFERROR(__xludf.DUMMYFUNCTION("""COMPUTED_VALUE"""),"S.R.I.W. (Société Régionale d’Investissement de Wallonie) contributes to 
the development of the economy and the value creation of companies located 
in Wallonia. It finances them through equity investments or loans. S.R.I.W. 
Life Sciences is a dedicated"&amp;" platform whose main mission is to contribute 
to the financing of companies active in the field of...")</f>
        <v>S.R.I.W. (Société Régionale d’Investissement de Wallonie) contributes to 
the development of the economy and the value creation of companies located 
in Wallonia. It finances them through equity investments or loans. S.R.I.W. 
Life Sciences is a dedicated platform whose main mission is to contribute 
to the financing of companies active in the field of...</v>
      </c>
      <c r="D206" s="6"/>
      <c r="E206" s="6"/>
    </row>
    <row r="207">
      <c r="A207" s="6"/>
      <c r="B207" s="6" t="str">
        <f>IFERROR(__xludf.DUMMYFUNCTION("""COMPUTED_VALUE"""),"Solidfog Technologies SRL")</f>
        <v>Solidfog Technologies SRL</v>
      </c>
      <c r="C207" s="6"/>
      <c r="D207" s="6" t="str">
        <f>IFERROR(__xludf.DUMMYFUNCTION("""COMPUTED_VALUE"""),"Solidfog Technologies is a human-sized technological company solely 
dedicated since 2006 to the development and innovation of H2O2 
decontamination solutions for pharmaceutical and biotech applications. 
Experts in disinfection solutions Solidfog Technol"&amp;"ogies is a global player 
in the airborne surface disinfection systems for pharmaceutical and biotech 
applications such as clean rooms, isolators,…")</f>
        <v>Solidfog Technologies is a human-sized technological company solely 
dedicated since 2006 to the development and innovation of H2O2 
decontamination solutions for pharmaceutical and biotech applications. 
Experts in disinfection solutions Solidfog Technologies is a global player 
in the airborne surface disinfection systems for pharmaceutical and biotech 
applications such as clean rooms, isolators,…</v>
      </c>
      <c r="E207" s="6"/>
    </row>
    <row r="208">
      <c r="A208" s="6"/>
      <c r="B208" s="6" t="str">
        <f>IFERROR(__xludf.DUMMYFUNCTION("""COMPUTED_VALUE"""),"Sopartec SA")</f>
        <v>Sopartec SA</v>
      </c>
      <c r="C208" s="6" t="str">
        <f>IFERROR(__xludf.DUMMYFUNCTION("""COMPUTED_VALUE"""),"Sopartec is the Technology Transfer and investment company of 
the Université catholique de Louvain (UCLouvain). Sopartec's mission, 
within the Louvain Technology Transfer Office (LTTO), is to transfer the 
results of research carried out by UCLouvain, t"&amp;"he Cliniques universitaires 
St-Luc (CUSL), the CHU UCL Namur and the Institute de Duve (ICP) to the 
public/market by creating spin-offs and negotiating licence agreements. 
Sopartec is also the...")</f>
        <v>Sopartec is the Technology Transfer and investment company of 
the Université catholique de Louvain (UCLouvain). Sopartec's mission, 
within the Louvain Technology Transfer Office (LTTO), is to transfer the 
results of research carried out by UCLouvain, the Cliniques universitaires 
St-Luc (CUSL), the CHU UCL Namur and the Institute de Duve (ICP) to the 
public/market by creating spin-offs and negotiating licence agreements. 
Sopartec is also the...</v>
      </c>
      <c r="D208" s="6"/>
      <c r="E208" s="6"/>
    </row>
    <row r="209">
      <c r="A209" s="6"/>
      <c r="B209" s="6" t="str">
        <f>IFERROR(__xludf.DUMMYFUNCTION("""COMPUTED_VALUE"""),"Spectralys Biotech")</f>
        <v>Spectralys Biotech</v>
      </c>
      <c r="C209" s="6" t="str">
        <f>IFERROR(__xludf.DUMMYFUNCTION("""COMPUTED_VALUE"""),"Spectralys Biotech offers analytical services for biomolecules using FTIR 
spectroscopy. Our cutting-edge services are based on our strong academic 
background (spin-off from Université libre de Bruxelles), our team of 
highly skilled scientist, our state"&amp;"-of-the-art equipment and our 
proprietary dedicated software. FTIR spectra provide robust fingerprint of 
biological samples and account...")</f>
        <v>Spectralys Biotech offers analytical services for biomolecules using FTIR 
spectroscopy. Our cutting-edge services are based on our strong academic 
background (spin-off from Université libre de Bruxelles), our team of 
highly skilled scientist, our state-of-the-art equipment and our 
proprietary dedicated software. FTIR spectra provide robust fingerprint of 
biological samples and account...</v>
      </c>
      <c r="D209" s="6"/>
      <c r="E209" s="6"/>
    </row>
    <row r="210">
      <c r="A210" s="6" t="str">
        <f>IFERROR(__xludf.DUMMYFUNCTION("""COMPUTED_VALUE"""),"SPW – EER")</f>
        <v>SPW – EER</v>
      </c>
      <c r="B210" s="6"/>
      <c r="C210" s="6"/>
      <c r="D210" s="6"/>
      <c r="E210" s="6"/>
    </row>
    <row r="211">
      <c r="A211" s="6"/>
      <c r="B211" s="6" t="str">
        <f>IFERROR(__xludf.DUMMYFUNCTION("""COMPUTED_VALUE"""),"Strand Associates Consulting")</f>
        <v>Strand Associates Consulting</v>
      </c>
      <c r="C211" s="6" t="str">
        <f>IFERROR(__xludf.DUMMYFUNCTION("""COMPUTED_VALUE"""),"Strand Associates Consulting is a consultancy specialized in the life 
sciences sector. We provide expertize in Quality, Regulatory Affairs, R&amp;D, 
and Clinical Studies. We provide consultancy services (project staffing), 
project and service outsourcing, "&amp;"and recruitment. Website 
http://www.strandassociates.be LinkedIn Contact Matthieu Saintmard, 
Operational Excellence Director m.saintmard@strandassociates.be - 0476 37 
81 02")</f>
        <v>Strand Associates Consulting is a consultancy specialized in the life 
sciences sector. We provide expertize in Quality, Regulatory Affairs, R&amp;D, 
and Clinical Studies. We provide consultancy services (project staffing), 
project and service outsourcing, and recruitment. Website 
http://www.strandassociates.be LinkedIn Contact Matthieu Saintmard, 
Operational Excellence Director m.saintmard@strandassociates.be - 0476 37 
81 02</v>
      </c>
      <c r="D211" s="6"/>
      <c r="E211" s="6"/>
    </row>
    <row r="212">
      <c r="A212" s="6"/>
      <c r="B212" s="6" t="str">
        <f>IFERROR(__xludf.DUMMYFUNCTION("""COMPUTED_VALUE"""),"Sunrise")</f>
        <v>Sunrise</v>
      </c>
      <c r="C212" s="6" t="str">
        <f>IFERROR(__xludf.DUMMYFUNCTION("""COMPUTED_VALUE"""),"Sunrise develops innovative solutions for the diagnosis and the treatment 
of sleep and respiratory system disorders. Website")</f>
        <v>Sunrise develops innovative solutions for the diagnosis and the treatment 
of sleep and respiratory system disorders. Website</v>
      </c>
      <c r="D212" s="6"/>
      <c r="E212" s="6"/>
    </row>
    <row r="213">
      <c r="A213" s="6" t="str">
        <f>IFERROR(__xludf.DUMMYFUNCTION("""COMPUTED_VALUE"""),"SynAbs")</f>
        <v>SynAbs</v>
      </c>
      <c r="B213" s="6" t="str">
        <f>IFERROR(__xludf.DUMMYFUNCTION("""COMPUTED_VALUE"""),"SYnAbs' mission is to generate innovative monoclonal antibodies against 
poor immunogenic compounds and complex antigens. Either as a custom 
service, or as a catalog product, IVD and Biotech players benefit from 
SYnAbs technologies to get access to sing"&amp;"ular binder (small molecules) and 
effector antibodies (transmembrane protein, GPCR, ion channels...) SYnAbs...")</f>
        <v>SYnAbs' mission is to generate innovative monoclonal antibodies against 
poor immunogenic compounds and complex antigens. Either as a custom 
service, or as a catalog product, IVD and Biotech players benefit from 
SYnAbs technologies to get access to singular binder (small molecules) and 
effector antibodies (transmembrane protein, GPCR, ion channels...) SYnAbs...</v>
      </c>
      <c r="C213" s="6"/>
      <c r="D213" s="6"/>
      <c r="E213" s="6"/>
    </row>
    <row r="214">
      <c r="A214" s="6" t="str">
        <f>IFERROR(__xludf.DUMMYFUNCTION("""COMPUTED_VALUE"""),"Syndesi Therapeutics")</f>
        <v>Syndesi Therapeutics</v>
      </c>
      <c r="B214" s="6" t="str">
        <f>IFERROR(__xludf.DUMMYFUNCTION("""COMPUTED_VALUE"""),"Syndesi's goal is to demonstrate the potential of novel modulators of SV2A 
to reduce the symptoms of cognitive impairment in patients with Alzheimer's 
Disease and related conditions. Website")</f>
        <v>Syndesi's goal is to demonstrate the potential of novel modulators of SV2A 
to reduce the symptoms of cognitive impairment in patients with Alzheimer's 
Disease and related conditions. Website</v>
      </c>
      <c r="C214" s="6"/>
      <c r="D214" s="6"/>
      <c r="E214" s="6"/>
    </row>
    <row r="215">
      <c r="A215" s="6"/>
      <c r="B215" s="6" t="str">
        <f>IFERROR(__xludf.DUMMYFUNCTION("""COMPUTED_VALUE"""),"Synergia Medical")</f>
        <v>Synergia Medical</v>
      </c>
      <c r="C215" s="6" t="str">
        <f>IFERROR(__xludf.DUMMYFUNCTION("""COMPUTED_VALUE"""),"Pioneering Optoelectronics in healthcare. Website")</f>
        <v>Pioneering Optoelectronics in healthcare. Website</v>
      </c>
      <c r="D215" s="6"/>
      <c r="E215" s="6"/>
    </row>
    <row r="216">
      <c r="A216" s="6"/>
      <c r="B216" s="6" t="str">
        <f>IFERROR(__xludf.DUMMYFUNCTION("""COMPUTED_VALUE"""),"TAIPRO ENGINEERING")</f>
        <v>TAIPRO ENGINEERING</v>
      </c>
      <c r="C216" s="6" t="str">
        <f>IFERROR(__xludf.DUMMYFUNCTION("""COMPUTED_VALUE"""),"ITaipro Engineering stands for "" Tailored microsystems improving your 
Product "". Since 2009, Taipro Engineering performs high added value 
electronic and microelectronic projects. Our mission is to help you in your 
projects from your idea to productio"&amp;"n. Website")</f>
        <v>ITaipro Engineering stands for " Tailored microsystems improving your 
Product ". Since 2009, Taipro Engineering performs high added value 
electronic and microelectronic projects. Our mission is to help you in your 
projects from your idea to production. Website</v>
      </c>
      <c r="D216" s="6"/>
      <c r="E216" s="6"/>
    </row>
    <row r="217">
      <c r="A217" s="6"/>
      <c r="B217" s="6" t="str">
        <f>IFERROR(__xludf.DUMMYFUNCTION("""COMPUTED_VALUE"""),"Takeda")</f>
        <v>Takeda</v>
      </c>
      <c r="C217" s="6" t="str">
        <f>IFERROR(__xludf.DUMMYFUNCTION("""COMPUTED_VALUE"""),"Takeda Pharmaceutical Company Limited is a global, values-based, R&amp;D-driven 
biopharmaceutical leader headquartered in Japan, committed to bringing 
Better Health and a Brighter Future to patients by translating science into 
highly-innovative medicines. "&amp;"Takeda focuses its R&amp;D efforts on four 
therapeutic areas: Oncology, Rare Diseases, Neuroscience, and 
Gastroenterology. We also make targeted...")</f>
        <v>Takeda Pharmaceutical Company Limited is a global, values-based, R&amp;D-driven 
biopharmaceutical leader headquartered in Japan, committed to bringing 
Better Health and a Brighter Future to patients by translating science into 
highly-innovative medicines. Takeda focuses its R&amp;D efforts on four 
therapeutic areas: Oncology, Rare Diseases, Neuroscience, and 
Gastroenterology. We also make targeted...</v>
      </c>
      <c r="D217" s="6"/>
      <c r="E217" s="6"/>
    </row>
    <row r="218">
      <c r="A218" s="6"/>
      <c r="B218" s="6" t="str">
        <f>IFERROR(__xludf.DUMMYFUNCTION("""COMPUTED_VALUE"""),"Telemedicine Technologies Belgium")</f>
        <v>Telemedicine Technologies Belgium</v>
      </c>
      <c r="C218" s="6" t="str">
        <f>IFERROR(__xludf.DUMMYFUNCTION("""COMPUTED_VALUE"""),"Telemedicine Technologies Belgium offers Clinical Data Management services 
guaranteeing the highest quality of clinical trials data and outputs 
resulting from seamless Clinical Data Management services that are 
streamlined from protocol to clinical stu"&amp;"dy report. Telemedicine 
Technologies has been processing electronic data for the clinical research 
industry for over 2 decades,...")</f>
        <v>Telemedicine Technologies Belgium offers Clinical Data Management services 
guaranteeing the highest quality of clinical trials data and outputs 
resulting from seamless Clinical Data Management services that are 
streamlined from protocol to clinical study report. Telemedicine 
Technologies has been processing electronic data for the clinical research 
industry for over 2 decades,...</v>
      </c>
      <c r="D218" s="6"/>
      <c r="E218" s="6"/>
    </row>
    <row r="219">
      <c r="A219" s="6"/>
      <c r="B219" s="6" t="str">
        <f>IFERROR(__xludf.DUMMYFUNCTION("""COMPUTED_VALUE"""),"Telix")</f>
        <v>Telix</v>
      </c>
      <c r="C219" s="6" t="str">
        <f>IFERROR(__xludf.DUMMYFUNCTION("""COMPUTED_VALUE"""),"Our purpose is to help people with cancer and rare diseases live longer, 
better quality lives. Telix is a biopharmaceutical company focused on the 
development and commercialisation of diagnostic and 
therapeutic (‘theranostic’) products using molecularl"&amp;"y targeted 
radiation (MTR). Telix’s research pipeline aims to address significant 
unmet medical need in prostate, kidney, brain (glioblastoma), and 
hematologic cancers as...")</f>
        <v>Our purpose is to help people with cancer and rare diseases live longer, 
better quality lives. Telix is a biopharmaceutical company focused on the 
development and commercialisation of diagnostic and 
therapeutic (‘theranostic’) products using molecularly targeted 
radiation (MTR). Telix’s research pipeline aims to address significant 
unmet medical need in prostate, kidney, brain (glioblastoma), and 
hematologic cancers as...</v>
      </c>
      <c r="D219" s="6"/>
      <c r="E219" s="6"/>
    </row>
    <row r="220">
      <c r="A220" s="6"/>
      <c r="B220" s="6" t="str">
        <f>IFERROR(__xludf.DUMMYFUNCTION("""COMPUTED_VALUE"""),"THERAtRAME")</f>
        <v>THERAtRAME</v>
      </c>
      <c r="C220" s="6" t="str">
        <f>IFERROR(__xludf.DUMMYFUNCTION("""COMPUTED_VALUE"""),"THERAtRAME discovers and develops first-in-class small molecules targeting 
the tRNA epitranscriptomics for the benefit of cancer patients. THERAtRAME 
discovers and develops new small molecule inhibitors targeting the tRNA 
epitranscriptomics to cure pat"&amp;"ients with untreatable cancer. The THERAtRAME 
discovery platform integrates unique sets of technologies to discover, 
develop and position new...")</f>
        <v>THERAtRAME discovers and develops first-in-class small molecules targeting 
the tRNA epitranscriptomics for the benefit of cancer patients. THERAtRAME 
discovers and develops new small molecule inhibitors targeting the tRNA 
epitranscriptomics to cure patients with untreatable cancer. The THERAtRAME 
discovery platform integrates unique sets of technologies to discover, 
develop and position new...</v>
      </c>
      <c r="D220" s="6"/>
      <c r="E220" s="6"/>
    </row>
    <row r="221">
      <c r="A221" s="6"/>
      <c r="B221" s="6" t="str">
        <f>IFERROR(__xludf.DUMMYFUNCTION("""COMPUTED_VALUE"""),"Thermo Fisher Scientific")</f>
        <v>Thermo Fisher Scientific</v>
      </c>
      <c r="C221" s="6" t="str">
        <f>IFERROR(__xludf.DUMMYFUNCTION("""COMPUTED_VALUE"""),"The world leader in serving science To serve science, Thermo Fisher 
Scientific needs to stay ahead of it, we need to anticipate customer needs. 
We need to constantly think about advancing science, so customers have the 
freedom to be bolder and more inn"&amp;"ovative – we are committed to pushing 
science...")</f>
        <v>The world leader in serving science To serve science, Thermo Fisher 
Scientific needs to stay ahead of it, we need to anticipate customer needs. 
We need to constantly think about advancing science, so customers have the 
freedom to be bolder and more innovative – we are committed to pushing 
science...</v>
      </c>
      <c r="D221" s="6"/>
      <c r="E221" s="6"/>
    </row>
    <row r="222">
      <c r="A222" s="6"/>
      <c r="B222" s="6" t="str">
        <f>IFERROR(__xludf.DUMMYFUNCTION("""COMPUTED_VALUE"""),"Tiamat Sciences SRL")</f>
        <v>Tiamat Sciences SRL</v>
      </c>
      <c r="C222" s="6"/>
      <c r="D222" s="6" t="str">
        <f>IFERROR(__xludf.DUMMYFUNCTION("""COMPUTED_VALUE"""),"Tiamat Sciences is a startup providing high-value biomolecules to companies 
working in the novel food and pharmaceutical sectors. Thanks to an 
innovative protein production platform, Tiamat offers the fastest solution 
on the market for scalable and cos"&amp;"t-effective production of animal-free 
biomolecules. Contact France-Emmanuelle Adil, CEO Naàlia Marinho, Site 
Leader BE…")</f>
        <v>Tiamat Sciences is a startup providing high-value biomolecules to companies 
working in the novel food and pharmaceutical sectors. Thanks to an 
innovative protein production platform, Tiamat offers the fastest solution 
on the market for scalable and cost-effective production of animal-free 
biomolecules. Contact France-Emmanuelle Adil, CEO Naàlia Marinho, Site 
Leader BE…</v>
      </c>
      <c r="E222" s="6"/>
    </row>
    <row r="223">
      <c r="A223" s="6"/>
      <c r="B223" s="6" t="str">
        <f>IFERROR(__xludf.DUMMYFUNCTION("""COMPUTED_VALUE"""),"TILMAN Sa")</f>
        <v>TILMAN Sa</v>
      </c>
      <c r="C223" s="6" t="str">
        <f>IFERROR(__xludf.DUMMYFUNCTION("""COMPUTED_VALUE"""),"Pharmaceutical products based on medicinal plants.")</f>
        <v>Pharmaceutical products based on medicinal plants.</v>
      </c>
      <c r="D223" s="6"/>
      <c r="E223" s="6"/>
    </row>
    <row r="224">
      <c r="A224" s="6"/>
      <c r="B224" s="6" t="str">
        <f>IFERROR(__xludf.DUMMYFUNCTION("""COMPUTED_VALUE"""),"Trasis SA")</f>
        <v>Trasis SA</v>
      </c>
      <c r="C224" s="6" t="str">
        <f>IFERROR(__xludf.DUMMYFUNCTION("""COMPUTED_VALUE"""),"Your partner in radiopharmacy. Since 2004, Trasis designs, manufactures,  
sells and supports high performance synthesizers, dose preparation and 
dispensing equipment, all related consumables and shielding solutions")</f>
        <v>Your partner in radiopharmacy. Since 2004, Trasis designs, manufactures,  
sells and supports high performance synthesizers, dose preparation and 
dispensing equipment, all related consumables and shielding solutions</v>
      </c>
      <c r="D224" s="6"/>
      <c r="E224" s="6"/>
    </row>
    <row r="225">
      <c r="A225" s="6" t="str">
        <f>IFERROR(__xludf.DUMMYFUNCTION("""COMPUTED_VALUE"""),"UCB BIOPHARMA SPRL")</f>
        <v>UCB BIOPHARMA SPRL</v>
      </c>
      <c r="B225" s="6" t="str">
        <f>IFERROR(__xludf.DUMMYFUNCTION("""COMPUTED_VALUE"""),"UCB is a global biopharmaceutical company focused on the discovery and 
development of innovative medicines and solutions to transform the lives of 
people living with severe diseases of the immune system or of the central 
nervous system.")</f>
        <v>UCB is a global biopharmaceutical company focused on the discovery and 
development of innovative medicines and solutions to transform the lives of 
people living with severe diseases of the immune system or of the central 
nervous system.</v>
      </c>
      <c r="C225" s="6"/>
      <c r="D225" s="6"/>
      <c r="E225" s="6"/>
    </row>
    <row r="226">
      <c r="A226" s="6"/>
      <c r="B226" s="6" t="str">
        <f>IFERROR(__xludf.DUMMYFUNCTION("""COMPUTED_VALUE"""),"Univercells")</f>
        <v>Univercells</v>
      </c>
      <c r="C226" s="6" t="str">
        <f>IFERROR(__xludf.DUMMYFUNCTION("""COMPUTED_VALUE"""),"Univercells is a global life sciences company that makes biologics 
available to all. We develop breakthrough technologies and services that 
democratize the production of biologics. So that everyone, everywhere has 
access to the medicines they need, whe"&amp;"n they need them.")</f>
        <v>Univercells is a global life sciences company that makes biologics 
available to all. We develop breakthrough technologies and services that 
democratize the production of biologics. So that everyone, everywhere has 
access to the medicines they need, when they need them.</v>
      </c>
      <c r="D226" s="6"/>
      <c r="E226" s="6"/>
    </row>
    <row r="227">
      <c r="A227" s="6" t="str">
        <f>IFERROR(__xludf.DUMMYFUNCTION("""COMPUTED_VALUE"""),"Université Catholique de Louvain (UCL)")</f>
        <v>Université Catholique de Louvain (UCL)</v>
      </c>
      <c r="B227" s="6"/>
      <c r="C227" s="6"/>
      <c r="D227" s="6"/>
      <c r="E227" s="6"/>
    </row>
    <row r="228">
      <c r="A228" s="6" t="str">
        <f>IFERROR(__xludf.DUMMYFUNCTION("""COMPUTED_VALUE"""),"ULiège")</f>
        <v>ULiège</v>
      </c>
      <c r="B228" s="6"/>
      <c r="C228" s="6"/>
      <c r="D228" s="6"/>
      <c r="E228" s="6"/>
    </row>
    <row r="229">
      <c r="A229" s="6" t="str">
        <f>IFERROR(__xludf.DUMMYFUNCTION("""COMPUTED_VALUE"""),"Université de Mons (UMONS)")</f>
        <v>Université de Mons (UMONS)</v>
      </c>
      <c r="B229" s="6"/>
      <c r="C229" s="6"/>
      <c r="D229" s="6"/>
      <c r="E229" s="6"/>
    </row>
    <row r="230">
      <c r="A230" s="6" t="str">
        <f>IFERROR(__xludf.DUMMYFUNCTION("""COMPUTED_VALUE"""),"Université de Namur (UNamur)")</f>
        <v>Université de Namur (UNamur)</v>
      </c>
      <c r="B230" s="6"/>
      <c r="C230" s="6"/>
      <c r="D230" s="6"/>
      <c r="E230" s="6"/>
    </row>
    <row r="231">
      <c r="A231" s="6" t="str">
        <f>IFERROR(__xludf.DUMMYFUNCTION("""COMPUTED_VALUE"""),"Université Libre de Bruxelles (ULB)")</f>
        <v>Université Libre de Bruxelles (ULB)</v>
      </c>
      <c r="B231" s="6"/>
      <c r="C231" s="6"/>
      <c r="D231" s="6"/>
      <c r="E231" s="6"/>
    </row>
    <row r="232">
      <c r="A232" s="6" t="str">
        <f>IFERROR(__xludf.DUMMYFUNCTION("""COMPUTED_VALUE"""),"Vesale Pharma SA")</f>
        <v>Vesale Pharma SA</v>
      </c>
      <c r="B232" s="6" t="str">
        <f>IFERROR(__xludf.DUMMYFUNCTION("""COMPUTED_VALUE"""),"Accompagner les femmes et les hommes tout-au-long de leur vie, préserver 
leur santé et leur bien-être en offrant des solutions innovantes")</f>
        <v>Accompagner les femmes et les hommes tout-au-long de leur vie, préserver 
leur santé et leur bien-être en offrant des solutions innovantes</v>
      </c>
      <c r="C232" s="6"/>
      <c r="D232" s="6"/>
      <c r="E232" s="6"/>
    </row>
    <row r="233">
      <c r="A233" s="6" t="str">
        <f>IFERROR(__xludf.DUMMYFUNCTION("""COMPUTED_VALUE"""),"VILS cvba")</f>
        <v>VILS cvba</v>
      </c>
      <c r="B233" s="6" t="str">
        <f>IFERROR(__xludf.DUMMYFUNCTION("""COMPUTED_VALUE"""),"Spécialisée en développement de projets de la Science du Vivant, VILS 
accompagne les Biotech dans leur parcours pour établir leur projet 
commercial ou clinique. Nous concrétisons leur procédé de fabrication en 
projet réel par le développement de leur A"&amp;"rchitecture de procédé. Depuis 
l'établissement du procédé jusqu'à la conception de toutes...")</f>
        <v>Spécialisée en développement de projets de la Science du Vivant, VILS 
accompagne les Biotech dans leur parcours pour établir leur projet 
commercial ou clinique. Nous concrétisons leur procédé de fabrication en 
projet réel par le développement de leur Architecture de procédé. Depuis 
l'établissement du procédé jusqu'à la conception de toutes...</v>
      </c>
      <c r="C233" s="6"/>
      <c r="D233" s="6"/>
      <c r="E233" s="6"/>
    </row>
    <row r="234">
      <c r="A234" s="6"/>
      <c r="B234" s="6" t="str">
        <f>IFERROR(__xludf.DUMMYFUNCTION("""COMPUTED_VALUE"""),"Vivactis HM3A")</f>
        <v>Vivactis HM3A</v>
      </c>
      <c r="C234" s="6" t="str">
        <f>IFERROR(__xludf.DUMMYFUNCTION("""COMPUTED_VALUE"""),"Vivactis HM3A is a consultancy agency specialized in market access and 
health economics for pharmaceuticals, biotechnological products, medical 
devices and digital health, diagnostics, vaccines, and nutrinomics. The 
Vivactis group offers an internation"&amp;"al coverage. Our Market Access Services 
can support your EU and international market launches. We have access to 
highly...")</f>
        <v>Vivactis HM3A is a consultancy agency specialized in market access and 
health economics for pharmaceuticals, biotechnological products, medical 
devices and digital health, diagnostics, vaccines, and nutrinomics. The 
Vivactis group offers an international coverage. Our Market Access Services 
can support your EU and international market launches. We have access to 
highly...</v>
      </c>
      <c r="D234" s="6"/>
      <c r="E234" s="6"/>
    </row>
    <row r="235">
      <c r="A235" s="6" t="str">
        <f>IFERROR(__xludf.DUMMYFUNCTION("""COMPUTED_VALUE"""),"Wallonia Biotech Coaching")</f>
        <v>Wallonia Biotech Coaching</v>
      </c>
      <c r="B235" s="6"/>
      <c r="C235" s="6"/>
      <c r="D235" s="6"/>
      <c r="E235" s="6"/>
    </row>
    <row r="236">
      <c r="A236" s="6"/>
      <c r="B236" s="6" t="str">
        <f>IFERROR(__xludf.DUMMYFUNCTION("""COMPUTED_VALUE"""),"WEL Research Institute")</f>
        <v>WEL Research Institute</v>
      </c>
      <c r="C236" s="6" t="str">
        <f>IFERROR(__xludf.DUMMYFUNCTION("""COMPUTED_VALUE"""),"The WEL Research Institute (formerly called WELBIO) is an inter-university 
research institute subsidized by the Walloon region. We support fundamental 
research of excellence within our departments and the translation of 
disruptive innovation into socie"&amp;"tal and economic impact in health and 
sustainable transition. Want to know more? https://welri.org")</f>
        <v>The WEL Research Institute (formerly called WELBIO) is an inter-university 
research institute subsidized by the Walloon region. We support fundamental 
research of excellence within our departments and the translation of 
disruptive innovation into societal and economic impact in health and 
sustainable transition. Want to know more? https://welri.org</v>
      </c>
      <c r="D236" s="6"/>
      <c r="E236" s="6"/>
    </row>
    <row r="237">
      <c r="A237" s="6"/>
      <c r="B237" s="6" t="str">
        <f>IFERROR(__xludf.DUMMYFUNCTION("""COMPUTED_VALUE"""),"White Raven")</f>
        <v>White Raven</v>
      </c>
      <c r="C237" s="6" t="str">
        <f>IFERROR(__xludf.DUMMYFUNCTION("""COMPUTED_VALUE"""),"White Raven is a flexible CDMO partner, situated at the heart of European 
biotech in Belgium. We specialize in GMP Formulation and Aseptic Filling 
for injectable small batches. Our expertise empowers biotech firms to 
prioritize their products and clini"&amp;"cal trials, as we manage their process 
industrialization. With a fully digitalized,...")</f>
        <v>White Raven is a flexible CDMO partner, situated at the heart of European 
biotech in Belgium. We specialize in GMP Formulation and Aseptic Filling 
for injectable small batches. Our expertise empowers biotech firms to 
prioritize their products and clinical trials, as we manage their process 
industrialization. With a fully digitalized,...</v>
      </c>
      <c r="D237" s="6"/>
      <c r="E237" s="6"/>
    </row>
    <row r="238">
      <c r="A238" s="6" t="str">
        <f>IFERROR(__xludf.DUMMYFUNCTION("""COMPUTED_VALUE"""),"Xpress Biologics")</f>
        <v>Xpress Biologics</v>
      </c>
      <c r="B238" s="6" t="str">
        <f>IFERROR(__xludf.DUMMYFUNCTION("""COMPUTED_VALUE"""),"Contract services for the production of recombinant proteins, antibody 
fragments and plasmid DNA for preclinical applications.")</f>
        <v>Contract services for the production of recombinant proteins, antibody 
fragments and plasmid DNA for preclinical applications.</v>
      </c>
      <c r="C238" s="6"/>
      <c r="D238" s="6"/>
      <c r="E238" s="6"/>
    </row>
    <row r="239">
      <c r="A239" s="6"/>
      <c r="B239" s="6" t="str">
        <f>IFERROR(__xludf.DUMMYFUNCTION("""COMPUTED_VALUE"""),"Yellow5")</f>
        <v>Yellow5</v>
      </c>
      <c r="C239" s="6" t="str">
        <f>IFERROR(__xludf.DUMMYFUNCTION("""COMPUTED_VALUE"""),"Yellow5 is a consulting and recruitment company dedicated to the Life 
Sciences sector. Founded by two industrial pharmacists, we put our 
expertise at the service of our partners. Our understanding of the industry 
and its various regulations makes Yello"&amp;"w5 a privileged partner for all your 
consultancy needs, as well as...")</f>
        <v>Yellow5 is a consulting and recruitment company dedicated to the Life 
Sciences sector. Founded by two industrial pharmacists, we put our 
expertise at the service of our partners. Our understanding of the industry 
and its various regulations makes Yellow5 a privileged partner for all your 
consultancy needs, as well as...</v>
      </c>
      <c r="D239" s="6"/>
      <c r="E239" s="6"/>
    </row>
    <row r="240">
      <c r="A240" s="6"/>
      <c r="B240" s="6" t="str">
        <f>IFERROR(__xludf.DUMMYFUNCTION("""COMPUTED_VALUE"""),"Zentech")</f>
        <v>Zentech</v>
      </c>
      <c r="C240" s="6" t="str">
        <f>IFERROR(__xludf.DUMMYFUNCTION("""COMPUTED_VALUE"""),"ZenTech headquarters are located in LIEGE Science Park, Belgium. We are a 
biotechnology company highly specialized in the diagnostic of pathologies 
occurring in the early life stages, from birth to adolescence (newborn, 
toddler and child) and in the di"&amp;"agnostic of chronic diseases affecting both 
children and adults. We have considerable...")</f>
        <v>ZenTech headquarters are located in LIEGE Science Park, Belgium. We are a 
biotechnology company highly specialized in the diagnostic of pathologies 
occurring in the early life stages, from birth to adolescence (newborn, 
toddler and child) and in the diagnostic of chronic diseases affecting both 
children and adults. We have considerable...</v>
      </c>
      <c r="D240" s="6"/>
      <c r="E240" s="6"/>
    </row>
    <row r="241">
      <c r="A241" s="6"/>
      <c r="B241" s="6" t="str">
        <f>IFERROR(__xludf.DUMMYFUNCTION("""COMPUTED_VALUE"""),"Ziphius Vaccines NV")</f>
        <v>Ziphius Vaccines NV</v>
      </c>
      <c r="C241" s="6" t="str">
        <f>IFERROR(__xludf.DUMMYFUNCTION("""COMPUTED_VALUE"""),"Ziphius Vaccines is a global biopharmaceutical company dedicated to develop 
next-generation vaccines for the prevention of infectious diseases. We 
concentrate on a new class of vaccines, the messenger RNA or mRNA-based 
vaccines. More specifically, Ziph"&amp;"ius focusses on self-amplifying mRNA-based 
vaccine.  Since our founding in 2019, Ziphius has worked to develop...")</f>
        <v>Ziphius Vaccines is a global biopharmaceutical company dedicated to develop 
next-generation vaccines for the prevention of infectious diseases. We 
concentrate on a new class of vaccines, the messenger RNA or mRNA-based 
vaccines. More specifically, Ziphius focusses on self-amplifying mRNA-based 
vaccine.  Since our founding in 2019, Ziphius has worked to develop...</v>
      </c>
      <c r="D241" s="6"/>
      <c r="E241" s="6"/>
    </row>
    <row r="242">
      <c r="A242" s="6"/>
      <c r="B242" s="6" t="str">
        <f>IFERROR(__xludf.DUMMYFUNCTION("""COMPUTED_VALUE"""),"Zorgi")</f>
        <v>Zorgi</v>
      </c>
      <c r="C242" s="6" t="str">
        <f>IFERROR(__xludf.DUMMYFUNCTION("""COMPUTED_VALUE"""),"ZORGI is the result of the integration between Xperthis and Infohos 
Solutions, two Belgian specialists in IT solutions for the healthcare 
sector. ZORGI supports hospitals in their digital transformation by 
offering solutions for all milestones of the h"&amp;"ospital care chain: from 
patient admission to billing, care and support, pharmacy, logistics,...")</f>
        <v>ZORGI is the result of the integration between Xperthis and Infohos 
Solutions, two Belgian specialists in IT solutions for the healthcare 
sector. ZORGI supports hospitals in their digital transformation by 
offering solutions for all milestones of the hospital care chain: from 
patient admission to billing, care and support, pharmacy, logistics,...</v>
      </c>
      <c r="D242" s="6"/>
      <c r="E242" s="6"/>
    </row>
  </sheetData>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s>
  <sheetData>
    <row r="1">
      <c r="A1" s="9" t="s">
        <v>24</v>
      </c>
    </row>
    <row r="2">
      <c r="A2" s="2" t="s">
        <v>4</v>
      </c>
    </row>
    <row r="4">
      <c r="A4" s="10" t="str">
        <f>IFERROR(__xludf.DUMMYFUNCTION("IMPORTXML(A1,A2)"),"Our network partners")</f>
        <v>Our network partners</v>
      </c>
      <c r="B4" s="6"/>
    </row>
    <row r="5">
      <c r="A5" s="6" t="str">
        <f>IFERROR(__xludf.DUMMYFUNCTION("""COMPUTED_VALUE"""),"Abbott GmbH &amp; Co. KG")</f>
        <v>Abbott GmbH &amp; Co. KG</v>
      </c>
      <c r="B5" s="6"/>
    </row>
    <row r="6">
      <c r="A6" s="6" t="str">
        <f>IFERROR(__xludf.DUMMYFUNCTION("""COMPUTED_VALUE"""),"AbbVie Deutschland GmbH &amp; Co.KG")</f>
        <v>AbbVie Deutschland GmbH &amp; Co.KG</v>
      </c>
      <c r="B6" s="6"/>
    </row>
    <row r="7">
      <c r="A7" s="6" t="str">
        <f>IFERROR(__xludf.DUMMYFUNCTION("""COMPUTED_VALUE"""),"AESKU Diagnostics GmbH &amp; Co. KG ")</f>
        <v>AESKU Diagnostics GmbH &amp; Co. KG </v>
      </c>
      <c r="B7" s="6"/>
    </row>
    <row r="8">
      <c r="A8" s="6" t="str">
        <f>IFERROR(__xludf.DUMMYFUNCTION("""COMPUTED_VALUE"""),"Amp-Lab GmbH ")</f>
        <v>Amp-Lab GmbH </v>
      </c>
      <c r="B8" s="6"/>
    </row>
    <row r="9">
      <c r="A9" s="6" t="str">
        <f>IFERROR(__xludf.DUMMYFUNCTION("""COMPUTED_VALUE"""),"Baerkraft GmbH ")</f>
        <v>Baerkraft GmbH </v>
      </c>
      <c r="B9" s="6"/>
    </row>
    <row r="10">
      <c r="A10" s="6" t="str">
        <f>IFERROR(__xludf.DUMMYFUNCTION("""COMPUTED_VALUE"""),"BioKryo GmbH ")</f>
        <v>BioKryo GmbH </v>
      </c>
      <c r="B10" s="6"/>
    </row>
    <row r="11">
      <c r="A11" s="6" t="str">
        <f>IFERROR(__xludf.DUMMYFUNCTION("""COMPUTED_VALUE"""),"BioLago")</f>
        <v>BioLago</v>
      </c>
      <c r="B11" s="6"/>
    </row>
    <row r="12">
      <c r="A12" s="6" t="str">
        <f>IFERROR(__xludf.DUMMYFUNCTION("""COMPUTED_VALUE"""),"BioNTech SE")</f>
        <v>BioNTech SE</v>
      </c>
      <c r="B12" s="6"/>
    </row>
    <row r="13">
      <c r="A13" s="6" t="str">
        <f>IFERROR(__xludf.DUMMYFUNCTION("""COMPUTED_VALUE"""),"Biopharm GmbH")</f>
        <v>Biopharm GmbH</v>
      </c>
      <c r="B13" s="6"/>
    </row>
    <row r="14">
      <c r="A14" s="6" t="str">
        <f>IFERROR(__xludf.DUMMYFUNCTION("""COMPUTED_VALUE"""),"BioRN ")</f>
        <v>BioRN </v>
      </c>
      <c r="B14" s="6"/>
    </row>
    <row r="15">
      <c r="A15" s="6" t="str">
        <f>IFERROR(__xludf.DUMMYFUNCTION("""COMPUTED_VALUE"""),"Bioscientia")</f>
        <v>Bioscientia</v>
      </c>
      <c r="B15" s="6"/>
    </row>
    <row r="16">
      <c r="A16" s="6" t="str">
        <f>IFERROR(__xludf.DUMMYFUNCTION("""COMPUTED_VALUE"""),"Biotest AG ")</f>
        <v>Biotest AG </v>
      </c>
      <c r="B16" s="6"/>
    </row>
    <row r="17">
      <c r="A17" s="6" t="str">
        <f>IFERROR(__xludf.DUMMYFUNCTION("""COMPUTED_VALUE"""),"Boehringer Ingelheim GmbH &amp; Co KG")</f>
        <v>Boehringer Ingelheim GmbH &amp; Co KG</v>
      </c>
      <c r="B17" s="6"/>
    </row>
    <row r="18">
      <c r="A18" s="6" t="str">
        <f>IFERROR(__xludf.DUMMYFUNCTION("""COMPUTED_VALUE"""),"Business Upper Austria")</f>
        <v>Business Upper Austria</v>
      </c>
      <c r="B18" s="6"/>
    </row>
    <row r="19">
      <c r="A19" s="6" t="str">
        <f>IFERROR(__xludf.DUMMYFUNCTION("""COMPUTED_VALUE"""),"celsius37.com AG ")</f>
        <v>celsius37.com AG </v>
      </c>
      <c r="B19" s="6"/>
    </row>
    <row r="20">
      <c r="A20" s="6" t="str">
        <f>IFERROR(__xludf.DUMMYFUNCTION("""COMPUTED_VALUE"""),"CIMT")</f>
        <v>CIMT</v>
      </c>
      <c r="B20" s="6"/>
    </row>
    <row r="21">
      <c r="A21" s="6" t="str">
        <f>IFERROR(__xludf.DUMMYFUNCTION("""COMPUTED_VALUE"""),"CyberForum ")</f>
        <v>CyberForum </v>
      </c>
      <c r="B21" s="6"/>
    </row>
    <row r="22">
      <c r="A22" s="6" t="str">
        <f>IFERROR(__xludf.DUMMYFUNCTION("""COMPUTED_VALUE"""),"DKFZ Heidelberg")</f>
        <v>DKFZ Heidelberg</v>
      </c>
      <c r="B22" s="6"/>
    </row>
    <row r="23">
      <c r="A23" s="6" t="str">
        <f>IFERROR(__xludf.DUMMYFUNCTION("""COMPUTED_VALUE"""),"Dr. Falk Pharma GmbH")</f>
        <v>Dr. Falk Pharma GmbH</v>
      </c>
      <c r="B23" s="6"/>
    </row>
    <row r="24">
      <c r="A24" s="6" t="str">
        <f>IFERROR(__xludf.DUMMYFUNCTION("""COMPUTED_VALUE"""),"DRK-Blutspendedienst BaWüHe gGmbH")</f>
        <v>DRK-Blutspendedienst BaWüHe gGmbH</v>
      </c>
      <c r="B24" s="6"/>
    </row>
    <row r="25">
      <c r="A25" s="6" t="str">
        <f>IFERROR(__xludf.DUMMYFUNCTION("""COMPUTED_VALUE"""),"EIT Health Germany")</f>
        <v>EIT Health Germany</v>
      </c>
      <c r="B25" s="6"/>
    </row>
    <row r="26">
      <c r="A26" s="6" t="str">
        <f>IFERROR(__xludf.DUMMYFUNCTION("""COMPUTED_VALUE"""),"Ernst &amp; Young GmbH")</f>
        <v>Ernst &amp; Young GmbH</v>
      </c>
      <c r="B26" s="6"/>
    </row>
    <row r="27">
      <c r="A27" s="6" t="str">
        <f>IFERROR(__xludf.DUMMYFUNCTION("""COMPUTED_VALUE"""),"Eufets GmbH ")</f>
        <v>Eufets GmbH </v>
      </c>
      <c r="B27" s="6"/>
    </row>
    <row r="28">
      <c r="A28" s="6" t="str">
        <f>IFERROR(__xludf.DUMMYFUNCTION("""COMPUTED_VALUE"""),"EUROIMMUN AG ")</f>
        <v>EUROIMMUN AG </v>
      </c>
      <c r="B28" s="6"/>
    </row>
    <row r="29">
      <c r="A29" s="6" t="str">
        <f>IFERROR(__xludf.DUMMYFUNCTION("""COMPUTED_VALUE"""),"FH Frankfurt ")</f>
        <v>FH Frankfurt </v>
      </c>
      <c r="B29" s="6"/>
    </row>
    <row r="30">
      <c r="A30" s="6" t="str">
        <f>IFERROR(__xludf.DUMMYFUNCTION("""COMPUTED_VALUE"""),"FH Kaiserslautern ")</f>
        <v>FH Kaiserslautern </v>
      </c>
      <c r="B30" s="6"/>
    </row>
    <row r="31">
      <c r="A31" s="6" t="str">
        <f>IFERROR(__xludf.DUMMYFUNCTION("""COMPUTED_VALUE"""),"FIZ Frankfurt Innovationszentrum")</f>
        <v>FIZ Frankfurt Innovationszentrum</v>
      </c>
      <c r="B31" s="6"/>
    </row>
    <row r="32">
      <c r="A32" s="6" t="str">
        <f>IFERROR(__xludf.DUMMYFUNCTION("""COMPUTED_VALUE"""),"Fraunhofer ITWM")</f>
        <v>Fraunhofer ITWM</v>
      </c>
      <c r="B32" s="6"/>
    </row>
    <row r="33">
      <c r="A33" s="6" t="str">
        <f>IFERROR(__xludf.DUMMYFUNCTION("""COMPUTED_VALUE"""),"Fraunhofer IZB")</f>
        <v>Fraunhofer IZB</v>
      </c>
      <c r="B33" s="6"/>
    </row>
    <row r="34">
      <c r="A34" s="6" t="str">
        <f>IFERROR(__xludf.DUMMYFUNCTION("""COMPUTED_VALUE"""),"Fraunhofer-Institut für Mikrotechnik und Mikrosysteme IMM")</f>
        <v>Fraunhofer-Institut für Mikrotechnik und Mikrosysteme IMM</v>
      </c>
      <c r="B34" s="6"/>
    </row>
    <row r="35">
      <c r="A35" s="6" t="str">
        <f>IFERROR(__xludf.DUMMYFUNCTION("""COMPUTED_VALUE"""),"Fresenius Kabi Deutschland GmbH ")</f>
        <v>Fresenius Kabi Deutschland GmbH </v>
      </c>
      <c r="B35" s="6"/>
    </row>
    <row r="36">
      <c r="A36" s="6" t="str">
        <f>IFERROR(__xludf.DUMMYFUNCTION("""COMPUTED_VALUE"""),"GenXPro GmbH")</f>
        <v>GenXPro GmbH</v>
      </c>
      <c r="B36" s="6"/>
    </row>
    <row r="37">
      <c r="A37" s="6" t="str">
        <f>IFERROR(__xludf.DUMMYFUNCTION("""COMPUTED_VALUE"""),"Georg-Speyer-Haus ")</f>
        <v>Georg-Speyer-Haus </v>
      </c>
      <c r="B37" s="6"/>
    </row>
    <row r="38">
      <c r="A38" s="6" t="str">
        <f>IFERROR(__xludf.DUMMYFUNCTION("""COMPUTED_VALUE"""),"Gesundheitswirtschaft Rhein-Main e.V.")</f>
        <v>Gesundheitswirtschaft Rhein-Main e.V.</v>
      </c>
      <c r="B38" s="6"/>
    </row>
    <row r="39">
      <c r="A39" s="6" t="str">
        <f>IFERROR(__xludf.DUMMYFUNCTION("""COMPUTED_VALUE"""),"Goethe Universität Frankfurt am Main")</f>
        <v>Goethe Universität Frankfurt am Main</v>
      </c>
      <c r="B39" s="6"/>
    </row>
    <row r="40">
      <c r="A40" s="6" t="str">
        <f>IFERROR(__xludf.DUMMYFUNCTION("""COMPUTED_VALUE"""),"Graduate School Rhein-Neckar ")</f>
        <v>Graduate School Rhein-Neckar </v>
      </c>
      <c r="B40" s="6"/>
    </row>
    <row r="41">
      <c r="A41" s="6" t="str">
        <f>IFERROR(__xludf.DUMMYFUNCTION("""COMPUTED_VALUE"""),"HA Hessen Agentur GmbH")</f>
        <v>HA Hessen Agentur GmbH</v>
      </c>
      <c r="B41" s="6"/>
    </row>
    <row r="42">
      <c r="A42" s="6" t="str">
        <f>IFERROR(__xludf.DUMMYFUNCTION("""COMPUTED_VALUE"""),"Hessen Trade &amp; Invest")</f>
        <v>Hessen Trade &amp; Invest</v>
      </c>
      <c r="B42" s="6"/>
    </row>
    <row r="43">
      <c r="A43" s="6" t="str">
        <f>IFERROR(__xludf.DUMMYFUNCTION("""COMPUTED_VALUE"""),"Hochschule Mannheim")</f>
        <v>Hochschule Mannheim</v>
      </c>
      <c r="B43" s="6"/>
    </row>
    <row r="44">
      <c r="A44" s="6" t="str">
        <f>IFERROR(__xludf.DUMMYFUNCTION("""COMPUTED_VALUE"""),"House of Pharma &amp; Healthcare")</f>
        <v>House of Pharma &amp; Healthcare</v>
      </c>
      <c r="B44" s="6"/>
    </row>
    <row r="45">
      <c r="A45" s="6" t="str">
        <f>IFERROR(__xludf.DUMMYFUNCTION("""COMPUTED_VALUE"""),"Humatrix AG ")</f>
        <v>Humatrix AG </v>
      </c>
      <c r="B45" s="6"/>
    </row>
    <row r="46">
      <c r="A46" s="6" t="str">
        <f>IFERROR(__xludf.DUMMYFUNCTION("""COMPUTED_VALUE"""),"IHK Hessen innovativ")</f>
        <v>IHK Hessen innovativ</v>
      </c>
      <c r="B46" s="6"/>
    </row>
    <row r="47">
      <c r="A47" s="6" t="str">
        <f>IFERROR(__xludf.DUMMYFUNCTION("""COMPUTED_VALUE"""),"IHK Rheinhessen")</f>
        <v>IHK Rheinhessen</v>
      </c>
      <c r="B47" s="6"/>
    </row>
    <row r="48">
      <c r="A48" s="6" t="str">
        <f>IFERROR(__xludf.DUMMYFUNCTION("""COMPUTED_VALUE"""),"IMG Innovationsmanagement GmbH ")</f>
        <v>IMG Innovationsmanagement GmbH </v>
      </c>
      <c r="B48" s="6"/>
    </row>
    <row r="49">
      <c r="A49" s="6" t="str">
        <f>IFERROR(__xludf.DUMMYFUNCTION("""COMPUTED_VALUE"""),"Infopole")</f>
        <v>Infopole</v>
      </c>
      <c r="B49" s="6"/>
    </row>
    <row r="50">
      <c r="A50" s="6" t="str">
        <f>IFERROR(__xludf.DUMMYFUNCTION("""COMPUTED_VALUE"""),"infraserv GmbH &amp; Co. Höchst KG")</f>
        <v>infraserv GmbH &amp; Co. Höchst KG</v>
      </c>
      <c r="B50" s="6"/>
    </row>
    <row r="51">
      <c r="A51" s="6" t="str">
        <f>IFERROR(__xludf.DUMMYFUNCTION("""COMPUTED_VALUE"""),"Initiative Gesundheitswirtschaft RLP ")</f>
        <v>Initiative Gesundheitswirtschaft RLP </v>
      </c>
      <c r="B51" s="6"/>
    </row>
    <row r="52">
      <c r="A52" s="6" t="str">
        <f>IFERROR(__xludf.DUMMYFUNCTION("""COMPUTED_VALUE"""),"InnoNet Health Economy")</f>
        <v>InnoNet Health Economy</v>
      </c>
      <c r="B52" s="6"/>
    </row>
    <row r="53">
      <c r="A53" s="6" t="str">
        <f>IFERROR(__xludf.DUMMYFUNCTION("""COMPUTED_VALUE"""),"Institute of Molecular Biology gGmbH")</f>
        <v>Institute of Molecular Biology gGmbH</v>
      </c>
      <c r="B53" s="6"/>
    </row>
    <row r="54">
      <c r="A54" s="6" t="str">
        <f>IFERROR(__xludf.DUMMYFUNCTION("""COMPUTED_VALUE"""),"InstrAction GmbH ")</f>
        <v>InstrAction GmbH </v>
      </c>
      <c r="B54" s="6"/>
    </row>
    <row r="55">
      <c r="A55" s="6" t="str">
        <f>IFERROR(__xludf.DUMMYFUNCTION("""COMPUTED_VALUE"""),"ISB Investitions- und Strukturbank RLP GmbH")</f>
        <v>ISB Investitions- und Strukturbank RLP GmbH</v>
      </c>
      <c r="B55" s="6"/>
    </row>
    <row r="56">
      <c r="A56" s="6" t="str">
        <f>IFERROR(__xludf.DUMMYFUNCTION("""COMPUTED_VALUE"""),"Itechpartners")</f>
        <v>Itechpartners</v>
      </c>
      <c r="B56" s="6"/>
    </row>
    <row r="57">
      <c r="A57" s="6" t="str">
        <f>IFERROR(__xludf.DUMMYFUNCTION("""COMPUTED_VALUE"""),"Janssen-Cilag")</f>
        <v>Janssen-Cilag</v>
      </c>
      <c r="B57" s="6"/>
    </row>
    <row r="58">
      <c r="A58" s="6" t="str">
        <f>IFERROR(__xludf.DUMMYFUNCTION("""COMPUTED_VALUE"""),"Johannes Gutenberg-Universität Mainz ")</f>
        <v>Johannes Gutenberg-Universität Mainz </v>
      </c>
      <c r="B58" s="6"/>
    </row>
    <row r="59">
      <c r="A59" s="6" t="str">
        <f>IFERROR(__xludf.DUMMYFUNCTION("""COMPUTED_VALUE"""),"Klinikum der Goethe-Universität Frankfurt am Main")</f>
        <v>Klinikum der Goethe-Universität Frankfurt am Main</v>
      </c>
      <c r="B59" s="6"/>
    </row>
    <row r="60">
      <c r="A60" s="6" t="str">
        <f>IFERROR(__xludf.DUMMYFUNCTION("""COMPUTED_VALUE"""),"Krankenhaus Nordwest")</f>
        <v>Krankenhaus Nordwest</v>
      </c>
      <c r="B60" s="6"/>
    </row>
    <row r="61">
      <c r="A61" s="6" t="str">
        <f>IFERROR(__xludf.DUMMYFUNCTION("""COMPUTED_VALUE"""),"Land Hessen")</f>
        <v>Land Hessen</v>
      </c>
      <c r="B61" s="6"/>
    </row>
    <row r="62">
      <c r="A62" s="6" t="str">
        <f>IFERROR(__xludf.DUMMYFUNCTION("""COMPUTED_VALUE"""),"Land Rheinland-Pfalz ")</f>
        <v>Land Rheinland-Pfalz </v>
      </c>
      <c r="B62" s="6"/>
    </row>
    <row r="63">
      <c r="A63" s="6" t="str">
        <f>IFERROR(__xludf.DUMMYFUNCTION("""COMPUTED_VALUE"""),"Landeshauptstadt Mainz")</f>
        <v>Landeshauptstadt Mainz</v>
      </c>
      <c r="B63" s="6"/>
    </row>
    <row r="64">
      <c r="A64" s="6" t="str">
        <f>IFERROR(__xludf.DUMMYFUNCTION("""COMPUTED_VALUE"""),"LBBW Venture ")</f>
        <v>LBBW Venture </v>
      </c>
      <c r="B64" s="6"/>
    </row>
    <row r="65">
      <c r="A65" s="6" t="str">
        <f>IFERROR(__xludf.DUMMYFUNCTION("""COMPUTED_VALUE"""),"Life Science Inkubator GmbH ")</f>
        <v>Life Science Inkubator GmbH </v>
      </c>
      <c r="B65" s="6"/>
    </row>
    <row r="66">
      <c r="A66" s="6" t="str">
        <f>IFERROR(__xludf.DUMMYFUNCTION("""COMPUTED_VALUE"""),"LOEWE Zentrum für Zell-und Gentherapie ")</f>
        <v>LOEWE Zentrum für Zell-und Gentherapie </v>
      </c>
      <c r="B66" s="6"/>
    </row>
    <row r="67">
      <c r="A67" s="6" t="str">
        <f>IFERROR(__xludf.DUMMYFUNCTION("""COMPUTED_VALUE"""),"M2OLIE")</f>
        <v>M2OLIE</v>
      </c>
      <c r="B67" s="6"/>
    </row>
    <row r="68">
      <c r="A68" s="6" t="str">
        <f>IFERROR(__xludf.DUMMYFUNCTION("""COMPUTED_VALUE"""),"Medatixx GmbH &amp; Co KG")</f>
        <v>Medatixx GmbH &amp; Co KG</v>
      </c>
      <c r="B68" s="6"/>
    </row>
    <row r="69">
      <c r="A69" s="6" t="str">
        <f>IFERROR(__xludf.DUMMYFUNCTION("""COMPUTED_VALUE"""),"Medesso GmbH")</f>
        <v>Medesso GmbH</v>
      </c>
      <c r="B69" s="6"/>
    </row>
    <row r="70">
      <c r="A70" s="6" t="str">
        <f>IFERROR(__xludf.DUMMYFUNCTION("""COMPUTED_VALUE"""),"Mediatum")</f>
        <v>Mediatum</v>
      </c>
      <c r="B70" s="6"/>
    </row>
    <row r="71">
      <c r="A71" s="6" t="str">
        <f>IFERROR(__xludf.DUMMYFUNCTION("""COMPUTED_VALUE"""),"Medical Valley")</f>
        <v>Medical Valley</v>
      </c>
      <c r="B71" s="6"/>
    </row>
    <row r="72">
      <c r="A72" s="6" t="str">
        <f>IFERROR(__xludf.DUMMYFUNCTION("""COMPUTED_VALUE"""),"Medigene Immunotherapies GmbH")</f>
        <v>Medigene Immunotherapies GmbH</v>
      </c>
      <c r="B72" s="6"/>
    </row>
    <row r="73">
      <c r="A73" s="6" t="str">
        <f>IFERROR(__xludf.DUMMYFUNCTION("""COMPUTED_VALUE"""),"Merck KGaA")</f>
        <v>Merck KGaA</v>
      </c>
      <c r="B73" s="6"/>
    </row>
    <row r="74">
      <c r="A74" s="6" t="str">
        <f>IFERROR(__xludf.DUMMYFUNCTION("""COMPUTED_VALUE"""),"Miltenyi Biotec GmbH ")</f>
        <v>Miltenyi Biotec GmbH </v>
      </c>
      <c r="B74" s="6"/>
    </row>
    <row r="75">
      <c r="A75" s="6" t="str">
        <f>IFERROR(__xludf.DUMMYFUNCTION("""COMPUTED_VALUE"""),"MPI für Polymerforschung")</f>
        <v>MPI für Polymerforschung</v>
      </c>
      <c r="B75" s="6"/>
    </row>
    <row r="76">
      <c r="A76" s="6" t="str">
        <f>IFERROR(__xludf.DUMMYFUNCTION("""COMPUTED_VALUE"""),"Münchner Biotech Cluster m4")</f>
        <v>Münchner Biotech Cluster m4</v>
      </c>
      <c r="B76" s="6"/>
    </row>
    <row r="77">
      <c r="A77" s="6" t="str">
        <f>IFERROR(__xludf.DUMMYFUNCTION("""COMPUTED_VALUE"""),"NanoBioNet")</f>
        <v>NanoBioNet</v>
      </c>
      <c r="B77" s="6"/>
    </row>
    <row r="78">
      <c r="A78" s="6" t="str">
        <f>IFERROR(__xludf.DUMMYFUNCTION("""COMPUTED_VALUE"""),"Oslo Cancer Cluster")</f>
        <v>Oslo Cancer Cluster</v>
      </c>
      <c r="B78" s="6"/>
    </row>
    <row r="79">
      <c r="A79" s="6" t="str">
        <f>IFERROR(__xludf.DUMMYFUNCTION("""COMPUTED_VALUE"""),"Paul-Ehrlich-Institut ")</f>
        <v>Paul-Ehrlich-Institut </v>
      </c>
      <c r="B79" s="6"/>
    </row>
    <row r="80">
      <c r="A80" s="6" t="str">
        <f>IFERROR(__xludf.DUMMYFUNCTION("""COMPUTED_VALUE"""),"Pharmgenomics GmbH ")</f>
        <v>Pharmgenomics GmbH </v>
      </c>
      <c r="B80" s="6"/>
    </row>
    <row r="81">
      <c r="A81" s="6" t="str">
        <f>IFERROR(__xludf.DUMMYFUNCTION("""COMPUTED_VALUE"""),"Protagen AG ")</f>
        <v>Protagen AG </v>
      </c>
      <c r="B81" s="6"/>
    </row>
    <row r="82">
      <c r="A82" s="6" t="str">
        <f>IFERROR(__xludf.DUMMYFUNCTION("""COMPUTED_VALUE"""),"ProteoSys AG")</f>
        <v>ProteoSys AG</v>
      </c>
      <c r="B82" s="6"/>
    </row>
    <row r="83">
      <c r="A83" s="6" t="str">
        <f>IFERROR(__xludf.DUMMYFUNCTION("""COMPUTED_VALUE"""),"Roche Diagnostics Deutschland")</f>
        <v>Roche Diagnostics Deutschland</v>
      </c>
      <c r="B83" s="6"/>
    </row>
    <row r="84">
      <c r="A84" s="6" t="str">
        <f>IFERROR(__xludf.DUMMYFUNCTION("""COMPUTED_VALUE"""),"SAGE Bionetworks")</f>
        <v>SAGE Bionetworks</v>
      </c>
      <c r="B84" s="6"/>
    </row>
    <row r="85">
      <c r="A85" s="6" t="str">
        <f>IFERROR(__xludf.DUMMYFUNCTION("""COMPUTED_VALUE"""),"Sanofi Aventis")</f>
        <v>Sanofi Aventis</v>
      </c>
      <c r="B85" s="6"/>
    </row>
    <row r="86">
      <c r="A86" s="6" t="str">
        <f>IFERROR(__xludf.DUMMYFUNCTION("""COMPUTED_VALUE"""),"Scancell Holdings plc")</f>
        <v>Scancell Holdings plc</v>
      </c>
      <c r="B86" s="6"/>
    </row>
    <row r="87">
      <c r="A87" s="6" t="str">
        <f>IFERROR(__xludf.DUMMYFUNCTION("""COMPUTED_VALUE"""),"Secpho")</f>
        <v>Secpho</v>
      </c>
      <c r="B87" s="6"/>
    </row>
    <row r="88">
      <c r="A88" s="6" t="str">
        <f>IFERROR(__xludf.DUMMYFUNCTION("""COMPUTED_VALUE"""),"StarSEQ GmbH")</f>
        <v>StarSEQ GmbH</v>
      </c>
      <c r="B88" s="6"/>
    </row>
    <row r="89">
      <c r="A89" s="6" t="str">
        <f>IFERROR(__xludf.DUMMYFUNCTION("""COMPUTED_VALUE"""),"Stiftung Leben mit Krebs")</f>
        <v>Stiftung Leben mit Krebs</v>
      </c>
      <c r="B89" s="6"/>
    </row>
    <row r="90">
      <c r="A90" s="6" t="str">
        <f>IFERROR(__xludf.DUMMYFUNCTION("""COMPUTED_VALUE"""),"Technische Hochschule Bingen")</f>
        <v>Technische Hochschule Bingen</v>
      </c>
      <c r="B90" s="6"/>
    </row>
    <row r="91">
      <c r="A91" s="6" t="str">
        <f>IFERROR(__xludf.DUMMYFUNCTION("""COMPUTED_VALUE"""),"tgc Biomics GmbH")</f>
        <v>tgc Biomics GmbH</v>
      </c>
      <c r="B91" s="6"/>
    </row>
    <row r="92">
      <c r="A92" s="6" t="str">
        <f>IFERROR(__xludf.DUMMYFUNCTION("""COMPUTED_VALUE"""),"Transferinitiative RLP – Schwerpunkt Personalisierte Medizin")</f>
        <v>Transferinitiative RLP – Schwerpunkt Personalisierte Medizin</v>
      </c>
      <c r="B92" s="6"/>
    </row>
    <row r="93">
      <c r="A93" s="6" t="str">
        <f>IFERROR(__xludf.DUMMYFUNCTION("""COMPUTED_VALUE"""),"TRON gGmbH")</f>
        <v>TRON gGmbH</v>
      </c>
      <c r="B93" s="6"/>
    </row>
    <row r="94">
      <c r="A94" s="6" t="str">
        <f>IFERROR(__xludf.DUMMYFUNCTION("""COMPUTED_VALUE"""),"TU Darmstadt ")</f>
        <v>TU Darmstadt </v>
      </c>
      <c r="B94" s="6"/>
    </row>
    <row r="95">
      <c r="A95" s="6" t="str">
        <f>IFERROR(__xludf.DUMMYFUNCTION("""COMPUTED_VALUE"""),"TU Kaiserslautern ")</f>
        <v>TU Kaiserslautern </v>
      </c>
      <c r="B95" s="6"/>
    </row>
    <row r="96">
      <c r="A96" s="6" t="str">
        <f>IFERROR(__xludf.DUMMYFUNCTION("""COMPUTED_VALUE"""),"UCT Mainz")</f>
        <v>UCT Mainz</v>
      </c>
      <c r="B96" s="6"/>
    </row>
    <row r="97">
      <c r="A97" s="6" t="str">
        <f>IFERROR(__xludf.DUMMYFUNCTION("""COMPUTED_VALUE"""),"Universitäres Centrum für Tumorerkrankungen Frankfurt (UCT) ")</f>
        <v>Universitäres Centrum für Tumorerkrankungen Frankfurt (UCT) </v>
      </c>
      <c r="B97" s="6"/>
    </row>
    <row r="98">
      <c r="A98" s="6" t="str">
        <f>IFERROR(__xludf.DUMMYFUNCTION("""COMPUTED_VALUE"""),"Universitätsmedizin der JGU Mainz")</f>
        <v>Universitätsmedizin der JGU Mainz</v>
      </c>
      <c r="B98" s="6"/>
    </row>
    <row r="99">
      <c r="A99" s="6" t="str">
        <f>IFERROR(__xludf.DUMMYFUNCTION("""COMPUTED_VALUE"""),"Webseite VDI-TZ")</f>
        <v>Webseite VDI-TZ</v>
      </c>
      <c r="B99" s="6"/>
    </row>
    <row r="100">
      <c r="A100" s="6" t="str">
        <f>IFERROR(__xludf.DUMMYFUNCTION("""COMPUTED_VALUE"""),"Zentrum f. wissenschaftliche Weiterbildung an der Johannes 
Gutenberg-Universität Mainz")</f>
        <v>Zentrum f. wissenschaftliche Weiterbildung an der Johannes 
Gutenberg-Universität Mainz</v>
      </c>
      <c r="B100" s="6"/>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25</v>
      </c>
      <c r="B1" s="1" t="s">
        <v>26</v>
      </c>
      <c r="C1" s="1" t="s">
        <v>27</v>
      </c>
      <c r="D1" s="11" t="s">
        <v>28</v>
      </c>
      <c r="E1" s="9" t="s">
        <v>29</v>
      </c>
      <c r="F1" s="12"/>
      <c r="G1" s="12"/>
      <c r="H1" s="12"/>
      <c r="I1" s="12"/>
      <c r="J1" s="12"/>
      <c r="K1" s="12"/>
      <c r="L1" s="12"/>
      <c r="M1" s="12"/>
      <c r="N1" s="12"/>
      <c r="O1" s="13"/>
    </row>
    <row r="2">
      <c r="A2" s="2" t="s">
        <v>30</v>
      </c>
      <c r="B2" s="2" t="s">
        <v>4</v>
      </c>
      <c r="C2" s="2" t="s">
        <v>31</v>
      </c>
    </row>
    <row r="3">
      <c r="A3" s="4"/>
      <c r="B3" s="4" t="s">
        <v>32</v>
      </c>
      <c r="C3" s="4"/>
      <c r="D3" s="4" t="s">
        <v>11</v>
      </c>
      <c r="E3" s="14"/>
      <c r="F3" s="15"/>
      <c r="G3" s="16"/>
      <c r="H3" s="15"/>
      <c r="I3" s="16"/>
      <c r="J3" s="15"/>
      <c r="K3" s="15"/>
      <c r="L3" s="16"/>
      <c r="M3" s="15"/>
      <c r="N3" s="16"/>
      <c r="O3" s="15"/>
      <c r="P3" s="15"/>
      <c r="Q3" s="16"/>
      <c r="R3" s="15"/>
      <c r="S3" s="16"/>
      <c r="T3" s="15"/>
      <c r="U3" s="15"/>
      <c r="V3" s="16"/>
      <c r="W3" s="15"/>
      <c r="X3" s="16"/>
      <c r="Y3" s="15"/>
      <c r="Z3" s="15"/>
    </row>
    <row r="4">
      <c r="A4" s="6" t="str">
        <f>IFERROR(__xludf.DUMMYFUNCTION("IMPORTXML(A1,C2)")," post title ")</f>
        <v> post title </v>
      </c>
      <c r="B4" s="6" t="str">
        <f>IFERROR(__xludf.DUMMYFUNCTION("""COMPUTED_VALUE"""),"ABYS MEDICAL")</f>
        <v>ABYS MEDICAL</v>
      </c>
      <c r="C4" s="6" t="str">
        <f>IFERROR(__xludf.DUMMYFUNCTION("""COMPUTED_VALUE""")," /post title ")</f>
        <v> /post title </v>
      </c>
      <c r="D4" s="6"/>
      <c r="E4" s="6" t="str">
        <f>IFERROR(__xludf.DUMMYFUNCTION("""COMPUTED_VALUE"""),"discover this member")</f>
        <v>discover this member</v>
      </c>
    </row>
    <row r="5">
      <c r="A5" s="6" t="str">
        <f>IFERROR(__xludf.DUMMYFUNCTION("""COMPUTED_VALUE""")," post title ")</f>
        <v> post title </v>
      </c>
      <c r="B5" s="6" t="str">
        <f>IFERROR(__xludf.DUMMYFUNCTION("""COMPUTED_VALUE"""),"AI4R")</f>
        <v>AI4R</v>
      </c>
      <c r="C5" s="6" t="str">
        <f>IFERROR(__xludf.DUMMYFUNCTION("""COMPUTED_VALUE""")," /post title ")</f>
        <v> /post title </v>
      </c>
      <c r="D5" s="6" t="str">
        <f>IFERROR(__xludf.DUMMYFUNCTION("""COMPUTED_VALUE"""),"AI4R offers a very high performance system in real time digital 
autoradiography. Thanks to its intrument, the BeaQuant, all the...")</f>
        <v>AI4R offers a very high performance system in real time digital 
autoradiography. Thanks to its intrument, the BeaQuant, all the...</v>
      </c>
      <c r="E5" s="6" t="str">
        <f>IFERROR(__xludf.DUMMYFUNCTION("""COMPUTED_VALUE"""),"discover this member")</f>
        <v>discover this member</v>
      </c>
    </row>
    <row r="6">
      <c r="A6" s="6" t="str">
        <f>IFERROR(__xludf.DUMMYFUNCTION("""COMPUTED_VALUE""")," post title ")</f>
        <v> post title </v>
      </c>
      <c r="B6" s="6" t="str">
        <f>IFERROR(__xludf.DUMMYFUNCTION("""COMPUTED_VALUE"""),"ALISON MUNRO CORPORATE LANGUAGE")</f>
        <v>ALISON MUNRO CORPORATE LANGUAGE</v>
      </c>
      <c r="C6" s="6" t="str">
        <f>IFERROR(__xludf.DUMMYFUNCTION("""COMPUTED_VALUE""")," /post title ")</f>
        <v> /post title </v>
      </c>
      <c r="D6" s="6"/>
      <c r="E6" s="6" t="str">
        <f>IFERROR(__xludf.DUMMYFUNCTION("""COMPUTED_VALUE"""),"discover this member")</f>
        <v>discover this member</v>
      </c>
    </row>
    <row r="7">
      <c r="A7" s="6" t="str">
        <f>IFERROR(__xludf.DUMMYFUNCTION("""COMPUTED_VALUE""")," post title ")</f>
        <v> post title </v>
      </c>
      <c r="B7" s="6" t="str">
        <f>IFERROR(__xludf.DUMMYFUNCTION("""COMPUTED_VALUE"""),"APERSY")</f>
        <v>APERSY</v>
      </c>
      <c r="C7" s="6" t="str">
        <f>IFERROR(__xludf.DUMMYFUNCTION("""COMPUTED_VALUE""")," /post title ")</f>
        <v> /post title </v>
      </c>
      <c r="D7" s="6" t="str">
        <f>IFERROR(__xludf.DUMMYFUNCTION("""COMPUTED_VALUE"""),"Apersy provide expert advisory services for Commercial Strategy and Market 
Access to integrate the commercial point of view throughout the...")</f>
        <v>Apersy provide expert advisory services for Commercial Strategy and Market 
Access to integrate the commercial point of view throughout the...</v>
      </c>
      <c r="E7" s="6" t="str">
        <f>IFERROR(__xludf.DUMMYFUNCTION("""COMPUTED_VALUE"""),"discover this member")</f>
        <v>discover this member</v>
      </c>
    </row>
    <row r="8">
      <c r="A8" s="6" t="str">
        <f>IFERROR(__xludf.DUMMYFUNCTION("""COMPUTED_VALUE""")," post title ")</f>
        <v> post title </v>
      </c>
      <c r="B8" s="6" t="str">
        <f>IFERROR(__xludf.DUMMYFUNCTION("""COMPUTED_VALUE"""),"APO TECH CARE")</f>
        <v>APO TECH CARE</v>
      </c>
      <c r="C8" s="6" t="str">
        <f>IFERROR(__xludf.DUMMYFUNCTION("""COMPUTED_VALUE""")," /post title ")</f>
        <v> /post title </v>
      </c>
      <c r="D8" s="6" t="str">
        <f>IFERROR(__xludf.DUMMYFUNCTION("""COMPUTED_VALUE"""),"Our mission with Apo Tech Care is to be the facilitator in implementing a 
real care 4.0 (participative, personalized, preventive...")</f>
        <v>Our mission with Apo Tech Care is to be the facilitator in implementing a 
real care 4.0 (participative, personalized, preventive...</v>
      </c>
      <c r="E8" s="6" t="str">
        <f>IFERROR(__xludf.DUMMYFUNCTION("""COMPUTED_VALUE"""),"discover this member")</f>
        <v>discover this member</v>
      </c>
    </row>
    <row r="9">
      <c r="A9" s="6" t="str">
        <f>IFERROR(__xludf.DUMMYFUNCTION("""COMPUTED_VALUE""")," post title ")</f>
        <v> post title </v>
      </c>
      <c r="B9" s="6" t="str">
        <f>IFERROR(__xludf.DUMMYFUNCTION("""COMPUTED_VALUE"""),"ARS – AGENCE RÉGIONALE DE SANTÉ PAYS DE LA LOIRE")</f>
        <v>ARS – AGENCE RÉGIONALE DE SANTÉ PAYS DE LA LOIRE</v>
      </c>
      <c r="C9" s="6" t="str">
        <f>IFERROR(__xludf.DUMMYFUNCTION("""COMPUTED_VALUE""")," /post title ")</f>
        <v> /post title </v>
      </c>
      <c r="D9" s="6"/>
      <c r="E9" s="6" t="str">
        <f>IFERROR(__xludf.DUMMYFUNCTION("""COMPUTED_VALUE"""),"discover this member")</f>
        <v>discover this member</v>
      </c>
    </row>
    <row r="10">
      <c r="A10" s="6" t="str">
        <f>IFERROR(__xludf.DUMMYFUNCTION("""COMPUTED_VALUE""")," post title ")</f>
        <v> post title </v>
      </c>
      <c r="B10" s="6" t="str">
        <f>IFERROR(__xludf.DUMMYFUNCTION("""COMPUTED_VALUE"""),"ARTEFAKT AI")</f>
        <v>ARTEFAKT AI</v>
      </c>
      <c r="C10" s="6" t="str">
        <f>IFERROR(__xludf.DUMMYFUNCTION("""COMPUTED_VALUE""")," /post title ")</f>
        <v> /post title </v>
      </c>
      <c r="D10" s="6" t="str">
        <f>IFERROR(__xludf.DUMMYFUNCTION("""COMPUTED_VALUE"""),"Our challenge is to improve the health of patients with innovative 
technologies in biomedical signal &amp; image processing and Big...")</f>
        <v>Our challenge is to improve the health of patients with innovative 
technologies in biomedical signal &amp; image processing and Big...</v>
      </c>
      <c r="E10" s="6" t="str">
        <f>IFERROR(__xludf.DUMMYFUNCTION("""COMPUTED_VALUE"""),"discover this member")</f>
        <v>discover this member</v>
      </c>
    </row>
    <row r="11">
      <c r="A11" s="6" t="str">
        <f>IFERROR(__xludf.DUMMYFUNCTION("""COMPUTED_VALUE""")," post title ")</f>
        <v> post title </v>
      </c>
      <c r="B11" s="6" t="str">
        <f>IFERROR(__xludf.DUMMYFUNCTION("""COMPUTED_VALUE"""),"ATLANGRAM")</f>
        <v>ATLANGRAM</v>
      </c>
      <c r="C11" s="6" t="str">
        <f>IFERROR(__xludf.DUMMYFUNCTION("""COMPUTED_VALUE""")," /post title ")</f>
        <v> /post title </v>
      </c>
      <c r="D11" s="6" t="str">
        <f>IFERROR(__xludf.DUMMYFUNCTION("""COMPUTED_VALUE"""),"ATLANGRAM, is a company specializing in efficacy testing of antimicrobials. 
As a CRO, in vitro &amp; in vivo studies have...")</f>
        <v>ATLANGRAM, is a company specializing in efficacy testing of antimicrobials. 
As a CRO, in vitro &amp; in vivo studies have...</v>
      </c>
      <c r="E11" s="6" t="str">
        <f>IFERROR(__xludf.DUMMYFUNCTION("""COMPUTED_VALUE"""),"discover this member")</f>
        <v>discover this member</v>
      </c>
    </row>
    <row r="12">
      <c r="A12" s="6" t="str">
        <f>IFERROR(__xludf.DUMMYFUNCTION("""COMPUTED_VALUE""")," post title ")</f>
        <v> post title </v>
      </c>
      <c r="B12" s="6" t="str">
        <f>IFERROR(__xludf.DUMMYFUNCTION("""COMPUTED_VALUE"""),"ATLANSTAT")</f>
        <v>ATLANSTAT</v>
      </c>
      <c r="C12" s="6" t="str">
        <f>IFERROR(__xludf.DUMMYFUNCTION("""COMPUTED_VALUE""")," /post title ")</f>
        <v> /post title </v>
      </c>
      <c r="D12" s="6" t="str">
        <f>IFERROR(__xludf.DUMMYFUNCTION("""COMPUTED_VALUE"""),"Contract Research Organization in Cinical trials set up : Monitoring, Data 
management, Biostatistical analyses and Medical Writing sponsored by the...")</f>
        <v>Contract Research Organization in Cinical trials set up : Monitoring, Data 
management, Biostatistical analyses and Medical Writing sponsored by the...</v>
      </c>
      <c r="E12" s="6" t="str">
        <f>IFERROR(__xludf.DUMMYFUNCTION("""COMPUTED_VALUE"""),"discover this member")</f>
        <v>discover this member</v>
      </c>
    </row>
    <row r="13">
      <c r="A13" s="6" t="str">
        <f>IFERROR(__xludf.DUMMYFUNCTION("""COMPUTED_VALUE""")," post title ")</f>
        <v> post title </v>
      </c>
      <c r="B13" s="6" t="str">
        <f>IFERROR(__xludf.DUMMYFUNCTION("""COMPUTED_VALUE"""),"AXELIFE SAS")</f>
        <v>AXELIFE SAS</v>
      </c>
      <c r="C13" s="6" t="str">
        <f>IFERROR(__xludf.DUMMYFUNCTION("""COMPUTED_VALUE""")," /post title ")</f>
        <v> /post title </v>
      </c>
      <c r="D13" s="6" t="str">
        <f>IFERROR(__xludf.DUMMYFUNCTION("""COMPUTED_VALUE"""),"Arterial Stiffness (Aortic Pulse Wave Velocity) is the best predictor of 
cardiovascular events, above and beyond hypertension, diabetes, cholesterol 
;...")</f>
        <v>Arterial Stiffness (Aortic Pulse Wave Velocity) is the best predictor of 
cardiovascular events, above and beyond hypertension, diabetes, cholesterol 
;...</v>
      </c>
      <c r="E13" s="6" t="str">
        <f>IFERROR(__xludf.DUMMYFUNCTION("""COMPUTED_VALUE"""),"discover this member")</f>
        <v>discover this member</v>
      </c>
    </row>
    <row r="14">
      <c r="A14" s="6" t="str">
        <f>IFERROR(__xludf.DUMMYFUNCTION("""COMPUTED_VALUE""")," post title ")</f>
        <v> post title </v>
      </c>
      <c r="B14" s="6" t="str">
        <f>IFERROR(__xludf.DUMMYFUNCTION("""COMPUTED_VALUE"""),"BHEALTHCARE")</f>
        <v>BHEALTHCARE</v>
      </c>
      <c r="C14" s="6" t="str">
        <f>IFERROR(__xludf.DUMMYFUNCTION("""COMPUTED_VALUE""")," /post title ")</f>
        <v> /post title </v>
      </c>
      <c r="D14" s="6" t="str">
        <f>IFERROR(__xludf.DUMMYFUNCTION("""COMPUTED_VALUE"""),"BHealthCare develops Heiva! HEIVA is the first all-in-one solution that 
automates the entire pre-analysis phase including blood collection and 
the...")</f>
        <v>BHealthCare develops Heiva! HEIVA is the first all-in-one solution that 
automates the entire pre-analysis phase including blood collection and 
the...</v>
      </c>
      <c r="E14" s="6" t="str">
        <f>IFERROR(__xludf.DUMMYFUNCTION("""COMPUTED_VALUE"""),"discover this member")</f>
        <v>discover this member</v>
      </c>
    </row>
    <row r="15">
      <c r="A15" s="6" t="str">
        <f>IFERROR(__xludf.DUMMYFUNCTION("""COMPUTED_VALUE""")," post title ")</f>
        <v> post title </v>
      </c>
      <c r="B15" s="6" t="str">
        <f>IFERROR(__xludf.DUMMYFUNCTION("""COMPUTED_VALUE"""),"BIO LOGBOOK")</f>
        <v>BIO LOGBOOK</v>
      </c>
      <c r="C15" s="6" t="str">
        <f>IFERROR(__xludf.DUMMYFUNCTION("""COMPUTED_VALUE""")," /post title ")</f>
        <v> /post title </v>
      </c>
      <c r="D15" s="6" t="str">
        <f>IFERROR(__xludf.DUMMYFUNCTION("""COMPUTED_VALUE"""),"Decision support systems for doctors and researchers using an automatic 
reading of biological datas. Detection of intermediate health states, 
preceding...")</f>
        <v>Decision support systems for doctors and researchers using an automatic 
reading of biological datas. Detection of intermediate health states, 
preceding...</v>
      </c>
      <c r="E15" s="6" t="str">
        <f>IFERROR(__xludf.DUMMYFUNCTION("""COMPUTED_VALUE"""),"discover this member")</f>
        <v>discover this member</v>
      </c>
    </row>
    <row r="16">
      <c r="A16" s="6" t="str">
        <f>IFERROR(__xludf.DUMMYFUNCTION("""COMPUTED_VALUE""")," post title ")</f>
        <v> post title </v>
      </c>
      <c r="B16" s="6" t="str">
        <f>IFERROR(__xludf.DUMMYFUNCTION("""COMPUTED_VALUE"""),"BIOFORTIS")</f>
        <v>BIOFORTIS</v>
      </c>
      <c r="C16" s="6" t="str">
        <f>IFERROR(__xludf.DUMMYFUNCTION("""COMPUTED_VALUE""")," /post title ")</f>
        <v> /post title </v>
      </c>
      <c r="D16" s="6" t="str">
        <f>IFERROR(__xludf.DUMMYFUNCTION("""COMPUTED_VALUE"""),"A leading C.R.O specialized in designing and running of experimental, 
pre-clinical sample analysis and clinical research projects, with a 
unique...")</f>
        <v>A leading C.R.O specialized in designing and running of experimental, 
pre-clinical sample analysis and clinical research projects, with a 
unique...</v>
      </c>
      <c r="E16" s="6" t="str">
        <f>IFERROR(__xludf.DUMMYFUNCTION("""COMPUTED_VALUE"""),"discover this member")</f>
        <v>discover this member</v>
      </c>
    </row>
    <row r="17">
      <c r="A17" s="6" t="str">
        <f>IFERROR(__xludf.DUMMYFUNCTION("""COMPUTED_VALUE""")," post title ")</f>
        <v> post title </v>
      </c>
      <c r="B17" s="6" t="str">
        <f>IFERROR(__xludf.DUMMYFUNCTION("""COMPUTED_VALUE"""),"BIOSENCY")</f>
        <v>BIOSENCY</v>
      </c>
      <c r="C17" s="6" t="str">
        <f>IFERROR(__xludf.DUMMYFUNCTION("""COMPUTED_VALUE""")," /post title ")</f>
        <v> /post title </v>
      </c>
      <c r="D17" s="6" t="str">
        <f>IFERROR(__xludf.DUMMYFUNCTION("""COMPUTED_VALUE"""),": Biosency develops a connected medical device, dedicated to improve COPD 
patients’ quality of life through care pathway. To do...")</f>
        <v>: Biosency develops a connected medical device, dedicated to improve COPD 
patients’ quality of life through care pathway. To do...</v>
      </c>
      <c r="E17" s="6" t="str">
        <f>IFERROR(__xludf.DUMMYFUNCTION("""COMPUTED_VALUE"""),"discover this member")</f>
        <v>discover this member</v>
      </c>
    </row>
    <row r="18">
      <c r="A18" s="6" t="str">
        <f>IFERROR(__xludf.DUMMYFUNCTION("""COMPUTED_VALUE""")," post title ")</f>
        <v> post title </v>
      </c>
      <c r="B18" s="6" t="str">
        <f>IFERROR(__xludf.DUMMYFUNCTION("""COMPUTED_VALUE"""),"BLUEBACK")</f>
        <v>BLUEBACK</v>
      </c>
      <c r="C18" s="6" t="str">
        <f>IFERROR(__xludf.DUMMYFUNCTION("""COMPUTED_VALUE""")," /post title ")</f>
        <v> /post title </v>
      </c>
      <c r="D18" s="6" t="str">
        <f>IFERROR(__xludf.DUMMYFUNCTION("""COMPUTED_VALUE"""),"Blueback is specialized in the development of tools detecting deep muscular 
activity for health professionals. Thanks to its competency in...")</f>
        <v>Blueback is specialized in the development of tools detecting deep muscular 
activity for health professionals. Thanks to its competency in...</v>
      </c>
      <c r="E18" s="6" t="str">
        <f>IFERROR(__xludf.DUMMYFUNCTION("""COMPUTED_VALUE"""),"discover this member")</f>
        <v>discover this member</v>
      </c>
    </row>
    <row r="19">
      <c r="A19" s="6" t="str">
        <f>IFERROR(__xludf.DUMMYFUNCTION("""COMPUTED_VALUE""")," post title ")</f>
        <v> post title </v>
      </c>
      <c r="B19" s="6" t="str">
        <f>IFERROR(__xludf.DUMMYFUNCTION("""COMPUTED_VALUE"""),"CALIGOS")</f>
        <v>CALIGOS</v>
      </c>
      <c r="C19" s="6" t="str">
        <f>IFERROR(__xludf.DUMMYFUNCTION("""COMPUTED_VALUE""")," /post title ")</f>
        <v> /post title </v>
      </c>
      <c r="D19" s="6" t="str">
        <f>IFERROR(__xludf.DUMMYFUNCTION("""COMPUTED_VALUE"""),"Quality management system consultant with the mission of supporting the 
development of companies in a quality and continuous improvement 
approach....")</f>
        <v>Quality management system consultant with the mission of supporting the 
development of companies in a quality and continuous improvement 
approach....</v>
      </c>
      <c r="E19" s="6" t="str">
        <f>IFERROR(__xludf.DUMMYFUNCTION("""COMPUTED_VALUE"""),"discover this member")</f>
        <v>discover this member</v>
      </c>
    </row>
    <row r="20">
      <c r="A20" s="6" t="str">
        <f>IFERROR(__xludf.DUMMYFUNCTION("""COMPUTED_VALUE""")," post title ")</f>
        <v> post title </v>
      </c>
      <c r="B20" s="6" t="str">
        <f>IFERROR(__xludf.DUMMYFUNCTION("""COMPUTED_VALUE"""),"CEA TECH PAYS DE LA LOIRE")</f>
        <v>CEA TECH PAYS DE LA LOIRE</v>
      </c>
      <c r="C20" s="6" t="str">
        <f>IFERROR(__xludf.DUMMYFUNCTION("""COMPUTED_VALUE""")," /post title ")</f>
        <v> /post title </v>
      </c>
      <c r="D20" s="6" t="str">
        <f>IFERROR(__xludf.DUMMYFUNCTION("""COMPUTED_VALUE"""),"CEA Tech is the CEA’s (the French Atomic Energy and Alternative Energy 
Commission) technology research unit. CEA Tech’s three labs—Leti...")</f>
        <v>CEA Tech is the CEA’s (the French Atomic Energy and Alternative Energy 
Commission) technology research unit. CEA Tech’s three labs—Leti...</v>
      </c>
      <c r="E20" s="6" t="str">
        <f>IFERROR(__xludf.DUMMYFUNCTION("""COMPUTED_VALUE"""),"discover this member")</f>
        <v>discover this member</v>
      </c>
    </row>
    <row r="21">
      <c r="A21" s="6" t="str">
        <f>IFERROR(__xludf.DUMMYFUNCTION("""COMPUTED_VALUE""")," post title ")</f>
        <v> post title </v>
      </c>
      <c r="B21" s="6" t="str">
        <f>IFERROR(__xludf.DUMMYFUNCTION("""COMPUTED_VALUE"""),"CENTICH")</f>
        <v>CENTICH</v>
      </c>
      <c r="C21" s="6" t="str">
        <f>IFERROR(__xludf.DUMMYFUNCTION("""COMPUTED_VALUE""")," /post title ")</f>
        <v> /post title </v>
      </c>
      <c r="D21" s="6" t="str">
        <f>IFERROR(__xludf.DUMMYFUNCTION("""COMPUTED_VALUE"""),"“The CENTICH is a private, non-profit organization, member of the French 
mutuality and the VyV group (https://www.groupe-vyv.fr/). It was created...")</f>
        <v>“The CENTICH is a private, non-profit organization, member of the French 
mutuality and the VyV group (https://www.groupe-vyv.fr/). It was created...</v>
      </c>
      <c r="E21" s="6" t="str">
        <f>IFERROR(__xludf.DUMMYFUNCTION("""COMPUTED_VALUE"""),"discover this member")</f>
        <v>discover this member</v>
      </c>
    </row>
    <row r="22">
      <c r="A22" s="6" t="str">
        <f>IFERROR(__xludf.DUMMYFUNCTION("""COMPUTED_VALUE""")," post title ")</f>
        <v> post title </v>
      </c>
      <c r="B22" s="6" t="str">
        <f>IFERROR(__xludf.DUMMYFUNCTION("""COMPUTED_VALUE"""),"CERIS GROUP")</f>
        <v>CERIS GROUP</v>
      </c>
      <c r="C22" s="6" t="str">
        <f>IFERROR(__xludf.DUMMYFUNCTION("""COMPUTED_VALUE""")," /post title ")</f>
        <v> /post title </v>
      </c>
      <c r="D22" s="6" t="str">
        <f>IFERROR(__xludf.DUMMYFUNCTION("""COMPUTED_VALUE"""),"Design, optimization and realization of industrial units in the life 
sciences and health sectors (pharmaceutical industry, veterinary pharmacy, 
biotechnology, cosmetics,...")</f>
        <v>Design, optimization and realization of industrial units in the life 
sciences and health sectors (pharmaceutical industry, veterinary pharmacy, 
biotechnology, cosmetics,...</v>
      </c>
      <c r="E22" s="6" t="str">
        <f>IFERROR(__xludf.DUMMYFUNCTION("""COMPUTED_VALUE"""),"discover this member")</f>
        <v>discover this member</v>
      </c>
    </row>
    <row r="23">
      <c r="A23" s="6" t="str">
        <f>IFERROR(__xludf.DUMMYFUNCTION("""COMPUTED_VALUE""")," post title ")</f>
        <v> post title </v>
      </c>
      <c r="B23" s="6" t="str">
        <f>IFERROR(__xludf.DUMMYFUNCTION("""COMPUTED_VALUE"""),"CIDELEC – CONTROLE INSTRUMENTATION DIAGNOSTIC ELECTRONIQUE")</f>
        <v>CIDELEC – CONTROLE INSTRUMENTATION DIAGNOSTIC ELECTRONIQUE</v>
      </c>
      <c r="C23" s="6" t="str">
        <f>IFERROR(__xludf.DUMMYFUNCTION("""COMPUTED_VALUE""")," /post title ")</f>
        <v> /post title </v>
      </c>
      <c r="D23" s="6"/>
      <c r="E23" s="6" t="str">
        <f>IFERROR(__xludf.DUMMYFUNCTION("""COMPUTED_VALUE"""),"discover this member")</f>
        <v>discover this member</v>
      </c>
    </row>
    <row r="24">
      <c r="A24" s="8" t="str">
        <f>IFERROR(__xludf.DUMMYFUNCTION("IMPORTXML(B1,C2)")," post title ")</f>
        <v> post title </v>
      </c>
      <c r="B24" s="6" t="str">
        <f>IFERROR(__xludf.DUMMYFUNCTION("""COMPUTED_VALUE"""),"COAVE THERAPEUTICS HORAMA")</f>
        <v>COAVE THERAPEUTICS HORAMA</v>
      </c>
      <c r="C24" s="6" t="str">
        <f>IFERROR(__xludf.DUMMYFUNCTION("""COMPUTED_VALUE""")," /post title ")</f>
        <v> /post title </v>
      </c>
      <c r="D24" s="6" t="str">
        <f>IFERROR(__xludf.DUMMYFUNCTION("""COMPUTED_VALUE"""),"Breakthrough biotechnology developing gene therapy targeting genetic &amp; rare 
retinopathies.")</f>
        <v>Breakthrough biotechnology developing gene therapy targeting genetic &amp; rare 
retinopathies.</v>
      </c>
      <c r="E24" s="6" t="str">
        <f>IFERROR(__xludf.DUMMYFUNCTION("""COMPUTED_VALUE"""),"discover this member")</f>
        <v>discover this member</v>
      </c>
    </row>
    <row r="25">
      <c r="A25" s="6" t="str">
        <f>IFERROR(__xludf.DUMMYFUNCTION("""COMPUTED_VALUE""")," post title ")</f>
        <v> post title </v>
      </c>
      <c r="B25" s="6" t="str">
        <f>IFERROR(__xludf.DUMMYFUNCTION("""COMPUTED_VALUE"""),"COGSONOMY")</f>
        <v>COGSONOMY</v>
      </c>
      <c r="C25" s="6" t="str">
        <f>IFERROR(__xludf.DUMMYFUNCTION("""COMPUTED_VALUE""")," /post title ")</f>
        <v> /post title </v>
      </c>
      <c r="D25" s="6" t="str">
        <f>IFERROR(__xludf.DUMMYFUNCTION("""COMPUTED_VALUE"""),"Cogsonomy is a service company that provides project management assistance, 
R &amp; D and training in the field of knowledge...")</f>
        <v>Cogsonomy is a service company that provides project management assistance, 
R &amp; D and training in the field of knowledge...</v>
      </c>
      <c r="E25" s="6" t="str">
        <f>IFERROR(__xludf.DUMMYFUNCTION("""COMPUTED_VALUE"""),"discover this member")</f>
        <v>discover this member</v>
      </c>
    </row>
    <row r="26">
      <c r="A26" s="6" t="str">
        <f>IFERROR(__xludf.DUMMYFUNCTION("""COMPUTED_VALUE""")," post title ")</f>
        <v> post title </v>
      </c>
      <c r="B26" s="6" t="str">
        <f>IFERROR(__xludf.DUMMYFUNCTION("""COMPUTED_VALUE"""),"CUREETY")</f>
        <v>CUREETY</v>
      </c>
      <c r="C26" s="6" t="str">
        <f>IFERROR(__xludf.DUMMYFUNCTION("""COMPUTED_VALUE""")," /post title ")</f>
        <v> /post title </v>
      </c>
      <c r="D26" s="6" t="str">
        <f>IFERROR(__xludf.DUMMYFUNCTION("""COMPUTED_VALUE"""),"Supporting patients, doctors and researchers in their fight against cancer 
Our digital solution improves patients’ care pathway, makes life easier...")</f>
        <v>Supporting patients, doctors and researchers in their fight against cancer 
Our digital solution improves patients’ care pathway, makes life easier...</v>
      </c>
      <c r="E26" s="6" t="str">
        <f>IFERROR(__xludf.DUMMYFUNCTION("""COMPUTED_VALUE"""),"discover this member")</f>
        <v>discover this member</v>
      </c>
    </row>
    <row r="27">
      <c r="A27" s="6" t="str">
        <f>IFERROR(__xludf.DUMMYFUNCTION("""COMPUTED_VALUE""")," post title ")</f>
        <v> post title </v>
      </c>
      <c r="B27" s="6" t="str">
        <f>IFERROR(__xludf.DUMMYFUNCTION("""COMPUTED_VALUE"""),"DATACEND / IDBC")</f>
        <v>DATACEND / IDBC</v>
      </c>
      <c r="C27" s="6" t="str">
        <f>IFERROR(__xludf.DUMMYFUNCTION("""COMPUTED_VALUE""")," /post title ")</f>
        <v> /post title </v>
      </c>
      <c r="D27" s="6" t="str">
        <f>IFERROR(__xludf.DUMMYFUNCTION("""COMPUTED_VALUE"""),"IDBC is a Digital Services Company specialized in the design of innovative 
solutions for the collection (INTEGR @ LIS) and...")</f>
        <v>IDBC is a Digital Services Company specialized in the design of innovative 
solutions for the collection (INTEGR @ LIS) and...</v>
      </c>
      <c r="E27" s="6" t="str">
        <f>IFERROR(__xludf.DUMMYFUNCTION("""COMPUTED_VALUE"""),"discover this member")</f>
        <v>discover this member</v>
      </c>
    </row>
    <row r="28">
      <c r="A28" s="6" t="str">
        <f>IFERROR(__xludf.DUMMYFUNCTION("""COMPUTED_VALUE""")," post title ")</f>
        <v> post title </v>
      </c>
      <c r="B28" s="6" t="str">
        <f>IFERROR(__xludf.DUMMYFUNCTION("""COMPUTED_VALUE"""),"DELLED")</f>
        <v>DELLED</v>
      </c>
      <c r="C28" s="6" t="str">
        <f>IFERROR(__xludf.DUMMYFUNCTION("""COMPUTED_VALUE""")," /post title ")</f>
        <v> /post title </v>
      </c>
      <c r="D28" s="6" t="str">
        <f>IFERROR(__xludf.DUMMYFUNCTION("""COMPUTED_VALUE"""),"While the experimentation of the medical use of cannabis framed by the 
National Agency for Medicines began in France on...")</f>
        <v>While the experimentation of the medical use of cannabis framed by the 
National Agency for Medicines began in France on...</v>
      </c>
      <c r="E28" s="6" t="str">
        <f>IFERROR(__xludf.DUMMYFUNCTION("""COMPUTED_VALUE"""),"discover this member")</f>
        <v>discover this member</v>
      </c>
    </row>
    <row r="29">
      <c r="A29" s="6" t="str">
        <f>IFERROR(__xludf.DUMMYFUNCTION("""COMPUTED_VALUE""")," post title ")</f>
        <v> post title </v>
      </c>
      <c r="B29" s="6" t="str">
        <f>IFERROR(__xludf.DUMMYFUNCTION("""COMPUTED_VALUE"""),"DIRECTOSANTE")</f>
        <v>DIRECTOSANTE</v>
      </c>
      <c r="C29" s="6" t="str">
        <f>IFERROR(__xludf.DUMMYFUNCTION("""COMPUTED_VALUE""")," /post title ")</f>
        <v> /post title </v>
      </c>
      <c r="D29" s="6" t="str">
        <f>IFERROR(__xludf.DUMMYFUNCTION("""COMPUTED_VALUE"""),"DIRECTOSANTE designs and commercializes innovative Patient-Reported Outcome 
Measures Solutions for hospitals and clinics. Our unique solution – 
DirectoSuivi – ensures...")</f>
        <v>DIRECTOSANTE designs and commercializes innovative Patient-Reported Outcome 
Measures Solutions for hospitals and clinics. Our unique solution – 
DirectoSuivi – ensures...</v>
      </c>
      <c r="E29" s="6" t="str">
        <f>IFERROR(__xludf.DUMMYFUNCTION("""COMPUTED_VALUE"""),"discover this member")</f>
        <v>discover this member</v>
      </c>
    </row>
    <row r="30">
      <c r="A30" s="6" t="str">
        <f>IFERROR(__xludf.DUMMYFUNCTION("""COMPUTED_VALUE""")," post title ")</f>
        <v> post title </v>
      </c>
      <c r="B30" s="6" t="str">
        <f>IFERROR(__xludf.DUMMYFUNCTION("""COMPUTED_VALUE"""),"DIVOLUCI")</f>
        <v>DIVOLUCI</v>
      </c>
      <c r="C30" s="6" t="str">
        <f>IFERROR(__xludf.DUMMYFUNCTION("""COMPUTED_VALUE""")," /post title ")</f>
        <v> /post title </v>
      </c>
      <c r="D30" s="6" t="str">
        <f>IFERROR(__xludf.DUMMYFUNCTION("""COMPUTED_VALUE"""),"Divoluci is an innovative tool to orientate patients between health 
professionals in order to ameliorate relationships between local medicine 
care...")</f>
        <v>Divoluci is an innovative tool to orientate patients between health 
professionals in order to ameliorate relationships between local medicine 
care...</v>
      </c>
      <c r="E30" s="6" t="str">
        <f>IFERROR(__xludf.DUMMYFUNCTION("""COMPUTED_VALUE"""),"discover this member")</f>
        <v>discover this member</v>
      </c>
    </row>
    <row r="31">
      <c r="A31" s="6" t="str">
        <f>IFERROR(__xludf.DUMMYFUNCTION("""COMPUTED_VALUE""")," post title ")</f>
        <v> post title </v>
      </c>
      <c r="B31" s="6" t="str">
        <f>IFERROR(__xludf.DUMMYFUNCTION("""COMPUTED_VALUE"""),"ELISABETH RICHARD BD CONSULTING")</f>
        <v>ELISABETH RICHARD BD CONSULTING</v>
      </c>
      <c r="C31" s="6" t="str">
        <f>IFERROR(__xludf.DUMMYFUNCTION("""COMPUTED_VALUE""")," /post title ")</f>
        <v> /post title </v>
      </c>
      <c r="D31" s="6" t="str">
        <f>IFERROR(__xludf.DUMMYFUNCTION("""COMPUTED_VALUE"""),"Elisabeth Richard BD Consulting offers a business development (France and 
International) expertise in the fields of health and innovation having...")</f>
        <v>Elisabeth Richard BD Consulting offers a business development (France and 
International) expertise in the fields of health and innovation having...</v>
      </c>
      <c r="E31" s="6" t="str">
        <f>IFERROR(__xludf.DUMMYFUNCTION("""COMPUTED_VALUE"""),"discover this member")</f>
        <v>discover this member</v>
      </c>
    </row>
    <row r="32">
      <c r="A32" s="6" t="str">
        <f>IFERROR(__xludf.DUMMYFUNCTION("""COMPUTED_VALUE""")," post title ")</f>
        <v> post title </v>
      </c>
      <c r="B32" s="6" t="str">
        <f>IFERROR(__xludf.DUMMYFUNCTION("""COMPUTED_VALUE"""),"EVAMED")</f>
        <v>EVAMED</v>
      </c>
      <c r="C32" s="6" t="str">
        <f>IFERROR(__xludf.DUMMYFUNCTION("""COMPUTED_VALUE""")," /post title ")</f>
        <v> /post title </v>
      </c>
      <c r="D32" s="6" t="str">
        <f>IFERROR(__xludf.DUMMYFUNCTION("""COMPUTED_VALUE"""),"Evamed is a CRO expert in the clinical evaluations of medical 
devices.Fabien Leclercq – Evamed Founded in 2005 by Fabien...")</f>
        <v>Evamed is a CRO expert in the clinical evaluations of medical 
devices.Fabien Leclercq – Evamed Founded in 2005 by Fabien...</v>
      </c>
      <c r="E32" s="6" t="str">
        <f>IFERROR(__xludf.DUMMYFUNCTION("""COMPUTED_VALUE"""),"discover this member")</f>
        <v>discover this member</v>
      </c>
    </row>
    <row r="33">
      <c r="A33" s="6" t="str">
        <f>IFERROR(__xludf.DUMMYFUNCTION("""COMPUTED_VALUE""")," post title ")</f>
        <v> post title </v>
      </c>
      <c r="B33" s="6" t="str">
        <f>IFERROR(__xludf.DUMMYFUNCTION("""COMPUTED_VALUE"""),"EXPORTIS")</f>
        <v>EXPORTIS</v>
      </c>
      <c r="C33" s="6" t="str">
        <f>IFERROR(__xludf.DUMMYFUNCTION("""COMPUTED_VALUE""")," /post title ")</f>
        <v> /post title </v>
      </c>
      <c r="D33" s="6" t="str">
        <f>IFERROR(__xludf.DUMMYFUNCTION("""COMPUTED_VALUE"""),"Exportis, based in Angers, is a marketing and sales services platform for 
startups and SMEs in the health sector, wishing...")</f>
        <v>Exportis, based in Angers, is a marketing and sales services platform for 
startups and SMEs in the health sector, wishing...</v>
      </c>
      <c r="E33" s="6" t="str">
        <f>IFERROR(__xludf.DUMMYFUNCTION("""COMPUTED_VALUE"""),"discover this member")</f>
        <v>discover this member</v>
      </c>
    </row>
    <row r="34">
      <c r="A34" s="6" t="str">
        <f>IFERROR(__xludf.DUMMYFUNCTION("""COMPUTED_VALUE""")," post title ")</f>
        <v> post title </v>
      </c>
      <c r="B34" s="6" t="str">
        <f>IFERROR(__xludf.DUMMYFUNCTION("""COMPUTED_VALUE"""),"FEDMIND")</f>
        <v>FEDMIND</v>
      </c>
      <c r="C34" s="6" t="str">
        <f>IFERROR(__xludf.DUMMYFUNCTION("""COMPUTED_VALUE""")," /post title ")</f>
        <v> /post title </v>
      </c>
      <c r="D34" s="6" t="str">
        <f>IFERROR(__xludf.DUMMYFUNCTION("""COMPUTED_VALUE"""),"FEDMIND is an app created for therapetic education and obesity prevention, 
called OBEGITAL. In order to prevent, help medical care...")</f>
        <v>FEDMIND is an app created for therapetic education and obesity prevention, 
called OBEGITAL. In order to prevent, help medical care...</v>
      </c>
      <c r="E34" s="6" t="str">
        <f>IFERROR(__xludf.DUMMYFUNCTION("""COMPUTED_VALUE"""),"discover this member")</f>
        <v>discover this member</v>
      </c>
    </row>
    <row r="35">
      <c r="A35" s="6" t="str">
        <f>IFERROR(__xludf.DUMMYFUNCTION("""COMPUTED_VALUE""")," post title ")</f>
        <v> post title </v>
      </c>
      <c r="B35" s="6" t="str">
        <f>IFERROR(__xludf.DUMMYFUNCTION("""COMPUTED_VALUE"""),"FÉLIX SANTÉ")</f>
        <v>FÉLIX SANTÉ</v>
      </c>
      <c r="C35" s="6" t="str">
        <f>IFERROR(__xludf.DUMMYFUNCTION("""COMPUTED_VALUE""")," /post title ")</f>
        <v> /post title </v>
      </c>
      <c r="D35" s="6" t="str">
        <f>IFERROR(__xludf.DUMMYFUNCTION("""COMPUTED_VALUE"""),"Félix Santé is the solution for the digital health prevention of the 
connected empowered patient. Health institutions, Doctors, welcome to...")</f>
        <v>Félix Santé is the solution for the digital health prevention of the 
connected empowered patient. Health institutions, Doctors, welcome to...</v>
      </c>
      <c r="E35" s="6" t="str">
        <f>IFERROR(__xludf.DUMMYFUNCTION("""COMPUTED_VALUE"""),"discover this member")</f>
        <v>discover this member</v>
      </c>
    </row>
    <row r="36">
      <c r="A36" s="6" t="str">
        <f>IFERROR(__xludf.DUMMYFUNCTION("""COMPUTED_VALUE""")," post title ")</f>
        <v> post title </v>
      </c>
      <c r="B36" s="6" t="str">
        <f>IFERROR(__xludf.DUMMYFUNCTION("""COMPUTED_VALUE"""),"GCS E-SANTÉ DES PAYS DE LA LOIRE")</f>
        <v>GCS E-SANTÉ DES PAYS DE LA LOIRE</v>
      </c>
      <c r="C36" s="6" t="str">
        <f>IFERROR(__xludf.DUMMYFUNCTION("""COMPUTED_VALUE""")," /post title ")</f>
        <v> /post title </v>
      </c>
      <c r="D36" s="6"/>
      <c r="E36" s="6" t="str">
        <f>IFERROR(__xludf.DUMMYFUNCTION("""COMPUTED_VALUE"""),"discover this member")</f>
        <v>discover this member</v>
      </c>
    </row>
    <row r="37">
      <c r="A37" s="6" t="str">
        <f>IFERROR(__xludf.DUMMYFUNCTION("""COMPUTED_VALUE""")," post title ")</f>
        <v> post title </v>
      </c>
      <c r="B37" s="6" t="str">
        <f>IFERROR(__xludf.DUMMYFUNCTION("""COMPUTED_VALUE"""),"GENOUROB")</f>
        <v>GENOUROB</v>
      </c>
      <c r="C37" s="6" t="str">
        <f>IFERROR(__xludf.DUMMYFUNCTION("""COMPUTED_VALUE""")," /post title ")</f>
        <v> /post title </v>
      </c>
      <c r="D37" s="6" t="str">
        <f>IFERROR(__xludf.DUMMYFUNCTION("""COMPUTED_VALUE"""),"Genourob design, produce and commercialize medical devices for helping ACL 
tears diagnosis and for rehabilitation and fitness. Genourob has become...")</f>
        <v>Genourob design, produce and commercialize medical devices for helping ACL 
tears diagnosis and for rehabilitation and fitness. Genourob has become...</v>
      </c>
      <c r="E37" s="6" t="str">
        <f>IFERROR(__xludf.DUMMYFUNCTION("""COMPUTED_VALUE"""),"discover this member")</f>
        <v>discover this member</v>
      </c>
    </row>
    <row r="38">
      <c r="A38" s="6" t="str">
        <f>IFERROR(__xludf.DUMMYFUNCTION("""COMPUTED_VALUE""")," post title ")</f>
        <v> post title </v>
      </c>
      <c r="B38" s="6" t="str">
        <f>IFERROR(__xludf.DUMMYFUNCTION("""COMPUTED_VALUE"""),"GENSENSOR")</f>
        <v>GENSENSOR</v>
      </c>
      <c r="C38" s="6" t="str">
        <f>IFERROR(__xludf.DUMMYFUNCTION("""COMPUTED_VALUE""")," /post title ")</f>
        <v> /post title </v>
      </c>
      <c r="D38" s="6" t="str">
        <f>IFERROR(__xludf.DUMMYFUNCTION("""COMPUTED_VALUE"""),"By 2024, forecasts indicate that 50% of the top 100 most prescribed drugs 
will be biologics, accounting for 32% of...")</f>
        <v>By 2024, forecasts indicate that 50% of the top 100 most prescribed drugs 
will be biologics, accounting for 32% of...</v>
      </c>
      <c r="E38" s="6" t="str">
        <f>IFERROR(__xludf.DUMMYFUNCTION("""COMPUTED_VALUE"""),"discover this member")</f>
        <v>discover this member</v>
      </c>
    </row>
    <row r="39">
      <c r="A39" s="6" t="str">
        <f>IFERROR(__xludf.DUMMYFUNCTION("""COMPUTED_VALUE""")," post title ")</f>
        <v> post title </v>
      </c>
      <c r="B39" s="6" t="str">
        <f>IFERROR(__xludf.DUMMYFUNCTION("""COMPUTED_VALUE"""),"GREEN MEDICAL SOFTWARE")</f>
        <v>GREEN MEDICAL SOFTWARE</v>
      </c>
      <c r="C39" s="6" t="str">
        <f>IFERROR(__xludf.DUMMYFUNCTION("""COMPUTED_VALUE""")," /post title ")</f>
        <v> /post title </v>
      </c>
      <c r="D39" s="6"/>
      <c r="E39" s="6" t="str">
        <f>IFERROR(__xludf.DUMMYFUNCTION("""COMPUTED_VALUE"""),"discover this member")</f>
        <v>discover this member</v>
      </c>
    </row>
    <row r="40">
      <c r="A40" s="6" t="str">
        <f>IFERROR(__xludf.DUMMYFUNCTION("""COMPUTED_VALUE""")," post title ")</f>
        <v> post title </v>
      </c>
      <c r="B40" s="6" t="str">
        <f>IFERROR(__xludf.DUMMYFUNCTION("""COMPUTED_VALUE"""),"GUTY CARE")</f>
        <v>GUTY CARE</v>
      </c>
      <c r="C40" s="6" t="str">
        <f>IFERROR(__xludf.DUMMYFUNCTION("""COMPUTED_VALUE""")," /post title ")</f>
        <v> /post title </v>
      </c>
      <c r="D40" s="6" t="str">
        <f>IFERROR(__xludf.DUMMYFUNCTION("""COMPUTED_VALUE"""),"Guty is the intelligent assistant who helps people with digestive 
disorders. The application detects what triggers the symptoms in the...")</f>
        <v>Guty is the intelligent assistant who helps people with digestive 
disorders. The application detects what triggers the symptoms in the...</v>
      </c>
      <c r="E40" s="6" t="str">
        <f>IFERROR(__xludf.DUMMYFUNCTION("""COMPUTED_VALUE"""),"discover this member")</f>
        <v>discover this member</v>
      </c>
    </row>
    <row r="41">
      <c r="A41" s="6" t="str">
        <f>IFERROR(__xludf.DUMMYFUNCTION("""COMPUTED_VALUE""")," post title ")</f>
        <v> post title </v>
      </c>
      <c r="B41" s="6" t="str">
        <f>IFERROR(__xludf.DUMMYFUNCTION("""COMPUTED_VALUE"""),"HC NEXT")</f>
        <v>HC NEXT</v>
      </c>
      <c r="C41" s="6" t="str">
        <f>IFERROR(__xludf.DUMMYFUNCTION("""COMPUTED_VALUE""")," /post title ")</f>
        <v> /post title </v>
      </c>
      <c r="D41" s="6" t="str">
        <f>IFERROR(__xludf.DUMMYFUNCTION("""COMPUTED_VALUE"""),"Are you having trouble meeting your deadlines or your budget? Trouble to 
prioritize your project portfolio? Are you looking to...")</f>
        <v>Are you having trouble meeting your deadlines or your budget? Trouble to 
prioritize your project portfolio? Are you looking to...</v>
      </c>
      <c r="E41" s="6" t="str">
        <f>IFERROR(__xludf.DUMMYFUNCTION("""COMPUTED_VALUE"""),"discover this member")</f>
        <v>discover this member</v>
      </c>
    </row>
    <row r="42">
      <c r="A42" s="6" t="str">
        <f>IFERROR(__xludf.DUMMYFUNCTION("""COMPUTED_VALUE""")," post title ")</f>
        <v> post title </v>
      </c>
      <c r="B42" s="6" t="str">
        <f>IFERROR(__xludf.DUMMYFUNCTION("""COMPUTED_VALUE"""),"HERA-MI")</f>
        <v>HERA-MI</v>
      </c>
      <c r="C42" s="6" t="str">
        <f>IFERROR(__xludf.DUMMYFUNCTION("""COMPUTED_VALUE""")," /post title ")</f>
        <v> /post title </v>
      </c>
      <c r="D42" s="6"/>
      <c r="E42" s="6" t="str">
        <f>IFERROR(__xludf.DUMMYFUNCTION("""COMPUTED_VALUE"""),"discover this member")</f>
        <v>discover this member</v>
      </c>
    </row>
    <row r="43">
      <c r="A43" s="6" t="str">
        <f>IFERROR(__xludf.DUMMYFUNCTION("""COMPUTED_VALUE""")," post title ")</f>
        <v> post title </v>
      </c>
      <c r="B43" s="6" t="str">
        <f>IFERROR(__xludf.DUMMYFUNCTION("""COMPUTED_VALUE"""),"HOPPEN")</f>
        <v>HOPPEN</v>
      </c>
      <c r="C43" s="6" t="str">
        <f>IFERROR(__xludf.DUMMYFUNCTION("""COMPUTED_VALUE""")," /post title ")</f>
        <v> /post title </v>
      </c>
      <c r="D43" s="6" t="str">
        <f>IFERROR(__xludf.DUMMYFUNCTION("""COMPUTED_VALUE"""),"HOPPEN develops technological tools and solutions intended to support 
hospitals and clinics in their digital transformation, providing concrete 
responses to...")</f>
        <v>HOPPEN develops technological tools and solutions intended to support 
hospitals and clinics in their digital transformation, providing concrete 
responses to...</v>
      </c>
      <c r="E43" s="6" t="str">
        <f>IFERROR(__xludf.DUMMYFUNCTION("""COMPUTED_VALUE"""),"discover this member")</f>
        <v>discover this member</v>
      </c>
    </row>
    <row r="44">
      <c r="A44" s="8" t="str">
        <f>IFERROR(__xludf.DUMMYFUNCTION("IMPORTXML(C1,C2)")," post title ")</f>
        <v> post title </v>
      </c>
      <c r="B44" s="6" t="str">
        <f>IFERROR(__xludf.DUMMYFUNCTION("""COMPUTED_VALUE"""),"HPR SOLUTIONS")</f>
        <v>HPR SOLUTIONS</v>
      </c>
      <c r="C44" s="6" t="str">
        <f>IFERROR(__xludf.DUMMYFUNCTION("""COMPUTED_VALUE""")," /post title ")</f>
        <v> /post title </v>
      </c>
      <c r="D44" s="6" t="str">
        <f>IFERROR(__xludf.DUMMYFUNCTION("""COMPUTED_VALUE"""),"• HPR solutions develops and sales soft mobility solutions called the 
Urbaner range: 3 electrically assisted tricycles, one of which...")</f>
        <v>• HPR solutions develops and sales soft mobility solutions called the 
Urbaner range: 3 electrically assisted tricycles, one of which...</v>
      </c>
      <c r="E44" s="6" t="str">
        <f>IFERROR(__xludf.DUMMYFUNCTION("""COMPUTED_VALUE"""),"discover this member")</f>
        <v>discover this member</v>
      </c>
    </row>
    <row r="45">
      <c r="A45" s="6" t="str">
        <f>IFERROR(__xludf.DUMMYFUNCTION("""COMPUTED_VALUE""")," post title ")</f>
        <v> post title </v>
      </c>
      <c r="B45" s="6" t="str">
        <f>IFERROR(__xludf.DUMMYFUNCTION("""COMPUTED_VALUE"""),"I-SEP")</f>
        <v>I-SEP</v>
      </c>
      <c r="C45" s="6" t="str">
        <f>IFERROR(__xludf.DUMMYFUNCTION("""COMPUTED_VALUE""")," /post title ")</f>
        <v> /post title </v>
      </c>
      <c r="D45" s="6" t="str">
        <f>IFERROR(__xludf.DUMMYFUNCTION("""COMPUTED_VALUE"""),"Medical device for autotransfusion")</f>
        <v>Medical device for autotransfusion</v>
      </c>
      <c r="E45" s="6" t="str">
        <f>IFERROR(__xludf.DUMMYFUNCTION("""COMPUTED_VALUE"""),"discover this member")</f>
        <v>discover this member</v>
      </c>
    </row>
    <row r="46">
      <c r="A46" s="6" t="str">
        <f>IFERROR(__xludf.DUMMYFUNCTION("""COMPUTED_VALUE""")," post title ")</f>
        <v> post title </v>
      </c>
      <c r="B46" s="6" t="str">
        <f>IFERROR(__xludf.DUMMYFUNCTION("""COMPUTED_VALUE"""),"IMAGIN-VR")</f>
        <v>IMAGIN-VR</v>
      </c>
      <c r="C46" s="6" t="str">
        <f>IFERROR(__xludf.DUMMYFUNCTION("""COMPUTED_VALUE""")," /post title ")</f>
        <v> /post title </v>
      </c>
      <c r="D46" s="6" t="str">
        <f>IFERROR(__xludf.DUMMYFUNCTION("""COMPUTED_VALUE"""),"Imagin VR is a company specialised in designing immersive, interactive and 
collaborative Virtual Reality devices, as well as developing VR...")</f>
        <v>Imagin VR is a company specialised in designing immersive, interactive and 
collaborative Virtual Reality devices, as well as developing VR...</v>
      </c>
      <c r="E46" s="6" t="str">
        <f>IFERROR(__xludf.DUMMYFUNCTION("""COMPUTED_VALUE"""),"discover this member")</f>
        <v>discover this member</v>
      </c>
    </row>
    <row r="47">
      <c r="A47" s="6" t="str">
        <f>IFERROR(__xludf.DUMMYFUNCTION("""COMPUTED_VALUE""")," post title ")</f>
        <v> post title </v>
      </c>
      <c r="B47" s="6" t="str">
        <f>IFERROR(__xludf.DUMMYFUNCTION("""COMPUTED_VALUE"""),"INES")</f>
        <v>INES</v>
      </c>
      <c r="C47" s="6" t="str">
        <f>IFERROR(__xludf.DUMMYFUNCTION("""COMPUTED_VALUE""")," /post title ")</f>
        <v> /post title </v>
      </c>
      <c r="D47" s="6" t="str">
        <f>IFERROR(__xludf.DUMMYFUNCTION("""COMPUTED_VALUE"""),"InES is a design house company in electronics (hardware and embedded 
software) and a manufacturer for electronics’s systems. Our business...")</f>
        <v>InES is a design house company in electronics (hardware and embedded 
software) and a manufacturer for electronics’s systems. Our business...</v>
      </c>
      <c r="E47" s="6" t="str">
        <f>IFERROR(__xludf.DUMMYFUNCTION("""COMPUTED_VALUE"""),"discover this member")</f>
        <v>discover this member</v>
      </c>
    </row>
    <row r="48">
      <c r="A48" s="6" t="str">
        <f>IFERROR(__xludf.DUMMYFUNCTION("""COMPUTED_VALUE""")," post title ")</f>
        <v> post title </v>
      </c>
      <c r="B48" s="6" t="str">
        <f>IFERROR(__xludf.DUMMYFUNCTION("""COMPUTED_VALUE"""),"INSCOPER")</f>
        <v>INSCOPER</v>
      </c>
      <c r="C48" s="6" t="str">
        <f>IFERROR(__xludf.DUMMYFUNCTION("""COMPUTED_VALUE""")," /post title ")</f>
        <v> /post title </v>
      </c>
      <c r="D48" s="6"/>
      <c r="E48" s="6" t="str">
        <f>IFERROR(__xludf.DUMMYFUNCTION("""COMPUTED_VALUE"""),"discover this member")</f>
        <v>discover this member</v>
      </c>
    </row>
    <row r="49">
      <c r="A49" s="6" t="str">
        <f>IFERROR(__xludf.DUMMYFUNCTION("""COMPUTED_VALUE""")," post title ")</f>
        <v> post title </v>
      </c>
      <c r="B49" s="6" t="str">
        <f>IFERROR(__xludf.DUMMYFUNCTION("""COMPUTED_VALUE"""),"KAER LABS")</f>
        <v>KAER LABS</v>
      </c>
      <c r="C49" s="6" t="str">
        <f>IFERROR(__xludf.DUMMYFUNCTION("""COMPUTED_VALUE""")," /post title ")</f>
        <v> /post title </v>
      </c>
      <c r="D49" s="6" t="str">
        <f>IFERROR(__xludf.DUMMYFUNCTION("""COMPUTED_VALUE"""),"Kaer Labs design, manufacture and sell optical imaging systems for 
biomedical research.")</f>
        <v>Kaer Labs design, manufacture and sell optical imaging systems for 
biomedical research.</v>
      </c>
      <c r="E49" s="6" t="str">
        <f>IFERROR(__xludf.DUMMYFUNCTION("""COMPUTED_VALUE"""),"discover this member")</f>
        <v>discover this member</v>
      </c>
    </row>
    <row r="50">
      <c r="A50" s="6" t="str">
        <f>IFERROR(__xludf.DUMMYFUNCTION("""COMPUTED_VALUE""")," post title ")</f>
        <v> post title </v>
      </c>
      <c r="B50" s="6" t="str">
        <f>IFERROR(__xludf.DUMMYFUNCTION("""COMPUTED_VALUE"""),"KEOSYS CORPORATION")</f>
        <v>KEOSYS CORPORATION</v>
      </c>
      <c r="C50" s="6" t="str">
        <f>IFERROR(__xludf.DUMMYFUNCTION("""COMPUTED_VALUE""")," /post title ")</f>
        <v> /post title </v>
      </c>
      <c r="D50" s="6" t="str">
        <f>IFERROR(__xludf.DUMMYFUNCTION("""COMPUTED_VALUE"""),"Application software publisher in medical Imaging and related services")</f>
        <v>Application software publisher in medical Imaging and related services</v>
      </c>
      <c r="E50" s="6" t="str">
        <f>IFERROR(__xludf.DUMMYFUNCTION("""COMPUTED_VALUE"""),"discover this member")</f>
        <v>discover this member</v>
      </c>
    </row>
    <row r="51">
      <c r="A51" s="6" t="str">
        <f>IFERROR(__xludf.DUMMYFUNCTION("""COMPUTED_VALUE""")," post title ")</f>
        <v> post title </v>
      </c>
      <c r="B51" s="6" t="str">
        <f>IFERROR(__xludf.DUMMYFUNCTION("""COMPUTED_VALUE"""),"KIPLIN")</f>
        <v>KIPLIN</v>
      </c>
      <c r="C51" s="6" t="str">
        <f>IFERROR(__xludf.DUMMYFUNCTION("""COMPUTED_VALUE""")," /post title ")</f>
        <v> /post title </v>
      </c>
      <c r="D51" s="6"/>
      <c r="E51" s="6" t="str">
        <f>IFERROR(__xludf.DUMMYFUNCTION("""COMPUTED_VALUE"""),"discover this member")</f>
        <v>discover this member</v>
      </c>
    </row>
    <row r="52">
      <c r="A52" s="6" t="str">
        <f>IFERROR(__xludf.DUMMYFUNCTION("""COMPUTED_VALUE""")," post title ")</f>
        <v> post title </v>
      </c>
      <c r="B52" s="6" t="str">
        <f>IFERROR(__xludf.DUMMYFUNCTION("""COMPUTED_VALUE"""),"L’OEIL ELECTRIQUE")</f>
        <v>L’OEIL ELECTRIQUE</v>
      </c>
      <c r="C52" s="6" t="str">
        <f>IFERROR(__xludf.DUMMYFUNCTION("""COMPUTED_VALUE""")," /post title ")</f>
        <v> /post title </v>
      </c>
      <c r="D52" s="6" t="str">
        <f>IFERROR(__xludf.DUMMYFUNCTION("""COMPUTED_VALUE"""),"L’OEIL ELECTRIQUE is an audiovisual production agency that produces video 
content for business communication. LOE SANTÉ is part of LOEIL...")</f>
        <v>L’OEIL ELECTRIQUE is an audiovisual production agency that produces video 
content for business communication. LOE SANTÉ is part of LOEIL...</v>
      </c>
      <c r="E52" s="6" t="str">
        <f>IFERROR(__xludf.DUMMYFUNCTION("""COMPUTED_VALUE"""),"discover this member")</f>
        <v>discover this member</v>
      </c>
    </row>
    <row r="53">
      <c r="A53" s="6" t="str">
        <f>IFERROR(__xludf.DUMMYFUNCTION("""COMPUTED_VALUE""")," post title ")</f>
        <v> post title </v>
      </c>
      <c r="B53" s="6" t="str">
        <f>IFERROR(__xludf.DUMMYFUNCTION("""COMPUTED_VALUE"""),"LEARN &amp; GO")</f>
        <v>LEARN &amp; GO</v>
      </c>
      <c r="C53" s="6" t="str">
        <f>IFERROR(__xludf.DUMMYFUNCTION("""COMPUTED_VALUE""")," /post title ")</f>
        <v> /post title </v>
      </c>
      <c r="D53" s="6" t="str">
        <f>IFERROR(__xludf.DUMMYFUNCTION("""COMPUTED_VALUE"""),"Kaligo digital learning book, initially dedicated to early childhood, is 
based on the stages of the active learning approach: production...")</f>
        <v>Kaligo digital learning book, initially dedicated to early childhood, is 
based on the stages of the active learning approach: production...</v>
      </c>
      <c r="E53" s="6" t="str">
        <f>IFERROR(__xludf.DUMMYFUNCTION("""COMPUTED_VALUE"""),"discover this member")</f>
        <v>discover this member</v>
      </c>
    </row>
    <row r="54">
      <c r="A54" s="6" t="str">
        <f>IFERROR(__xludf.DUMMYFUNCTION("""COMPUTED_VALUE""")," post title ")</f>
        <v> post title </v>
      </c>
      <c r="B54" s="6" t="str">
        <f>IFERROR(__xludf.DUMMYFUNCTION("""COMPUTED_VALUE"""),"LYV HEALTHCARE")</f>
        <v>LYV HEALTHCARE</v>
      </c>
      <c r="C54" s="6" t="str">
        <f>IFERROR(__xludf.DUMMYFUNCTION("""COMPUTED_VALUE""")," /post title ")</f>
        <v> /post title </v>
      </c>
      <c r="D54" s="6" t="str">
        <f>IFERROR(__xludf.DUMMYFUNCTION("""COMPUTED_VALUE"""),"“At the root of Lyv, there is the patient’s reality, from women suffering 
from endometriosis. Women, who had to go...")</f>
        <v>“At the root of Lyv, there is the patient’s reality, from women suffering 
from endometriosis. Women, who had to go...</v>
      </c>
      <c r="E54" s="6" t="str">
        <f>IFERROR(__xludf.DUMMYFUNCTION("""COMPUTED_VALUE"""),"discover this member")</f>
        <v>discover this member</v>
      </c>
    </row>
    <row r="55">
      <c r="A55" s="6" t="str">
        <f>IFERROR(__xludf.DUMMYFUNCTION("""COMPUTED_VALUE""")," post title ")</f>
        <v> post title </v>
      </c>
      <c r="B55" s="6" t="str">
        <f>IFERROR(__xludf.DUMMYFUNCTION("""COMPUTED_VALUE"""),"MEDSYNAPPS")</f>
        <v>MEDSYNAPPS</v>
      </c>
      <c r="C55" s="6" t="str">
        <f>IFERROR(__xludf.DUMMYFUNCTION("""COMPUTED_VALUE""")," /post title ")</f>
        <v> /post title </v>
      </c>
      <c r="D55" s="6" t="str">
        <f>IFERROR(__xludf.DUMMYFUNCTION("""COMPUTED_VALUE"""),"Founded in France in 2017, MedSynApps provides a full range of consulting 
and development services for the medical and enterprise...")</f>
        <v>Founded in France in 2017, MedSynApps provides a full range of consulting 
and development services for the medical and enterprise...</v>
      </c>
      <c r="E55" s="6" t="str">
        <f>IFERROR(__xludf.DUMMYFUNCTION("""COMPUTED_VALUE"""),"discover this member")</f>
        <v>discover this member</v>
      </c>
    </row>
    <row r="56">
      <c r="A56" s="6" t="str">
        <f>IFERROR(__xludf.DUMMYFUNCTION("""COMPUTED_VALUE""")," post title ")</f>
        <v> post title </v>
      </c>
      <c r="B56" s="6" t="str">
        <f>IFERROR(__xludf.DUMMYFUNCTION("""COMPUTED_VALUE"""),"MOBIDYS / MAJENAT SAS")</f>
        <v>MOBIDYS / MAJENAT SAS</v>
      </c>
      <c r="C56" s="6" t="str">
        <f>IFERROR(__xludf.DUMMYFUNCTION("""COMPUTED_VALUE""")," /post title ")</f>
        <v> /post title </v>
      </c>
      <c r="D56" s="6"/>
      <c r="E56" s="6" t="str">
        <f>IFERROR(__xludf.DUMMYFUNCTION("""COMPUTED_VALUE"""),"discover this member")</f>
        <v>discover this member</v>
      </c>
    </row>
    <row r="57">
      <c r="A57" s="6" t="str">
        <f>IFERROR(__xludf.DUMMYFUNCTION("""COMPUTED_VALUE""")," post title ")</f>
        <v> post title </v>
      </c>
      <c r="B57" s="6" t="str">
        <f>IFERROR(__xludf.DUMMYFUNCTION("""COMPUTED_VALUE"""),"MOUL’ANJOU INDUSTRIE")</f>
        <v>MOUL’ANJOU INDUSTRIE</v>
      </c>
      <c r="C57" s="6" t="str">
        <f>IFERROR(__xludf.DUMMYFUNCTION("""COMPUTED_VALUE""")," /post title ")</f>
        <v> /post title </v>
      </c>
      <c r="D57" s="6"/>
      <c r="E57" s="6" t="str">
        <f>IFERROR(__xludf.DUMMYFUNCTION("""COMPUTED_VALUE"""),"discover this member")</f>
        <v>discover this member</v>
      </c>
    </row>
    <row r="58">
      <c r="A58" s="6" t="str">
        <f>IFERROR(__xludf.DUMMYFUNCTION("""COMPUTED_VALUE""")," post title ")</f>
        <v> post title </v>
      </c>
      <c r="B58" s="6" t="str">
        <f>IFERROR(__xludf.DUMMYFUNCTION("""COMPUTED_VALUE"""),"MY SERIOUS GAME")</f>
        <v>MY SERIOUS GAME</v>
      </c>
      <c r="C58" s="6" t="str">
        <f>IFERROR(__xludf.DUMMYFUNCTION("""COMPUTED_VALUE""")," /post title ")</f>
        <v> /post title </v>
      </c>
      <c r="D58" s="6" t="str">
        <f>IFERROR(__xludf.DUMMYFUNCTION("""COMPUTED_VALUE"""),"Founded in 2014, My-Serious-Game is the french leader in digital training. 
We rely on our AFNOR certified educational method to...")</f>
        <v>Founded in 2014, My-Serious-Game is the french leader in digital training. 
We rely on our AFNOR certified educational method to...</v>
      </c>
      <c r="E58" s="6" t="str">
        <f>IFERROR(__xludf.DUMMYFUNCTION("""COMPUTED_VALUE"""),"discover this member")</f>
        <v>discover this member</v>
      </c>
    </row>
    <row r="59">
      <c r="A59" s="6" t="str">
        <f>IFERROR(__xludf.DUMMYFUNCTION("""COMPUTED_VALUE""")," post title ")</f>
        <v> post title </v>
      </c>
      <c r="B59" s="6" t="str">
        <f>IFERROR(__xludf.DUMMYFUNCTION("""COMPUTED_VALUE"""),"NEUROKYMA")</f>
        <v>NEUROKYMA</v>
      </c>
      <c r="C59" s="6" t="str">
        <f>IFERROR(__xludf.DUMMYFUNCTION("""COMPUTED_VALUE""")," /post title ")</f>
        <v> /post title </v>
      </c>
      <c r="D59" s="6" t="str">
        <f>IFERROR(__xludf.DUMMYFUNCTION("""COMPUTED_VALUE"""),"Our mission is to improve the diagnosis, to monitor the efficacy of the 
molecule and, ultimately, the treatment of diseases...")</f>
        <v>Our mission is to improve the diagnosis, to monitor the efficacy of the 
molecule and, ultimately, the treatment of diseases...</v>
      </c>
      <c r="E59" s="6" t="str">
        <f>IFERROR(__xludf.DUMMYFUNCTION("""COMPUTED_VALUE"""),"discover this member")</f>
        <v>discover this member</v>
      </c>
    </row>
    <row r="60">
      <c r="A60" s="6" t="str">
        <f>IFERROR(__xludf.DUMMYFUNCTION("""COMPUTED_VALUE""")," post title ")</f>
        <v> post title </v>
      </c>
      <c r="B60" s="6" t="str">
        <f>IFERROR(__xludf.DUMMYFUNCTION("""COMPUTED_VALUE"""),"NG BIOTECH")</f>
        <v>NG BIOTECH</v>
      </c>
      <c r="C60" s="6" t="str">
        <f>IFERROR(__xludf.DUMMYFUNCTION("""COMPUTED_VALUE""")," /post title ")</f>
        <v> /post title </v>
      </c>
      <c r="D60" s="6" t="str">
        <f>IFERROR(__xludf.DUMMYFUNCTION("""COMPUTED_VALUE"""),"Manufacturer of rapid, mobile and connected in vitro diagnostics.")</f>
        <v>Manufacturer of rapid, mobile and connected in vitro diagnostics.</v>
      </c>
      <c r="E60" s="6" t="str">
        <f>IFERROR(__xludf.DUMMYFUNCTION("""COMPUTED_VALUE"""),"discover this member")</f>
        <v>discover this member</v>
      </c>
    </row>
    <row r="61">
      <c r="A61" s="6" t="str">
        <f>IFERROR(__xludf.DUMMYFUNCTION("""COMPUTED_VALUE""")," post title ")</f>
        <v> post title </v>
      </c>
      <c r="B61" s="6" t="str">
        <f>IFERROR(__xludf.DUMMYFUNCTION("""COMPUTED_VALUE"""),"NUCLEOSYN")</f>
        <v>NUCLEOSYN</v>
      </c>
      <c r="C61" s="6" t="str">
        <f>IFERROR(__xludf.DUMMYFUNCTION("""COMPUTED_VALUE""")," /post title ")</f>
        <v> /post title </v>
      </c>
      <c r="D61" s="6"/>
      <c r="E61" s="6" t="str">
        <f>IFERROR(__xludf.DUMMYFUNCTION("""COMPUTED_VALUE"""),"discover this member")</f>
        <v>discover this member</v>
      </c>
    </row>
    <row r="62">
      <c r="A62" s="6" t="str">
        <f>IFERROR(__xludf.DUMMYFUNCTION("""COMPUTED_VALUE""")," post title ")</f>
        <v> post title </v>
      </c>
      <c r="B62" s="6" t="str">
        <f>IFERROR(__xludf.DUMMYFUNCTION("""COMPUTED_VALUE"""),"OCTOPIZE – MIMETHIK DATA")</f>
        <v>OCTOPIZE – MIMETHIK DATA</v>
      </c>
      <c r="C62" s="6" t="str">
        <f>IFERROR(__xludf.DUMMYFUNCTION("""COMPUTED_VALUE""")," /post title ")</f>
        <v> /post title </v>
      </c>
      <c r="D62" s="6" t="str">
        <f>IFERROR(__xludf.DUMMYFUNCTION("""COMPUTED_VALUE"""),"The technology of OCTOPIZE – Mimethik Data (ex WeData) is the result of 5 
years of R&amp;D. Today, OCTOPIZE –...")</f>
        <v>The technology of OCTOPIZE – Mimethik Data (ex WeData) is the result of 5 
years of R&amp;D. Today, OCTOPIZE –...</v>
      </c>
      <c r="E62" s="6" t="str">
        <f>IFERROR(__xludf.DUMMYFUNCTION("""COMPUTED_VALUE"""),"discover this member")</f>
        <v>discover this member</v>
      </c>
    </row>
    <row r="63">
      <c r="A63" s="6" t="str">
        <f>IFERROR(__xludf.DUMMYFUNCTION("""COMPUTED_VALUE""")," post title ")</f>
        <v> post title </v>
      </c>
      <c r="B63" s="6" t="str">
        <f>IFERROR(__xludf.DUMMYFUNCTION("""COMPUTED_VALUE"""),"OEM DEVELOPMENT")</f>
        <v>OEM DEVELOPMENT</v>
      </c>
      <c r="C63" s="6" t="str">
        <f>IFERROR(__xludf.DUMMYFUNCTION("""COMPUTED_VALUE""")," /post title ")</f>
        <v> /post title </v>
      </c>
      <c r="D63" s="6" t="str">
        <f>IFERROR(__xludf.DUMMYFUNCTION("""COMPUTED_VALUE"""),"On the same site, the OEM Development group: Creative Eurecom for 
designing, Crossway Technologies for manufacturing. CREATIVE EURECOM is 
an...")</f>
        <v>On the same site, the OEM Development group: Creative Eurecom for 
designing, Crossway Technologies for manufacturing. CREATIVE EURECOM is 
an...</v>
      </c>
      <c r="E63" s="6" t="str">
        <f>IFERROR(__xludf.DUMMYFUNCTION("""COMPUTED_VALUE"""),"discover this member")</f>
        <v>discover this member</v>
      </c>
    </row>
    <row r="64">
      <c r="A64" s="6" t="str">
        <f>IFERROR(__xludf.DUMMYFUNCTION("IMPORTXML(D1,C2)")," post title ")</f>
        <v> post title </v>
      </c>
      <c r="B64" s="6" t="str">
        <f>IFERROR(__xludf.DUMMYFUNCTION("""COMPUTED_VALUE"""),"OGD2 PHARMA")</f>
        <v>OGD2 PHARMA</v>
      </c>
      <c r="C64" s="6" t="str">
        <f>IFERROR(__xludf.DUMMYFUNCTION("""COMPUTED_VALUE""")," /post title ")</f>
        <v> /post title </v>
      </c>
      <c r="D64" s="6"/>
      <c r="E64" s="6" t="str">
        <f>IFERROR(__xludf.DUMMYFUNCTION("""COMPUTED_VALUE"""),"discover this member")</f>
        <v>discover this member</v>
      </c>
    </row>
    <row r="65">
      <c r="A65" s="6" t="str">
        <f>IFERROR(__xludf.DUMMYFUNCTION("""COMPUTED_VALUE""")," post title ")</f>
        <v> post title </v>
      </c>
      <c r="B65" s="6" t="str">
        <f>IFERROR(__xludf.DUMMYFUNCTION("""COMPUTED_VALUE"""),"ORTHOPUS")</f>
        <v>ORTHOPUS</v>
      </c>
      <c r="C65" s="6" t="str">
        <f>IFERROR(__xludf.DUMMYFUNCTION("""COMPUTED_VALUE""")," /post title ")</f>
        <v> /post title </v>
      </c>
      <c r="D65" s="6" t="str">
        <f>IFERROR(__xludf.DUMMYFUNCTION("""COMPUTED_VALUE"""),"ORTHOPUS designs open-source technical aids for physical disabilities at 
fair prices. We develops two ranges of solutions for upper-limb :...")</f>
        <v>ORTHOPUS designs open-source technical aids for physical disabilities at 
fair prices. We develops two ranges of solutions for upper-limb :...</v>
      </c>
      <c r="E65" s="6" t="str">
        <f>IFERROR(__xludf.DUMMYFUNCTION("""COMPUTED_VALUE"""),"discover this member")</f>
        <v>discover this member</v>
      </c>
    </row>
    <row r="66">
      <c r="A66" s="6" t="str">
        <f>IFERROR(__xludf.DUMMYFUNCTION("""COMPUTED_VALUE""")," post title ")</f>
        <v> post title </v>
      </c>
      <c r="B66" s="6" t="str">
        <f>IFERROR(__xludf.DUMMYFUNCTION("""COMPUTED_VALUE"""),"OU SUIS JE")</f>
        <v>OU SUIS JE</v>
      </c>
      <c r="C66" s="6" t="str">
        <f>IFERROR(__xludf.DUMMYFUNCTION("""COMPUTED_VALUE""")," /post title ")</f>
        <v> /post title </v>
      </c>
      <c r="D66" s="6" t="str">
        <f>IFERROR(__xludf.DUMMYFUNCTION("""COMPUTED_VALUE"""),"Où suis-je, is an innovative start-up created by Denis TROCH and Dominique 
MAGUER in March 2022, which offers an application...")</f>
        <v>Où suis-je, is an innovative start-up created by Denis TROCH and Dominique 
MAGUER in March 2022, which offers an application...</v>
      </c>
      <c r="E66" s="6" t="str">
        <f>IFERROR(__xludf.DUMMYFUNCTION("""COMPUTED_VALUE"""),"discover this member")</f>
        <v>discover this member</v>
      </c>
    </row>
    <row r="67">
      <c r="A67" s="6" t="str">
        <f>IFERROR(__xludf.DUMMYFUNCTION("""COMPUTED_VALUE""")," post title ")</f>
        <v> post title </v>
      </c>
      <c r="B67" s="6" t="str">
        <f>IFERROR(__xludf.DUMMYFUNCTION("""COMPUTED_VALUE"""),"OXXIUS")</f>
        <v>OXXIUS</v>
      </c>
      <c r="C67" s="6" t="str">
        <f>IFERROR(__xludf.DUMMYFUNCTION("""COMPUTED_VALUE""")," /post title ")</f>
        <v> /post title </v>
      </c>
      <c r="D67" s="6" t="str">
        <f>IFERROR(__xludf.DUMMYFUNCTION("""COMPUTED_VALUE"""),"Oxxius is a laser design and manufacturing house founded in 2002 to bring 
disruptive innovations to the market of visible...")</f>
        <v>Oxxius is a laser design and manufacturing house founded in 2002 to bring 
disruptive innovations to the market of visible...</v>
      </c>
      <c r="E67" s="6" t="str">
        <f>IFERROR(__xludf.DUMMYFUNCTION("""COMPUTED_VALUE"""),"discover this member")</f>
        <v>discover this member</v>
      </c>
    </row>
    <row r="68">
      <c r="A68" s="6" t="str">
        <f>IFERROR(__xludf.DUMMYFUNCTION("""COMPUTED_VALUE""")," post title ")</f>
        <v> post title </v>
      </c>
      <c r="B68" s="6" t="str">
        <f>IFERROR(__xludf.DUMMYFUNCTION("""COMPUTED_VALUE"""),"PATRIARCHE – AUGMENTIED ARCHITECTURE")</f>
        <v>PATRIARCHE – AUGMENTIED ARCHITECTURE</v>
      </c>
      <c r="C68" s="6" t="str">
        <f>IFERROR(__xludf.DUMMYFUNCTION("""COMPUTED_VALUE""")," /post title ")</f>
        <v> /post title </v>
      </c>
      <c r="D68" s="6" t="str">
        <f>IFERROR(__xludf.DUMMYFUNCTION("""COMPUTED_VALUE"""),"Patriarche. Augmented Architecture is a cross-disciplinary architecture 
group focusing on innovation (500 employees – 10 offices) Patriarche has 
extensive expertise...")</f>
        <v>Patriarche. Augmented Architecture is a cross-disciplinary architecture 
group focusing on innovation (500 employees – 10 offices) Patriarche has 
extensive expertise...</v>
      </c>
      <c r="E68" s="6" t="str">
        <f>IFERROR(__xludf.DUMMYFUNCTION("""COMPUTED_VALUE"""),"discover this member")</f>
        <v>discover this member</v>
      </c>
    </row>
    <row r="69">
      <c r="A69" s="6" t="str">
        <f>IFERROR(__xludf.DUMMYFUNCTION("""COMPUTED_VALUE""")," post title ")</f>
        <v> post title </v>
      </c>
      <c r="B69" s="6" t="str">
        <f>IFERROR(__xludf.DUMMYFUNCTION("""COMPUTED_VALUE"""),"PORSOLT")</f>
        <v>PORSOLT</v>
      </c>
      <c r="C69" s="6" t="str">
        <f>IFERROR(__xludf.DUMMYFUNCTION("""COMPUTED_VALUE""")," /post title ")</f>
        <v> /post title </v>
      </c>
      <c r="D69" s="6" t="str">
        <f>IFERROR(__xludf.DUMMYFUNCTION("""COMPUTED_VALUE"""),"Porsolt, a long established, AAALAC accredited and fully GLP compliant, 
preclinical CRO, has been providing efficacy evalutation and safety 
pharacology...")</f>
        <v>Porsolt, a long established, AAALAC accredited and fully GLP compliant, 
preclinical CRO, has been providing efficacy evalutation and safety 
pharacology...</v>
      </c>
      <c r="E69" s="6" t="str">
        <f>IFERROR(__xludf.DUMMYFUNCTION("""COMPUTED_VALUE"""),"discover this member")</f>
        <v>discover this member</v>
      </c>
    </row>
    <row r="70">
      <c r="A70" s="6" t="str">
        <f>IFERROR(__xludf.DUMMYFUNCTION("""COMPUTED_VALUE""")," post title ")</f>
        <v> post title </v>
      </c>
      <c r="B70" s="6" t="str">
        <f>IFERROR(__xludf.DUMMYFUNCTION("""COMPUTED_VALUE"""),"PROFILEHIT")</f>
        <v>PROFILEHIT</v>
      </c>
      <c r="C70" s="6" t="str">
        <f>IFERROR(__xludf.DUMMYFUNCTION("""COMPUTED_VALUE""")," /post title ")</f>
        <v> /post title </v>
      </c>
      <c r="D70" s="6" t="str">
        <f>IFERROR(__xludf.DUMMYFUNCTION("""COMPUTED_VALUE"""),"At ProfileHIT we believe that early profiling gives you faster and safer 
market access. Focusing on vascular biology, we have...")</f>
        <v>At ProfileHIT we believe that early profiling gives you faster and safer 
market access. Focusing on vascular biology, we have...</v>
      </c>
      <c r="E70" s="6" t="str">
        <f>IFERROR(__xludf.DUMMYFUNCTION("""COMPUTED_VALUE"""),"discover this member")</f>
        <v>discover this member</v>
      </c>
    </row>
    <row r="71">
      <c r="A71" s="6" t="str">
        <f>IFERROR(__xludf.DUMMYFUNCTION("""COMPUTED_VALUE""")," post title ")</f>
        <v> post title </v>
      </c>
      <c r="B71" s="6" t="str">
        <f>IFERROR(__xludf.DUMMYFUNCTION("""COMPUTED_VALUE"""),"ROCHE LABORATOIRES")</f>
        <v>ROCHE LABORATOIRES</v>
      </c>
      <c r="C71" s="6" t="str">
        <f>IFERROR(__xludf.DUMMYFUNCTION("""COMPUTED_VALUE""")," /post title ")</f>
        <v> /post title </v>
      </c>
      <c r="D71" s="6"/>
      <c r="E71" s="6" t="str">
        <f>IFERROR(__xludf.DUMMYFUNCTION("""COMPUTED_VALUE"""),"discover this member")</f>
        <v>discover this member</v>
      </c>
    </row>
    <row r="72">
      <c r="A72" s="6" t="str">
        <f>IFERROR(__xludf.DUMMYFUNCTION("""COMPUTED_VALUE""")," post title ")</f>
        <v> post title </v>
      </c>
      <c r="B72" s="6" t="str">
        <f>IFERROR(__xludf.DUMMYFUNCTION("""COMPUTED_VALUE"""),"SALAMANDERU")</f>
        <v>SALAMANDERU</v>
      </c>
      <c r="C72" s="6" t="str">
        <f>IFERROR(__xludf.DUMMYFUNCTION("""COMPUTED_VALUE""")," /post title ")</f>
        <v> /post title </v>
      </c>
      <c r="D72" s="6" t="str">
        <f>IFERROR(__xludf.DUMMYFUNCTION("""COMPUTED_VALUE"""),"SalamanderU is a technology company made of a multidisciplinary team of 
business experts in life science industry, pharmaceutical engineering and...")</f>
        <v>SalamanderU is a technology company made of a multidisciplinary team of 
business experts in life science industry, pharmaceutical engineering and...</v>
      </c>
      <c r="E72" s="6" t="str">
        <f>IFERROR(__xludf.DUMMYFUNCTION("""COMPUTED_VALUE"""),"discover this member")</f>
        <v>discover this member</v>
      </c>
    </row>
    <row r="73">
      <c r="A73" s="6" t="str">
        <f>IFERROR(__xludf.DUMMYFUNCTION("""COMPUTED_VALUE""")," post title ")</f>
        <v> post title </v>
      </c>
      <c r="B73" s="6" t="str">
        <f>IFERROR(__xludf.DUMMYFUNCTION("""COMPUTED_VALUE"""),"SINNRJ")</f>
        <v>SINNRJ</v>
      </c>
      <c r="C73" s="6" t="str">
        <f>IFERROR(__xludf.DUMMYFUNCTION("""COMPUTED_VALUE""")," /post title ")</f>
        <v> /post title </v>
      </c>
      <c r="D73" s="6"/>
      <c r="E73" s="6" t="str">
        <f>IFERROR(__xludf.DUMMYFUNCTION("""COMPUTED_VALUE"""),"discover this member")</f>
        <v>discover this member</v>
      </c>
    </row>
    <row r="74">
      <c r="A74" s="6" t="str">
        <f>IFERROR(__xludf.DUMMYFUNCTION("""COMPUTED_VALUE""")," post title ")</f>
        <v> post title </v>
      </c>
      <c r="B74" s="6" t="str">
        <f>IFERROR(__xludf.DUMMYFUNCTION("""COMPUTED_VALUE"""),"SLB PHARMA")</f>
        <v>SLB PHARMA</v>
      </c>
      <c r="C74" s="6" t="str">
        <f>IFERROR(__xludf.DUMMYFUNCTION("""COMPUTED_VALUE""")," /post title ")</f>
        <v> /post title </v>
      </c>
      <c r="D74" s="6" t="str">
        <f>IFERROR(__xludf.DUMMYFUNCTION("""COMPUTED_VALUE"""),"SLB Pharma, a CRO, supports medical devices, nutritional health and 
pharmaceutical companies in the clinical evaluations of their health 
products....")</f>
        <v>SLB Pharma, a CRO, supports medical devices, nutritional health and 
pharmaceutical companies in the clinical evaluations of their health 
products....</v>
      </c>
      <c r="E74" s="6" t="str">
        <f>IFERROR(__xludf.DUMMYFUNCTION("""COMPUTED_VALUE"""),"discover this member")</f>
        <v>discover this member</v>
      </c>
    </row>
    <row r="75">
      <c r="A75" s="6" t="str">
        <f>IFERROR(__xludf.DUMMYFUNCTION("""COMPUTED_VALUE""")," post title ")</f>
        <v> post title </v>
      </c>
      <c r="B75" s="6" t="str">
        <f>IFERROR(__xludf.DUMMYFUNCTION("""COMPUTED_VALUE"""),"SLS FRANCE")</f>
        <v>SLS FRANCE</v>
      </c>
      <c r="C75" s="6" t="str">
        <f>IFERROR(__xludf.DUMMYFUNCTION("""COMPUTED_VALUE""")," /post title ")</f>
        <v> /post title </v>
      </c>
      <c r="D75" s="6"/>
      <c r="E75" s="6" t="str">
        <f>IFERROR(__xludf.DUMMYFUNCTION("""COMPUTED_VALUE"""),"discover this member")</f>
        <v>discover this member</v>
      </c>
    </row>
    <row r="76">
      <c r="A76" s="6" t="str">
        <f>IFERROR(__xludf.DUMMYFUNCTION("""COMPUTED_VALUE""")," post title ")</f>
        <v> post title </v>
      </c>
      <c r="B76" s="6" t="str">
        <f>IFERROR(__xludf.DUMMYFUNCTION("""COMPUTED_VALUE"""),"SMART MACADAM")</f>
        <v>SMART MACADAM</v>
      </c>
      <c r="C76" s="6" t="str">
        <f>IFERROR(__xludf.DUMMYFUNCTION("""COMPUTED_VALUE""")," /post title ")</f>
        <v> /post title </v>
      </c>
      <c r="D76" s="6" t="str">
        <f>IFERROR(__xludf.DUMMYFUNCTION("""COMPUTED_VALUE"""),"Smart Macadam designs digital medical devices using the most ambitious 
approaches to AI and IoT. The MEMENTOP project is aimed...")</f>
        <v>Smart Macadam designs digital medical devices using the most ambitious 
approaches to AI and IoT. The MEMENTOP project is aimed...</v>
      </c>
      <c r="E76" s="6" t="str">
        <f>IFERROR(__xludf.DUMMYFUNCTION("""COMPUTED_VALUE"""),"discover this member")</f>
        <v>discover this member</v>
      </c>
    </row>
    <row r="77">
      <c r="A77" s="6" t="str">
        <f>IFERROR(__xludf.DUMMYFUNCTION("""COMPUTED_VALUE""")," post title ")</f>
        <v> post title </v>
      </c>
      <c r="B77" s="6" t="str">
        <f>IFERROR(__xludf.DUMMYFUNCTION("""COMPUTED_VALUE"""),"STIMUL IN")</f>
        <v>STIMUL IN</v>
      </c>
      <c r="C77" s="6" t="str">
        <f>IFERROR(__xludf.DUMMYFUNCTION("""COMPUTED_VALUE""")," /post title ")</f>
        <v> /post title </v>
      </c>
      <c r="D77" s="6" t="str">
        <f>IFERROR(__xludf.DUMMYFUNCTION("""COMPUTED_VALUE"""),"• Our mission is to enhance daily life of people with neurocognitive 
troubles, their families and their health care professionnals...")</f>
        <v>• Our mission is to enhance daily life of people with neurocognitive 
troubles, their families and their health care professionnals...</v>
      </c>
      <c r="E77" s="6" t="str">
        <f>IFERROR(__xludf.DUMMYFUNCTION("""COMPUTED_VALUE"""),"discover this member")</f>
        <v>discover this member</v>
      </c>
    </row>
    <row r="78">
      <c r="A78" s="6" t="str">
        <f>IFERROR(__xludf.DUMMYFUNCTION("""COMPUTED_VALUE""")," post title ")</f>
        <v> post title </v>
      </c>
      <c r="B78" s="6" t="str">
        <f>IFERROR(__xludf.DUMMYFUNCTION("""COMPUTED_VALUE"""),"STRATEGIQUAL")</f>
        <v>STRATEGIQUAL</v>
      </c>
      <c r="C78" s="6" t="str">
        <f>IFERROR(__xludf.DUMMYFUNCTION("""COMPUTED_VALUE""")," /post title ")</f>
        <v> /post title </v>
      </c>
      <c r="D78" s="6" t="str">
        <f>IFERROR(__xludf.DUMMYFUNCTION("""COMPUTED_VALUE"""),"Strategiqual is a leading consultancy organization highly skilled for 
drugs, medical devices and cosmetics projects. We provide companies with 
a...")</f>
        <v>Strategiqual is a leading consultancy organization highly skilled for 
drugs, medical devices and cosmetics projects. We provide companies with 
a...</v>
      </c>
      <c r="E78" s="6" t="str">
        <f>IFERROR(__xludf.DUMMYFUNCTION("""COMPUTED_VALUE"""),"discover this member")</f>
        <v>discover this member</v>
      </c>
    </row>
    <row r="79">
      <c r="A79" s="6" t="str">
        <f>IFERROR(__xludf.DUMMYFUNCTION("""COMPUTED_VALUE""")," post title ")</f>
        <v> post title </v>
      </c>
      <c r="B79" s="6" t="str">
        <f>IFERROR(__xludf.DUMMYFUNCTION("""COMPUTED_VALUE"""),"STUDIT")</f>
        <v>STUDIT</v>
      </c>
      <c r="C79" s="6" t="str">
        <f>IFERROR(__xludf.DUMMYFUNCTION("""COMPUTED_VALUE""")," /post title ")</f>
        <v> /post title </v>
      </c>
      <c r="D79" s="6"/>
      <c r="E79" s="6" t="str">
        <f>IFERROR(__xludf.DUMMYFUNCTION("""COMPUTED_VALUE"""),"discover this member")</f>
        <v>discover this member</v>
      </c>
    </row>
    <row r="80">
      <c r="A80" s="6" t="str">
        <f>IFERROR(__xludf.DUMMYFUNCTION("""COMPUTED_VALUE""")," post title ")</f>
        <v> post title </v>
      </c>
      <c r="B80" s="6" t="str">
        <f>IFERROR(__xludf.DUMMYFUNCTION("""COMPUTED_VALUE"""),"SYMBIOÏDE")</f>
        <v>SYMBIOÏDE</v>
      </c>
      <c r="C80" s="6" t="str">
        <f>IFERROR(__xludf.DUMMYFUNCTION("""COMPUTED_VALUE""")," /post title ")</f>
        <v> /post title </v>
      </c>
      <c r="D80" s="6"/>
      <c r="E80" s="6" t="str">
        <f>IFERROR(__xludf.DUMMYFUNCTION("""COMPUTED_VALUE"""),"discover this member")</f>
        <v>discover this member</v>
      </c>
    </row>
    <row r="81">
      <c r="A81" s="6" t="str">
        <f>IFERROR(__xludf.DUMMYFUNCTION("""COMPUTED_VALUE""")," post title ")</f>
        <v> post title </v>
      </c>
      <c r="B81" s="6" t="str">
        <f>IFERROR(__xludf.DUMMYFUNCTION("""COMPUTED_VALUE"""),"SYMBIOTYC")</f>
        <v>SYMBIOTYC</v>
      </c>
      <c r="C81" s="6" t="str">
        <f>IFERROR(__xludf.DUMMYFUNCTION("""COMPUTED_VALUE""")," /post title ")</f>
        <v> /post title </v>
      </c>
      <c r="D81" s="6" t="str">
        <f>IFERROR(__xludf.DUMMYFUNCTION("""COMPUTED_VALUE"""),"SYMBIOTYC® provides its customers with more than 20 years of experience in 
the healthcare industry. We help pharmaceutical, medical device,...")</f>
        <v>SYMBIOTYC® provides its customers with more than 20 years of experience in 
the healthcare industry. We help pharmaceutical, medical device,...</v>
      </c>
      <c r="E81" s="6" t="str">
        <f>IFERROR(__xludf.DUMMYFUNCTION("""COMPUTED_VALUE"""),"discover this member")</f>
        <v>discover this member</v>
      </c>
    </row>
    <row r="82">
      <c r="A82" s="6" t="str">
        <f>IFERROR(__xludf.DUMMYFUNCTION("""COMPUTED_VALUE""")," post title ")</f>
        <v> post title </v>
      </c>
      <c r="B82" s="6" t="str">
        <f>IFERROR(__xludf.DUMMYFUNCTION("""COMPUTED_VALUE"""),"SYNERLAB DEVELOPPEMENT")</f>
        <v>SYNERLAB DEVELOPPEMENT</v>
      </c>
      <c r="C82" s="6" t="str">
        <f>IFERROR(__xludf.DUMMYFUNCTION("""COMPUTED_VALUE""")," /post title ")</f>
        <v> /post title </v>
      </c>
      <c r="D82" s="6"/>
      <c r="E82" s="6" t="str">
        <f>IFERROR(__xludf.DUMMYFUNCTION("""COMPUTED_VALUE"""),"discover this member")</f>
        <v>discover this member</v>
      </c>
    </row>
    <row r="83">
      <c r="A83" s="6" t="str">
        <f>IFERROR(__xludf.DUMMYFUNCTION("""COMPUTED_VALUE""")," post title ")</f>
        <v> post title </v>
      </c>
      <c r="B83" s="6" t="str">
        <f>IFERROR(__xludf.DUMMYFUNCTION("""COMPUTED_VALUE"""),"TACTHYS")</f>
        <v>TACTHYS</v>
      </c>
      <c r="C83" s="6" t="str">
        <f>IFERROR(__xludf.DUMMYFUNCTION("""COMPUTED_VALUE""")," /post title ")</f>
        <v> /post title </v>
      </c>
      <c r="D83" s="6" t="str">
        <f>IFERROR(__xludf.DUMMYFUNCTION("""COMPUTED_VALUE"""),"Tacthys is a holding company created in 2013 and located on the Finistère. 
Our group includes 3 subsidiaries that work...")</f>
        <v>Tacthys is a holding company created in 2013 and located on the Finistère. 
Our group includes 3 subsidiaries that work...</v>
      </c>
      <c r="E83" s="6" t="str">
        <f>IFERROR(__xludf.DUMMYFUNCTION("""COMPUTED_VALUE"""),"discover this member")</f>
        <v>discover this member</v>
      </c>
    </row>
    <row r="84">
      <c r="A84" s="8" t="str">
        <f>IFERROR(__xludf.DUMMYFUNCTION("IMPORTXML(E1,C2)")," post title ")</f>
        <v> post title </v>
      </c>
      <c r="B84" s="6" t="str">
        <f>IFERROR(__xludf.DUMMYFUNCTION("""COMPUTED_VALUE"""),"THERENVA")</f>
        <v>THERENVA</v>
      </c>
      <c r="C84" s="6" t="str">
        <f>IFERROR(__xludf.DUMMYFUNCTION("""COMPUTED_VALUE""")," /post title ")</f>
        <v> /post title </v>
      </c>
      <c r="D84" s="6"/>
      <c r="E84" s="6" t="str">
        <f>IFERROR(__xludf.DUMMYFUNCTION("""COMPUTED_VALUE"""),"discover this member")</f>
        <v>discover this member</v>
      </c>
    </row>
    <row r="85">
      <c r="A85" s="6" t="str">
        <f>IFERROR(__xludf.DUMMYFUNCTION("""COMPUTED_VALUE""")," post title ")</f>
        <v> post title </v>
      </c>
      <c r="B85" s="6" t="str">
        <f>IFERROR(__xludf.DUMMYFUNCTION("""COMPUTED_VALUE"""),"THERMO FISHER SCIENTIFIC")</f>
        <v>THERMO FISHER SCIENTIFIC</v>
      </c>
      <c r="C85" s="6" t="str">
        <f>IFERROR(__xludf.DUMMYFUNCTION("""COMPUTED_VALUE""")," /post title ")</f>
        <v> /post title </v>
      </c>
      <c r="D85" s="6" t="str">
        <f>IFERROR(__xludf.DUMMYFUNCTION("""COMPUTED_VALUE"""),"Thermo Fisher Scientific is the world leader in serving science, with 
revenues of more than $24 billion and approximately 70,000...")</f>
        <v>Thermo Fisher Scientific is the world leader in serving science, with 
revenues of more than $24 billion and approximately 70,000...</v>
      </c>
      <c r="E85" s="6" t="str">
        <f>IFERROR(__xludf.DUMMYFUNCTION("""COMPUTED_VALUE"""),"discover this member")</f>
        <v>discover this member</v>
      </c>
    </row>
    <row r="86">
      <c r="A86" s="6" t="str">
        <f>IFERROR(__xludf.DUMMYFUNCTION("""COMPUTED_VALUE""")," post title ")</f>
        <v> post title </v>
      </c>
      <c r="B86" s="6" t="str">
        <f>IFERROR(__xludf.DUMMYFUNCTION("""COMPUTED_VALUE"""),"TMTG – THE MARKETECH GROUP")</f>
        <v>TMTG – THE MARKETECH GROUP</v>
      </c>
      <c r="C86" s="6" t="str">
        <f>IFERROR(__xludf.DUMMYFUNCTION("""COMPUTED_VALUE""")," /post title ")</f>
        <v> /post title </v>
      </c>
      <c r="D86" s="6" t="str">
        <f>IFERROR(__xludf.DUMMYFUNCTION("""COMPUTED_VALUE"""),"The MarkeTech Group (TMTG) is an international marketing consulting firm 
exclusively dedicated to the healthcare industry. TMTG offers a 
comprehensive...")</f>
        <v>The MarkeTech Group (TMTG) is an international marketing consulting firm 
exclusively dedicated to the healthcare industry. TMTG offers a 
comprehensive...</v>
      </c>
      <c r="E86" s="6" t="str">
        <f>IFERROR(__xludf.DUMMYFUNCTION("""COMPUTED_VALUE"""),"discover this member")</f>
        <v>discover this member</v>
      </c>
    </row>
    <row r="87">
      <c r="A87" s="6" t="str">
        <f>IFERROR(__xludf.DUMMYFUNCTION("""COMPUTED_VALUE""")," post title ")</f>
        <v> post title </v>
      </c>
      <c r="B87" s="6" t="str">
        <f>IFERROR(__xludf.DUMMYFUNCTION("""COMPUTED_VALUE"""),"TRONICO-ALCEN")</f>
        <v>TRONICO-ALCEN</v>
      </c>
      <c r="C87" s="6" t="str">
        <f>IFERROR(__xludf.DUMMYFUNCTION("""COMPUTED_VALUE""")," /post title ")</f>
        <v> /post title </v>
      </c>
      <c r="D87" s="6" t="str">
        <f>IFERROR(__xludf.DUMMYFUNCTION("""COMPUTED_VALUE"""),"TRONICO est reconnu pour sa culture résolument tournée vers la passion de 
son métier, la proximité de ses contacts et...")</f>
        <v>TRONICO est reconnu pour sa culture résolument tournée vers la passion de 
son métier, la proximité de ses contacts et...</v>
      </c>
      <c r="E87" s="6" t="str">
        <f>IFERROR(__xludf.DUMMYFUNCTION("""COMPUTED_VALUE"""),"discover this member")</f>
        <v>discover this member</v>
      </c>
    </row>
    <row r="88">
      <c r="A88" s="6" t="str">
        <f>IFERROR(__xludf.DUMMYFUNCTION("""COMPUTED_VALUE""")," post title ")</f>
        <v> post title </v>
      </c>
      <c r="B88" s="6" t="str">
        <f>IFERROR(__xludf.DUMMYFUNCTION("""COMPUTED_VALUE"""),"UMANIT")</f>
        <v>UMANIT</v>
      </c>
      <c r="C88" s="6" t="str">
        <f>IFERROR(__xludf.DUMMYFUNCTION("""COMPUTED_VALUE""")," /post title ")</f>
        <v> /post title </v>
      </c>
      <c r="D88" s="6" t="str">
        <f>IFERROR(__xludf.DUMMYFUNCTION("""COMPUTED_VALUE"""),"The aim of this project is to develop new approaches based on eye-tracking, 
Inertial Measurement Unit and motion capture for...")</f>
        <v>The aim of this project is to develop new approaches based on eye-tracking, 
Inertial Measurement Unit and motion capture for...</v>
      </c>
      <c r="E88" s="6" t="str">
        <f>IFERROR(__xludf.DUMMYFUNCTION("""COMPUTED_VALUE"""),"discover this member")</f>
        <v>discover this member</v>
      </c>
    </row>
    <row r="89">
      <c r="A89" s="6" t="str">
        <f>IFERROR(__xludf.DUMMYFUNCTION("""COMPUTED_VALUE""")," post title ")</f>
        <v> post title </v>
      </c>
      <c r="B89" s="6" t="str">
        <f>IFERROR(__xludf.DUMMYFUNCTION("""COMPUTED_VALUE"""),"VALNEVA")</f>
        <v>VALNEVA</v>
      </c>
      <c r="C89" s="6" t="str">
        <f>IFERROR(__xludf.DUMMYFUNCTION("""COMPUTED_VALUE""")," /post title ")</f>
        <v> /post title </v>
      </c>
      <c r="D89" s="6" t="str">
        <f>IFERROR(__xludf.DUMMYFUNCTION("""COMPUTED_VALUE"""),"Valneva is a fully integrated, commercial stage biotech company focused on 
developing innovative life-saving vaccines. Valneva’s vision is to 
contribute...")</f>
        <v>Valneva is a fully integrated, commercial stage biotech company focused on 
developing innovative life-saving vaccines. Valneva’s vision is to 
contribute...</v>
      </c>
      <c r="E89" s="6" t="str">
        <f>IFERROR(__xludf.DUMMYFUNCTION("""COMPUTED_VALUE"""),"discover this member")</f>
        <v>discover this member</v>
      </c>
    </row>
    <row r="90">
      <c r="A90" s="6" t="str">
        <f>IFERROR(__xludf.DUMMYFUNCTION("""COMPUTED_VALUE""")," post title ")</f>
        <v> post title </v>
      </c>
      <c r="B90" s="6" t="str">
        <f>IFERROR(__xludf.DUMMYFUNCTION("""COMPUTED_VALUE"""),"VIGIER AVOCATS")</f>
        <v>VIGIER AVOCATS</v>
      </c>
      <c r="C90" s="6" t="str">
        <f>IFERROR(__xludf.DUMMYFUNCTION("""COMPUTED_VALUE""")," /post title ")</f>
        <v> /post title </v>
      </c>
      <c r="D90" s="6" t="str">
        <f>IFERROR(__xludf.DUMMYFUNCTION("""COMPUTED_VALUE"""),"VIGIER AVOCATS is an independent business law firm with strong expertise in 
the healthcare sector. The firm supports health projects...")</f>
        <v>VIGIER AVOCATS is an independent business law firm with strong expertise in 
the healthcare sector. The firm supports health projects...</v>
      </c>
      <c r="E90" s="6" t="str">
        <f>IFERROR(__xludf.DUMMYFUNCTION("""COMPUTED_VALUE"""),"discover this member")</f>
        <v>discover this member</v>
      </c>
    </row>
    <row r="91">
      <c r="A91" s="6" t="str">
        <f>IFERROR(__xludf.DUMMYFUNCTION("""COMPUTED_VALUE""")," post title ")</f>
        <v> post title </v>
      </c>
      <c r="B91" s="6" t="str">
        <f>IFERROR(__xludf.DUMMYFUNCTION("""COMPUTED_VALUE"""),"VIROCOVAX")</f>
        <v>VIROCOVAX</v>
      </c>
      <c r="C91" s="6" t="str">
        <f>IFERROR(__xludf.DUMMYFUNCTION("""COMPUTED_VALUE""")," /post title ")</f>
        <v> /post title </v>
      </c>
      <c r="D91" s="6"/>
      <c r="E91" s="6" t="str">
        <f>IFERROR(__xludf.DUMMYFUNCTION("""COMPUTED_VALUE"""),"discover this member")</f>
        <v>discover this member</v>
      </c>
    </row>
    <row r="92">
      <c r="A92" s="6" t="str">
        <f>IFERROR(__xludf.DUMMYFUNCTION("""COMPUTED_VALUE""")," post title ")</f>
        <v> post title </v>
      </c>
      <c r="B92" s="6" t="str">
        <f>IFERROR(__xludf.DUMMYFUNCTION("""COMPUTED_VALUE"""),"VITADX INTERNATIONAL")</f>
        <v>VITADX INTERNATIONAL</v>
      </c>
      <c r="C92" s="6" t="str">
        <f>IFERROR(__xludf.DUMMYFUNCTION("""COMPUTED_VALUE""")," /post title ")</f>
        <v> /post title </v>
      </c>
      <c r="D92" s="6" t="str">
        <f>IFERROR(__xludf.DUMMYFUNCTION("""COMPUTED_VALUE"""),"Globally, bladder cancer affects nearly 3 million people worldwide and 
430,000 new cases occur each year. In case of early...")</f>
        <v>Globally, bladder cancer affects nearly 3 million people worldwide and 
430,000 new cases occur each year. In case of early...</v>
      </c>
      <c r="E92" s="6" t="str">
        <f>IFERROR(__xludf.DUMMYFUNCTION("""COMPUTED_VALUE"""),"discover this member")</f>
        <v>discover this member</v>
      </c>
    </row>
    <row r="93">
      <c r="A93" s="6" t="str">
        <f>IFERROR(__xludf.DUMMYFUNCTION("""COMPUTED_VALUE""")," post title ")</f>
        <v> post title </v>
      </c>
      <c r="B93" s="6" t="str">
        <f>IFERROR(__xludf.DUMMYFUNCTION("""COMPUTED_VALUE"""),"VOISIN CONSULTING RENNES")</f>
        <v>VOISIN CONSULTING RENNES</v>
      </c>
      <c r="C93" s="6" t="str">
        <f>IFERROR(__xludf.DUMMYFUNCTION("""COMPUTED_VALUE""")," /post title ")</f>
        <v> /post title </v>
      </c>
      <c r="D93" s="6"/>
      <c r="E93" s="6" t="str">
        <f>IFERROR(__xludf.DUMMYFUNCTION("""COMPUTED_VALUE"""),"discover this member")</f>
        <v>discover this member</v>
      </c>
    </row>
    <row r="94">
      <c r="A94" s="6" t="str">
        <f>IFERROR(__xludf.DUMMYFUNCTION("""COMPUTED_VALUE""")," post title ")</f>
        <v> post title </v>
      </c>
      <c r="B94" s="6" t="str">
        <f>IFERROR(__xludf.DUMMYFUNCTION("""COMPUTED_VALUE"""),"WAVEIMPLANT")</f>
        <v>WAVEIMPLANT</v>
      </c>
      <c r="C94" s="6" t="str">
        <f>IFERROR(__xludf.DUMMYFUNCTION("""COMPUTED_VALUE""")," /post title ")</f>
        <v> /post title </v>
      </c>
      <c r="D94" s="6"/>
      <c r="E94" s="6" t="str">
        <f>IFERROR(__xludf.DUMMYFUNCTION("""COMPUTED_VALUE"""),"discover this member")</f>
        <v>discover this member</v>
      </c>
    </row>
    <row r="95">
      <c r="A95" s="6" t="str">
        <f>IFERROR(__xludf.DUMMYFUNCTION("""COMPUTED_VALUE""")," post title ")</f>
        <v> post title </v>
      </c>
      <c r="B95" s="6" t="str">
        <f>IFERROR(__xludf.DUMMYFUNCTION("""COMPUTED_VALUE"""),"WE HEALTH BY SERVIER – IRIS")</f>
        <v>WE HEALTH BY SERVIER – IRIS</v>
      </c>
      <c r="C95" s="6" t="str">
        <f>IFERROR(__xludf.DUMMYFUNCTION("""COMPUTED_VALUE""")," /post title ")</f>
        <v> /post title </v>
      </c>
      <c r="D95" s="6"/>
      <c r="E95" s="6" t="str">
        <f>IFERROR(__xludf.DUMMYFUNCTION("""COMPUTED_VALUE"""),"discover this member")</f>
        <v>discover this member</v>
      </c>
    </row>
    <row r="96">
      <c r="A96" s="6" t="str">
        <f>IFERROR(__xludf.DUMMYFUNCTION("""COMPUTED_VALUE""")," post title ")</f>
        <v> post title </v>
      </c>
      <c r="B96" s="6" t="str">
        <f>IFERROR(__xludf.DUMMYFUNCTION("""COMPUTED_VALUE"""),"WELIOM")</f>
        <v>WELIOM</v>
      </c>
      <c r="C96" s="6" t="str">
        <f>IFERROR(__xludf.DUMMYFUNCTION("""COMPUTED_VALUE""")," /post title ")</f>
        <v> /post title </v>
      </c>
      <c r="D96" s="6"/>
      <c r="E96" s="6" t="str">
        <f>IFERROR(__xludf.DUMMYFUNCTION("""COMPUTED_VALUE"""),"discover this member")</f>
        <v>discover this member</v>
      </c>
    </row>
    <row r="97">
      <c r="A97" s="8" t="str">
        <f>IFERROR(__xludf.DUMMYFUNCTION("""COMPUTED_VALUE""")," post title ")</f>
        <v> post title </v>
      </c>
      <c r="B97" s="6" t="str">
        <f>IFERROR(__xludf.DUMMYFUNCTION("""COMPUTED_VALUE"""),"WETAN")</f>
        <v>WETAN</v>
      </c>
      <c r="C97" s="6" t="str">
        <f>IFERROR(__xludf.DUMMYFUNCTION("""COMPUTED_VALUE""")," /post title ")</f>
        <v> /post title </v>
      </c>
      <c r="D97" s="6" t="str">
        <f>IFERROR(__xludf.DUMMYFUNCTION("""COMPUTED_VALUE"""),"Wetan supports the leaders of startups or project leaders who need to 
successfully finance their project. We help you build...")</f>
        <v>Wetan supports the leaders of startups or project leaders who need to 
successfully finance their project. We help you build...</v>
      </c>
      <c r="E97" s="6" t="str">
        <f>IFERROR(__xludf.DUMMYFUNCTION("""COMPUTED_VALUE"""),"discover this member")</f>
        <v>discover this member</v>
      </c>
    </row>
    <row r="98">
      <c r="A98" s="6" t="str">
        <f>IFERROR(__xludf.DUMMYFUNCTION("""COMPUTED_VALUE""")," post title ")</f>
        <v> post title </v>
      </c>
      <c r="B98" s="6" t="str">
        <f>IFERROR(__xludf.DUMMYFUNCTION("""COMPUTED_VALUE"""),"YOUCIE")</f>
        <v>YOUCIE</v>
      </c>
      <c r="C98" s="6" t="str">
        <f>IFERROR(__xludf.DUMMYFUNCTION("""COMPUTED_VALUE""")," /post title ")</f>
        <v> /post title </v>
      </c>
      <c r="D98" s="6" t="str">
        <f>IFERROR(__xludf.DUMMYFUNCTION("""COMPUTED_VALUE"""),"After an overview of the mechanisms of the pharmacy and the problems 
encountered by the pharmacist and the patient, we...")</f>
        <v>After an overview of the mechanisms of the pharmacy and the problems 
encountered by the pharmacist and the patient, we...</v>
      </c>
      <c r="E98" s="6" t="str">
        <f>IFERROR(__xludf.DUMMYFUNCTION("""COMPUTED_VALUE"""),"discover this member")</f>
        <v>discover this member</v>
      </c>
    </row>
  </sheetData>
  <hyperlinks>
    <hyperlink r:id="rId1" ref="A1"/>
    <hyperlink r:id="rId2" location="038;r&amp;type=digital&amp;reg&amp;act&amp;ent" ref="B1"/>
    <hyperlink r:id="rId3" location="038;r&amp;type=digital&amp;reg&amp;act&amp;ent" ref="C1"/>
    <hyperlink r:id="rId4" location="038;r&amp;type=digital&amp;reg&amp;act&amp;ent" ref="D1"/>
    <hyperlink r:id="rId5" location="038;r&amp;type=digital&amp;reg&amp;act&amp;ent" ref="E1"/>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33</v>
      </c>
      <c r="B1" s="1" t="s">
        <v>34</v>
      </c>
      <c r="C1" s="1" t="s">
        <v>35</v>
      </c>
      <c r="D1" s="1" t="s">
        <v>36</v>
      </c>
      <c r="E1" s="9" t="s">
        <v>37</v>
      </c>
      <c r="F1" s="1" t="s">
        <v>38</v>
      </c>
      <c r="G1" s="1" t="s">
        <v>39</v>
      </c>
      <c r="H1" s="1" t="s">
        <v>40</v>
      </c>
      <c r="I1" s="1" t="s">
        <v>41</v>
      </c>
      <c r="J1" s="1" t="s">
        <v>42</v>
      </c>
      <c r="K1" s="1" t="s">
        <v>43</v>
      </c>
      <c r="L1" s="1" t="s">
        <v>44</v>
      </c>
      <c r="M1" s="1" t="s">
        <v>45</v>
      </c>
      <c r="N1" s="1" t="s">
        <v>46</v>
      </c>
      <c r="O1" s="1" t="s">
        <v>47</v>
      </c>
      <c r="P1" s="1" t="s">
        <v>48</v>
      </c>
      <c r="Q1" s="1" t="s">
        <v>49</v>
      </c>
      <c r="R1" s="1" t="s">
        <v>50</v>
      </c>
      <c r="S1" s="1" t="s">
        <v>51</v>
      </c>
      <c r="T1" s="1" t="s">
        <v>52</v>
      </c>
    </row>
    <row r="2">
      <c r="A2" s="2" t="s">
        <v>53</v>
      </c>
    </row>
    <row r="3">
      <c r="A3" s="4" t="s">
        <v>54</v>
      </c>
      <c r="B3" s="4" t="s">
        <v>55</v>
      </c>
      <c r="C3" s="4" t="s">
        <v>5</v>
      </c>
      <c r="D3" s="4" t="s">
        <v>56</v>
      </c>
      <c r="E3" s="4" t="s">
        <v>57</v>
      </c>
    </row>
    <row r="4">
      <c r="A4" s="6" t="str">
        <f>IFERROR(__xludf.DUMMYFUNCTION("IMPORTXML(A1,A2)"),"Loading...")</f>
        <v>Loading...</v>
      </c>
    </row>
    <row r="24">
      <c r="A24" s="8" t="str">
        <f>IFERROR(__xludf.DUMMYFUNCTION("IMPORTXML(B1,A2)")," Category: Pharma &amp; Chemical Industry ")</f>
        <v> Category: Pharma &amp; Chemical Industry </v>
      </c>
      <c r="B24" s="6" t="str">
        <f>IFERROR(__xludf.DUMMYFUNCTION("""COMPUTED_VALUE""")," Keywords: Drug Delivery ")</f>
        <v> Keywords: Drug Delivery </v>
      </c>
      <c r="C24" s="6" t="str">
        <f>IFERROR(__xludf.DUMMYFUNCTION("""COMPUTED_VALUE"""),"AMW GmbH,Arzneimittelwerk WarngauAMW GmbH ")</f>
        <v>AMW GmbH,Arzneimittelwerk WarngauAMW GmbH </v>
      </c>
      <c r="D24" s="6" t="str">
        <f>IFERROR(__xludf.DUMMYFUNCTION("""COMPUTED_VALUE"""),"Birkerfeld 11 Deutschland-83627 Warngau")</f>
        <v>Birkerfeld 11 Deutschland-83627 Warngau</v>
      </c>
      <c r="E24" s="6" t="str">
        <f>IFERROR(__xludf.DUMMYFUNCTION("""COMPUTED_VALUE""")," Telefon: +49 (0) 8024 470999-0 Fax: +49 (0) 8024 470999-29http://www.a-m-w.eu")</f>
        <v> Telefon: +49 (0) 8024 470999-0 Fax: +49 (0) 8024 470999-29http://www.a-m-w.eu</v>
      </c>
    </row>
    <row r="25">
      <c r="A25" s="6" t="str">
        <f>IFERROR(__xludf.DUMMYFUNCTION("""COMPUTED_VALUE""")," Category: Biotech Therapeutics &amp; Diagnostics ")</f>
        <v> Category: Biotech Therapeutics &amp; Diagnostics </v>
      </c>
      <c r="B25" s="6" t="str">
        <f>IFERROR(__xludf.DUMMYFUNCTION("""COMPUTED_VALUE""")," Keywords: Clinical Diagnostics, Antibody Production Service, Antibody, 
Devices ")</f>
        <v> Keywords: Clinical Diagnostics, Antibody Production Service, Antibody, 
Devices </v>
      </c>
      <c r="C25" s="6" t="str">
        <f>IFERROR(__xludf.DUMMYFUNCTION("""COMPUTED_VALUE"""),"amYmed GmbH Referenzzentrum für Amyloidkrankheiten")</f>
        <v>amYmed GmbH Referenzzentrum für Amyloidkrankheiten</v>
      </c>
      <c r="D25" s="6" t="str">
        <f>IFERROR(__xludf.DUMMYFUNCTION("""COMPUTED_VALUE"""),"Vinzenz-Schlüpfer-Straße 20a Deutschland-81475 München")</f>
        <v>Vinzenz-Schlüpfer-Straße 20a Deutschland-81475 München</v>
      </c>
      <c r="E25" s="6" t="str">
        <f>IFERROR(__xludf.DUMMYFUNCTION("""COMPUTED_VALUE""")," Telefon: +49 (0) 89 745 022 73 Fax: +49 (0) 89 75 999 347http://www.amymed.delinke@remove-this.amymed.de")</f>
        <v> Telefon: +49 (0) 89 745 022 73 Fax: +49 (0) 89 75 999 347http://www.amymed.delinke@remove-this.amymed.de</v>
      </c>
    </row>
    <row r="26">
      <c r="A26" s="6" t="str">
        <f>IFERROR(__xludf.DUMMYFUNCTION("""COMPUTED_VALUE""")," Category: Chemical Industry ")</f>
        <v> Category: Chemical Industry </v>
      </c>
      <c r="B26" s="6" t="str">
        <f>IFERROR(__xludf.DUMMYFUNCTION("""COMPUTED_VALUE""")," Keywords: Small Molecules, Natural Compounds, Analytical Chemistry, 
Laboratory, Metabolomics, Bioanalytics ")</f>
        <v> Keywords: Small Molecules, Natural Compounds, Analytical Chemistry, 
Laboratory, Metabolomics, Bioanalytics </v>
      </c>
      <c r="C26" s="6" t="str">
        <f>IFERROR(__xludf.DUMMYFUNCTION("""COMPUTED_VALUE"""),"Analytisches Forschungsinstitut für Non-Target Screening GmbH,AFIN-TS")</f>
        <v>Analytisches Forschungsinstitut für Non-Target Screening GmbH,AFIN-TS</v>
      </c>
      <c r="D26" s="6" t="str">
        <f>IFERROR(__xludf.DUMMYFUNCTION("""COMPUTED_VALUE"""),"Am Mittleren Moos 48 Deutschland-86167 Augsburg")</f>
        <v>Am Mittleren Moos 48 Deutschland-86167 Augsburg</v>
      </c>
      <c r="E26" s="6" t="str">
        <f>IFERROR(__xludf.DUMMYFUNCTION("""COMPUTED_VALUE""")," Telefon: 15150516119https://www.afin-ts.deinfo@remove-this.afin-ts.de")</f>
        <v> Telefon: 15150516119https://www.afin-ts.deinfo@remove-this.afin-ts.de</v>
      </c>
    </row>
    <row r="27">
      <c r="A27" s="6" t="str">
        <f>IFERROR(__xludf.DUMMYFUNCTION("""COMPUTED_VALUE""")," Category: CRO ")</f>
        <v> Category: CRO </v>
      </c>
      <c r="B27" s="6" t="str">
        <f>IFERROR(__xludf.DUMMYFUNCTION("""COMPUTED_VALUE""")," Keywords: Diabetics, Hepatology, Drug Development, Pharmacokinetics, 
Nephrology, Pharmacology ")</f>
        <v> Keywords: Diabetics, Hepatology, Drug Development, Pharmacokinetics, 
Nephrology, Pharmacology </v>
      </c>
      <c r="C27" s="6" t="str">
        <f>IFERROR(__xludf.DUMMYFUNCTION("""COMPUTED_VALUE"""),"APEX GmbH")</f>
        <v>APEX GmbH</v>
      </c>
      <c r="D27" s="6" t="str">
        <f>IFERROR(__xludf.DUMMYFUNCTION("""COMPUTED_VALUE"""),"Landsberger Str. 476 Deutschland-81241 München")</f>
        <v>Landsberger Str. 476 Deutschland-81241 München</v>
      </c>
      <c r="E27" s="6" t="str">
        <f>IFERROR(__xludf.DUMMYFUNCTION("""COMPUTED_VALUE""")," Telefon: +49 (0) 89 896016-0 Fax: +49 (0) 89 896016-33http://www.apex-research.commail@remove-this.apex-research.com")</f>
        <v> Telefon: +49 (0) 89 896016-0 Fax: +49 (0) 89 896016-33http://www.apex-research.commail@remove-this.apex-research.com</v>
      </c>
    </row>
    <row r="28">
      <c r="A28" s="6" t="str">
        <f>IFERROR(__xludf.DUMMYFUNCTION("""COMPUTED_VALUE""")," Category: Biotech Agro, Food, Environment ")</f>
        <v> Category: Biotech Agro, Food, Environment </v>
      </c>
      <c r="B28" s="6" t="str">
        <f>IFERROR(__xludf.DUMMYFUNCTION("""COMPUTED_VALUE""")," Keywords: Tissue Engineering/Cell Culture, Xenotransplantation, Knock Out ")</f>
        <v> Keywords: Tissue Engineering/Cell Culture, Xenotransplantation, Knock Out </v>
      </c>
      <c r="C28" s="6" t="str">
        <f>IFERROR(__xludf.DUMMYFUNCTION("""COMPUTED_VALUE"""),"apoGene GmbH &amp; Co. KG")</f>
        <v>apoGene GmbH &amp; Co. KG</v>
      </c>
      <c r="D28" s="6" t="str">
        <f>IFERROR(__xludf.DUMMYFUNCTION("""COMPUTED_VALUE"""),"Larezhausen 2 Deutschland-86567 Hilgertshausen")</f>
        <v>Larezhausen 2 Deutschland-86567 Hilgertshausen</v>
      </c>
      <c r="E28" s="6" t="str">
        <f>IFERROR(__xludf.DUMMYFUNCTION("""COMPUTED_VALUE""")," Telefon: +49 (0) 8250 92790-10 Fax: +49 (0) 8250 92790-19http://www.apogene-gmbh.degottfried.brem@remove-this.apogene-gmbh.de")</f>
        <v> Telefon: +49 (0) 8250 92790-10 Fax: +49 (0) 8250 92790-19http://www.apogene-gmbh.degottfried.brem@remove-this.apogene-gmbh.de</v>
      </c>
    </row>
    <row r="29">
      <c r="A29" s="6" t="str">
        <f>IFERROR(__xludf.DUMMYFUNCTION("""COMPUTED_VALUE""")," Category: Medtech ")</f>
        <v> Category: Medtech </v>
      </c>
      <c r="B29" s="6" t="str">
        <f>IFERROR(__xludf.DUMMYFUNCTION("""COMPUTED_VALUE""")," Keywords: Imaging ")</f>
        <v> Keywords: Imaging </v>
      </c>
      <c r="C29" s="6" t="str">
        <f>IFERROR(__xludf.DUMMYFUNCTION("""COMPUTED_VALUE"""),"arivis AG")</f>
        <v>arivis AG</v>
      </c>
      <c r="D29" s="6" t="str">
        <f>IFERROR(__xludf.DUMMYFUNCTION("""COMPUTED_VALUE"""),"Erika-Mann-Straße 23 80636 München")</f>
        <v>Erika-Mann-Straße 23 80636 München</v>
      </c>
      <c r="E29" s="6" t="str">
        <f>IFERROR(__xludf.DUMMYFUNCTION("""COMPUTED_VALUE""")," Telefon: +49 (89) 4132458-0https://www.arivis.cominfo@remove-this.arivis.com")</f>
        <v> Telefon: +49 (89) 4132458-0https://www.arivis.cominfo@remove-this.arivis.com</v>
      </c>
    </row>
    <row r="30">
      <c r="A30" s="6" t="str">
        <f>IFERROR(__xludf.DUMMYFUNCTION("""COMPUTED_VALUE""")," Category: Biotech Therapeutics &amp; Diagnostics ")</f>
        <v> Category: Biotech Therapeutics &amp; Diagnostics </v>
      </c>
      <c r="B30" s="6" t="str">
        <f>IFERROR(__xludf.DUMMYFUNCTION("""COMPUTED_VALUE""")," Keywords: Drug Development, Gene Therapy, Industrial Biotechnology ")</f>
        <v> Keywords: Drug Development, Gene Therapy, Industrial Biotechnology </v>
      </c>
      <c r="C30" s="6" t="str">
        <f>IFERROR(__xludf.DUMMYFUNCTION("""COMPUTED_VALUE"""),"Ascend Gene and Cell Therapies GmbH")</f>
        <v>Ascend Gene and Cell Therapies GmbH</v>
      </c>
      <c r="D30" s="6" t="str">
        <f>IFERROR(__xludf.DUMMYFUNCTION("""COMPUTED_VALUE"""),"Fraunhoferstraße 9b. 82152 Deutschland--1 Planegg")</f>
        <v>Fraunhoferstraße 9b. 82152 Deutschland--1 Planegg</v>
      </c>
      <c r="E30" s="7" t="str">
        <f>IFERROR(__xludf.DUMMYFUNCTION("""COMPUTED_VALUE"""),"https://www.ascend-gctx.com/invoices@remove-this.ascend-gctx.com")</f>
        <v>https://www.ascend-gctx.com/invoices@remove-this.ascend-gctx.com</v>
      </c>
    </row>
    <row r="31">
      <c r="A31" s="6" t="str">
        <f>IFERROR(__xludf.DUMMYFUNCTION("""COMPUTED_VALUE""")," Category: CRO ")</f>
        <v> Category: CRO </v>
      </c>
      <c r="B31" s="6" t="str">
        <f>IFERROR(__xludf.DUMMYFUNCTION("""COMPUTED_VALUE""")," Keywords: Regulatory Affairs, Pharmacovigilance, Clinical Trial Management 
and Monitoring, Data Management and Biostatistics, Medical Writing ")</f>
        <v> Keywords: Regulatory Affairs, Pharmacovigilance, Clinical Trial Management 
and Monitoring, Data Management and Biostatistics, Medical Writing </v>
      </c>
      <c r="C31" s="6" t="str">
        <f>IFERROR(__xludf.DUMMYFUNCTION("""COMPUTED_VALUE"""),"ASPHALION, S.L., Zweigniederlassung München")</f>
        <v>ASPHALION, S.L., Zweigniederlassung München</v>
      </c>
      <c r="D31" s="6" t="str">
        <f>IFERROR(__xludf.DUMMYFUNCTION("""COMPUTED_VALUE"""),"Leopoldstrasse 244 Deutschland-80807 München")</f>
        <v>Leopoldstrasse 244 Deutschland-80807 München</v>
      </c>
      <c r="E31" s="6" t="str">
        <f>IFERROR(__xludf.DUMMYFUNCTION("""COMPUTED_VALUE""")," Telefon: +49 (0) 89 208 039 280http://www.asphalion.communich@remove-this.asphalion.com")</f>
        <v> Telefon: +49 (0) 89 208 039 280http://www.asphalion.communich@remove-this.asphalion.com</v>
      </c>
    </row>
    <row r="32">
      <c r="A32" s="6" t="str">
        <f>IFERROR(__xludf.DUMMYFUNCTION("""COMPUTED_VALUE""")," Category: Biotech Therapeutics &amp; Diagnostics ")</f>
        <v> Category: Biotech Therapeutics &amp; Diagnostics </v>
      </c>
      <c r="B32" s="6" t="str">
        <f>IFERROR(__xludf.DUMMYFUNCTION("""COMPUTED_VALUE""")," Keywords: Drug Development, Tissue Engineering/Cell Culture, Small 
Molecules, Automation, Pharmacology, Laboratory ")</f>
        <v> Keywords: Drug Development, Tissue Engineering/Cell Culture, Small 
Molecules, Automation, Pharmacology, Laboratory </v>
      </c>
      <c r="C32" s="6" t="str">
        <f>IFERROR(__xludf.DUMMYFUNCTION("""COMPUTED_VALUE"""),"Assay.Works GmbH")</f>
        <v>Assay.Works GmbH</v>
      </c>
      <c r="D32" s="6" t="str">
        <f>IFERROR(__xludf.DUMMYFUNCTION("""COMPUTED_VALUE"""),"Am BioPark 11 Deutschland-93053 Regensburg")</f>
        <v>Am BioPark 11 Deutschland-93053 Regensburg</v>
      </c>
      <c r="E32" s="6" t="str">
        <f>IFERROR(__xludf.DUMMYFUNCTION("""COMPUTED_VALUE""")," Telefon: +49 941 2000 1240 Fax: +49 941 2000 1241https://www.assay.workscontact@remove-this.assay.works")</f>
        <v> Telefon: +49 941 2000 1240 Fax: +49 941 2000 1241https://www.assay.workscontact@remove-this.assay.works</v>
      </c>
    </row>
    <row r="33">
      <c r="A33" s="6" t="str">
        <f>IFERROR(__xludf.DUMMYFUNCTION("""COMPUTED_VALUE""")," Category: CRO ")</f>
        <v> Category: CRO </v>
      </c>
      <c r="B33" s="6" t="str">
        <f>IFERROR(__xludf.DUMMYFUNCTION("""COMPUTED_VALUE"""),"Assign International GmbH,Assign Group")</f>
        <v>Assign International GmbH,Assign Group</v>
      </c>
      <c r="C33" s="6" t="str">
        <f>IFERROR(__xludf.DUMMYFUNCTION("""COMPUTED_VALUE"""),"Fanny-Zobel-Straße 5 Deutschland-12435 Berlin, Germany")</f>
        <v>Fanny-Zobel-Straße 5 Deutschland-12435 Berlin, Germany</v>
      </c>
      <c r="D33" s="6" t="str">
        <f>IFERROR(__xludf.DUMMYFUNCTION("""COMPUTED_VALUE""")," Fax: +49 30 - 5 51 50 65 - 10http://www.assigngroup.comanusha.subramaniam@remove-this.assigngroup.com")</f>
        <v> Fax: +49 30 - 5 51 50 65 - 10http://www.assigngroup.comanusha.subramaniam@remove-this.assigngroup.com</v>
      </c>
      <c r="E33" s="6"/>
    </row>
    <row r="34">
      <c r="A34" s="6" t="str">
        <f>IFERROR(__xludf.DUMMYFUNCTION("""COMPUTED_VALUE""")," Category: Pharma &amp; Chemical Industry ")</f>
        <v> Category: Pharma &amp; Chemical Industry </v>
      </c>
      <c r="B34" s="6" t="str">
        <f>IFERROR(__xludf.DUMMYFUNCTION("""COMPUTED_VALUE""")," Keywords: Allergy, Autoimmune Diseases, Immune Therapy, Infectious 
Diseases, Drug Development, Antibiotics, Inflammation ")</f>
        <v> Keywords: Allergy, Autoimmune Diseases, Immune Therapy, Infectious 
Diseases, Drug Development, Antibiotics, Inflammation </v>
      </c>
      <c r="C34" s="6" t="str">
        <f>IFERROR(__xludf.DUMMYFUNCTION("""COMPUTED_VALUE"""),"Astellas Pharma GmbH")</f>
        <v>Astellas Pharma GmbH</v>
      </c>
      <c r="D34" s="6" t="str">
        <f>IFERROR(__xludf.DUMMYFUNCTION("""COMPUTED_VALUE"""),"Ridlerstraße 57 Deutschland-80339 München")</f>
        <v>Ridlerstraße 57 Deutschland-80339 München</v>
      </c>
      <c r="E34" s="6" t="str">
        <f>IFERROR(__xludf.DUMMYFUNCTION("""COMPUTED_VALUE""")," Telefon: +49 (0) 89 4544-01 Fax: +49 (0) 89 4544-1329https://www.astellas.com/decommunications.de@remove-this.astellas.com")</f>
        <v> Telefon: +49 (0) 89 4544-01 Fax: +49 (0) 89 4544-1329https://www.astellas.com/decommunications.de@remove-this.astellas.com</v>
      </c>
    </row>
    <row r="35">
      <c r="A35" s="6" t="str">
        <f>IFERROR(__xludf.DUMMYFUNCTION("""COMPUTED_VALUE""")," Category: Biotech Bioinformatics ")</f>
        <v> Category: Biotech Bioinformatics </v>
      </c>
      <c r="B35" s="6" t="str">
        <f>IFERROR(__xludf.DUMMYFUNCTION("""COMPUTED_VALUE""")," Keywords: Drug Development, Clinical Diagnostics, Oncology, Microscopy, 
Toxicology, Personalized Medicine ")</f>
        <v> Keywords: Drug Development, Clinical Diagnostics, Oncology, Microscopy, 
Toxicology, Personalized Medicine </v>
      </c>
      <c r="C35" s="6" t="str">
        <f>IFERROR(__xludf.DUMMYFUNCTION("""COMPUTED_VALUE"""),"AstraZeneca Computational Pathology Munich,formerly Definiens AGAstraZeneca Computational Pathology Munich ")</f>
        <v>AstraZeneca Computational Pathology Munich,formerly Definiens AGAstraZeneca Computational Pathology Munich </v>
      </c>
      <c r="D35" s="6" t="str">
        <f>IFERROR(__xludf.DUMMYFUNCTION("""COMPUTED_VALUE"""),"Bernhard-Wicki-Straße 5 Deutschland-80636 München")</f>
        <v>Bernhard-Wicki-Straße 5 Deutschland-80636 München</v>
      </c>
      <c r="E35" s="6" t="str">
        <f>IFERROR(__xludf.DUMMYFUNCTION("""COMPUTED_VALUE""")," Telefon: +49 (0) 89 231180-0 Fax: +49 (0) 89 231180-90http://www.astrazeneca.com")</f>
        <v> Telefon: +49 (0) 89 231180-0 Fax: +49 (0) 89 231180-90http://www.astrazeneca.com</v>
      </c>
    </row>
    <row r="36">
      <c r="A36" s="6" t="str">
        <f>IFERROR(__xludf.DUMMYFUNCTION("""COMPUTED_VALUE""")," Category: Medtech ")</f>
        <v> Category: Medtech </v>
      </c>
      <c r="B36" s="6" t="str">
        <f>IFERROR(__xludf.DUMMYFUNCTION("""COMPUTED_VALUE"""),"ATI International,Autonomic Technologies Europe GmbH")</f>
        <v>ATI International,Autonomic Technologies Europe GmbH</v>
      </c>
      <c r="C36" s="6" t="str">
        <f>IFERROR(__xludf.DUMMYFUNCTION("""COMPUTED_VALUE"""),"Guerickestraße 25 Deutschland-80805 München")</f>
        <v>Guerickestraße 25 Deutschland-80805 München</v>
      </c>
      <c r="D36" s="6" t="str">
        <f>IFERROR(__xludf.DUMMYFUNCTION("""COMPUTED_VALUE""")," Telefon: +49 (0)89 323 875 910http://www.ati-spg.com/europe/de/tbianchi@remove-this.ati-spg.com")</f>
        <v> Telefon: +49 (0)89 323 875 910http://www.ati-spg.com/europe/de/tbianchi@remove-this.ati-spg.com</v>
      </c>
      <c r="E36" s="6"/>
    </row>
    <row r="37">
      <c r="A37" s="6" t="str">
        <f>IFERROR(__xludf.DUMMYFUNCTION("""COMPUTED_VALUE""")," Category: CRO ")</f>
        <v> Category: CRO </v>
      </c>
      <c r="B37" s="6" t="str">
        <f>IFERROR(__xludf.DUMMYFUNCTION("""COMPUTED_VALUE""")," Keywords: Clinical Trial Management and Monitoring, Data Management and 
Biostatistics ")</f>
        <v> Keywords: Clinical Trial Management and Monitoring, Data Management and 
Biostatistics </v>
      </c>
      <c r="C37" s="6" t="str">
        <f>IFERROR(__xludf.DUMMYFUNCTION("""COMPUTED_VALUE"""),"Atlant Clinical GmbH")</f>
        <v>Atlant Clinical GmbH</v>
      </c>
      <c r="D37" s="6" t="str">
        <f>IFERROR(__xludf.DUMMYFUNCTION("""COMPUTED_VALUE"""),"Friedrich-Ebert-Anlage 35-37, Tower 185 Deutschland-60327 Frankfurt / M.")</f>
        <v>Friedrich-Ebert-Anlage 35-37, Tower 185 Deutschland-60327 Frankfurt / M.</v>
      </c>
      <c r="E37" s="6" t="str">
        <f>IFERROR(__xludf.DUMMYFUNCTION("""COMPUTED_VALUE""")," Telefon: +49 (0) 89 20 70 40 - 333 Fax: +49 (0) 89 20 70 40 - 450http://www.atlantclinical.comaleksandr.dobroslavskii@remove-this.atlantclinical.com")</f>
        <v> Telefon: +49 (0) 89 20 70 40 - 333 Fax: +49 (0) 89 20 70 40 - 450http://www.atlantclinical.comaleksandr.dobroslavskii@remove-this.atlantclinical.com</v>
      </c>
    </row>
    <row r="38">
      <c r="A38" s="6" t="str">
        <f>IFERROR(__xludf.DUMMYFUNCTION("""COMPUTED_VALUE""")," Category: Biotech Therapeutics &amp; Diagnostics ")</f>
        <v> Category: Biotech Therapeutics &amp; Diagnostics </v>
      </c>
      <c r="B38" s="6" t="str">
        <f>IFERROR(__xludf.DUMMYFUNCTION("""COMPUTED_VALUE""")," Keywords: Respiratory Diseases ")</f>
        <v> Keywords: Respiratory Diseases </v>
      </c>
      <c r="C38" s="6" t="str">
        <f>IFERROR(__xludf.DUMMYFUNCTION("""COMPUTED_VALUE"""),"Atriva Therapeutics GmbH")</f>
        <v>Atriva Therapeutics GmbH</v>
      </c>
      <c r="D38" s="6" t="str">
        <f>IFERROR(__xludf.DUMMYFUNCTION("""COMPUTED_VALUE"""),"Am Klopferspitz 19 Headquarters: Eisenbahnstr. 1 72072 Tübingen  Deutschland-82152 Martinsried")</f>
        <v>Am Klopferspitz 19 Headquarters: Eisenbahnstr. 1 72072 Tübingen  Deutschland-82152 Martinsried</v>
      </c>
      <c r="E38" s="7" t="str">
        <f>IFERROR(__xludf.DUMMYFUNCTION("""COMPUTED_VALUE"""),"https://www.atriva-therapeutics.com/info@remove-this.atriva-therapeutics.com")</f>
        <v>https://www.atriva-therapeutics.com/info@remove-this.atriva-therapeutics.com</v>
      </c>
    </row>
    <row r="39">
      <c r="A39" s="6" t="str">
        <f>IFERROR(__xludf.DUMMYFUNCTION("""COMPUTED_VALUE""")," Category: Biotech Devices &amp; Reagents ")</f>
        <v> Category: Biotech Devices &amp; Reagents </v>
      </c>
      <c r="B39" s="6" t="str">
        <f>IFERROR(__xludf.DUMMYFUNCTION("""COMPUTED_VALUE""")," Keywords: Nanobiotechnology, Devices, Analytical Chemistry, Microscopy, 
Molecular Diagnostics ")</f>
        <v> Keywords: Nanobiotechnology, Devices, Analytical Chemistry, Microscopy, 
Molecular Diagnostics </v>
      </c>
      <c r="C39" s="6" t="str">
        <f>IFERROR(__xludf.DUMMYFUNCTION("""COMPUTED_VALUE"""),"attocube systems AGBusiness Sector Nanoscale Analytics Product Line neaspec ")</f>
        <v>attocube systems AGBusiness Sector Nanoscale Analytics Product Line neaspec </v>
      </c>
      <c r="D39" s="6" t="str">
        <f>IFERROR(__xludf.DUMMYFUNCTION("""COMPUTED_VALUE"""),"Eglfinger Weg 2 Deutschland-85540 Haar (Munich)")</f>
        <v>Eglfinger Weg 2 Deutschland-85540 Haar (Munich)</v>
      </c>
      <c r="E39" s="6" t="str">
        <f>IFERROR(__xludf.DUMMYFUNCTION("""COMPUTED_VALUE""")," Telefon: +49 (0) 89 420 797 203 -30 Fax: +49 89 420 797 203 -99http://www.attocube.cominfo@remove-this.attocube.com")</f>
        <v> Telefon: +49 (0) 89 420 797 203 -30 Fax: +49 89 420 797 203 -99http://www.attocube.cominfo@remove-this.attocube.com</v>
      </c>
    </row>
    <row r="40">
      <c r="A40" s="6" t="str">
        <f>IFERROR(__xludf.DUMMYFUNCTION("""COMPUTED_VALUE""")," Category: Other Services ")</f>
        <v> Category: Other Services </v>
      </c>
      <c r="B40" s="6" t="str">
        <f>IFERROR(__xludf.DUMMYFUNCTION("""COMPUTED_VALUE"""),"ATV GmbH")</f>
        <v>ATV GmbH</v>
      </c>
      <c r="C40" s="6" t="str">
        <f>IFERROR(__xludf.DUMMYFUNCTION("""COMPUTED_VALUE"""),"Machtlfinger Str. 13 Deutschland-81379 München")</f>
        <v>Machtlfinger Str. 13 Deutschland-81379 München</v>
      </c>
      <c r="D40" s="6" t="str">
        <f>IFERROR(__xludf.DUMMYFUNCTION("""COMPUTED_VALUE""")," Telefon: +49 89 54 70 34 0http://www.atv-seminare.demuenchen@remove-this.atv-seminare.de")</f>
        <v> Telefon: +49 89 54 70 34 0http://www.atv-seminare.demuenchen@remove-this.atv-seminare.de</v>
      </c>
      <c r="E40" s="6"/>
    </row>
    <row r="41">
      <c r="A41" s="6" t="str">
        <f>IFERROR(__xludf.DUMMYFUNCTION("""COMPUTED_VALUE""")," Category: Biotech Preclinical Services ")</f>
        <v> Category: Biotech Preclinical Services </v>
      </c>
      <c r="B41" s="6" t="str">
        <f>IFERROR(__xludf.DUMMYFUNCTION("""COMPUTED_VALUE""")," Keywords: Drug Development, Pharmacokinetics, ELISA/EIA, Pharmacology, 
Toxicology, Bioanalytics ")</f>
        <v> Keywords: Drug Development, Pharmacokinetics, ELISA/EIA, Pharmacology, 
Toxicology, Bioanalytics </v>
      </c>
      <c r="C41" s="6" t="str">
        <f>IFERROR(__xludf.DUMMYFUNCTION("""COMPUTED_VALUE"""),"Aurigon GmbH")</f>
        <v>Aurigon GmbH</v>
      </c>
      <c r="D41" s="6" t="str">
        <f>IFERROR(__xludf.DUMMYFUNCTION("""COMPUTED_VALUE"""),"Planegger Str. 9a Deutschland-81241 München")</f>
        <v>Planegger Str. 9a Deutschland-81241 München</v>
      </c>
      <c r="E41" s="6" t="str">
        <f>IFERROR(__xludf.DUMMYFUNCTION("""COMPUTED_VALUE""")," Telefon: +49 (0) 89 780 720 010 Fax: 089/921 851 85http://www.aurigon.deinfo@remove-this.aurigon.de")</f>
        <v> Telefon: +49 (0) 89 780 720 010 Fax: 089/921 851 85http://www.aurigon.deinfo@remove-this.aurigon.de</v>
      </c>
    </row>
    <row r="42">
      <c r="A42" s="6" t="str">
        <f>IFERROR(__xludf.DUMMYFUNCTION("""COMPUTED_VALUE""")," Category: Pharma &amp; Chemical Industry ")</f>
        <v> Category: Pharma &amp; Chemical Industry </v>
      </c>
      <c r="B42" s="6" t="str">
        <f>IFERROR(__xludf.DUMMYFUNCTION("""COMPUTED_VALUE""")," Keywords: Logistics, Clinical Trial Management and Monitoring ")</f>
        <v> Keywords: Logistics, Clinical Trial Management and Monitoring </v>
      </c>
      <c r="C42" s="6" t="str">
        <f>IFERROR(__xludf.DUMMYFUNCTION("""COMPUTED_VALUE"""),"BAP Pharma GmbH")</f>
        <v>BAP Pharma GmbH</v>
      </c>
      <c r="D42" s="6" t="str">
        <f>IFERROR(__xludf.DUMMYFUNCTION("""COMPUTED_VALUE"""),"An der Kohlplatte 23 Deutschland-89420 Höchstädt a.d.Donau")</f>
        <v>An der Kohlplatte 23 Deutschland-89420 Höchstädt a.d.Donau</v>
      </c>
      <c r="E42" s="7" t="str">
        <f>IFERROR(__xludf.DUMMYFUNCTION("""COMPUTED_VALUE"""),"https://www.bappharma.com")</f>
        <v>https://www.bappharma.com</v>
      </c>
    </row>
    <row r="43">
      <c r="A43" s="6" t="str">
        <f>IFERROR(__xludf.DUMMYFUNCTION("""COMPUTED_VALUE""")," Category: Biotech Devices &amp; Reagents ")</f>
        <v> Category: Biotech Devices &amp; Reagents </v>
      </c>
      <c r="B43" s="6" t="str">
        <f>IFERROR(__xludf.DUMMYFUNCTION("""COMPUTED_VALUE""")," Keywords: Nanobiotechnology, PCR, Chip/Array Technology ")</f>
        <v> Keywords: Nanobiotechnology, PCR, Chip/Array Technology </v>
      </c>
      <c r="C43" s="6" t="str">
        <f>IFERROR(__xludf.DUMMYFUNCTION("""COMPUTED_VALUE"""),"baseclick GmbH")</f>
        <v>baseclick GmbH</v>
      </c>
      <c r="D43" s="6" t="str">
        <f>IFERROR(__xludf.DUMMYFUNCTION("""COMPUTED_VALUE"""),"Floriansbogen 2-4 Deutschland-82061 Neuried")</f>
        <v>Floriansbogen 2-4 Deutschland-82061 Neuried</v>
      </c>
      <c r="E43" s="6" t="str">
        <f>IFERROR(__xludf.DUMMYFUNCTION("""COMPUTED_VALUE""")," Telefon: +49 (0) 89 9699 3401 Fax: +49 (0) 89 9699 4696http://www.baseclick.euinfo@remove-this.baseclick.eu")</f>
        <v> Telefon: +49 (0) 89 9699 3401 Fax: +49 (0) 89 9699 4696http://www.baseclick.euinfo@remove-this.baseclick.eu</v>
      </c>
    </row>
    <row r="44">
      <c r="A44" s="8" t="str">
        <f>IFERROR(__xludf.DUMMYFUNCTION("IMPORTXML(C1,A2)")," Category: Biotech Therapeutics &amp; Diagnostics ")</f>
        <v> Category: Biotech Therapeutics &amp; Diagnostics </v>
      </c>
      <c r="B44" s="6" t="str">
        <f>IFERROR(__xludf.DUMMYFUNCTION("""COMPUTED_VALUE""")," Keywords: Allergy, Dermatology, Infectious Diseases, Drug Development, 
Antibiotics, Oncology ")</f>
        <v> Keywords: Allergy, Dermatology, Infectious Diseases, Drug Development, 
Antibiotics, Oncology </v>
      </c>
      <c r="C44" s="6" t="str">
        <f>IFERROR(__xludf.DUMMYFUNCTION("""COMPUTED_VALUE"""),"Basilea Pharmaceutica Deutschland GmbH")</f>
        <v>Basilea Pharmaceutica Deutschland GmbH</v>
      </c>
      <c r="D44" s="6" t="str">
        <f>IFERROR(__xludf.DUMMYFUNCTION("""COMPUTED_VALUE"""),"Kistlerhofstraße 75 Deutschland-81379 München")</f>
        <v>Kistlerhofstraße 75 Deutschland-81379 München</v>
      </c>
      <c r="E44" s="6" t="str">
        <f>IFERROR(__xludf.DUMMYFUNCTION("""COMPUTED_VALUE""")," Telefon: +49 (0) 89 785 7674-0 Fax: +49 (0) 89 785 7674-100http://www.basilea.combasilea.info@remove-this.basilea.com")</f>
        <v> Telefon: +49 (0) 89 785 7674-0 Fax: +49 (0) 89 785 7674-100http://www.basilea.combasilea.info@remove-this.basilea.com</v>
      </c>
    </row>
    <row r="45">
      <c r="A45" s="6" t="str">
        <f>IFERROR(__xludf.DUMMYFUNCTION("""COMPUTED_VALUE""")," Category: Biotech Therapeutics &amp; Diagnostics ")</f>
        <v> Category: Biotech Therapeutics &amp; Diagnostics </v>
      </c>
      <c r="B45" s="6" t="str">
        <f>IFERROR(__xludf.DUMMYFUNCTION("""COMPUTED_VALUE""")," Keywords: Immune Therapy, Infectious Diseases, Drug Development, Vaccines, 
Oncology ")</f>
        <v> Keywords: Immune Therapy, Infectious Diseases, Drug Development, Vaccines, 
Oncology </v>
      </c>
      <c r="C45" s="6" t="str">
        <f>IFERROR(__xludf.DUMMYFUNCTION("""COMPUTED_VALUE"""),"Bavarian Nordic GmbH")</f>
        <v>Bavarian Nordic GmbH</v>
      </c>
      <c r="D45" s="6" t="str">
        <f>IFERROR(__xludf.DUMMYFUNCTION("""COMPUTED_VALUE"""),"Fraunhoferstr. 13 Deutschland-82152 Martinsried")</f>
        <v>Fraunhoferstr. 13 Deutschland-82152 Martinsried</v>
      </c>
      <c r="E45" s="6" t="str">
        <f>IFERROR(__xludf.DUMMYFUNCTION("""COMPUTED_VALUE""")," Telefon: +49 (0) 89 255446-030 +4989255446300 Fax: +49 (0) 89 255446-333http://www.bavarian-nordic.comhho@remove-this.bavarian-nordic.com")</f>
        <v> Telefon: +49 (0) 89 255446-030 +4989255446300 Fax: +49 (0) 89 255446-333http://www.bavarian-nordic.comhho@remove-this.bavarian-nordic.com</v>
      </c>
    </row>
    <row r="46">
      <c r="A46" s="6" t="str">
        <f>IFERROR(__xludf.DUMMYFUNCTION("""COMPUTED_VALUE""")," Category: Pharma &amp; Chemical Industry ")</f>
        <v> Category: Pharma &amp; Chemical Industry </v>
      </c>
      <c r="B46" s="6" t="str">
        <f>IFERROR(__xludf.DUMMYFUNCTION("""COMPUTED_VALUE""")," Keywords: Hematology, Immune Therapy, Tissue Engineering/Cell Culture, 
Pain, Nephrology, Oncology ")</f>
        <v> Keywords: Hematology, Immune Therapy, Tissue Engineering/Cell Culture, 
Pain, Nephrology, Oncology </v>
      </c>
      <c r="C46" s="6" t="str">
        <f>IFERROR(__xludf.DUMMYFUNCTION("""COMPUTED_VALUE"""),"Baxter Deutschland GmbH")</f>
        <v>Baxter Deutschland GmbH</v>
      </c>
      <c r="D46" s="6" t="str">
        <f>IFERROR(__xludf.DUMMYFUNCTION("""COMPUTED_VALUE"""),"Edisonstr. 4 Deutschland-85716 Unterschleißheim")</f>
        <v>Edisonstr. 4 Deutschland-85716 Unterschleißheim</v>
      </c>
      <c r="E46" s="6" t="str">
        <f>IFERROR(__xludf.DUMMYFUNCTION("""COMPUTED_VALUE""")," Telefon: +49 (0) 89 31701-0 Fax: +49 (0) 89 31701-177http://www.baxter.deinfo_de@remove-this.baxter.com")</f>
        <v> Telefon: +49 (0) 89 31701-0 Fax: +49 (0) 89 31701-177http://www.baxter.deinfo_de@remove-this.baxter.com</v>
      </c>
    </row>
    <row r="47">
      <c r="A47" s="6" t="str">
        <f>IFERROR(__xludf.DUMMYFUNCTION("""COMPUTED_VALUE""")," Category: Research Institutes ")</f>
        <v> Category: Research Institutes </v>
      </c>
      <c r="B47" s="6" t="str">
        <f>IFERROR(__xludf.DUMMYFUNCTION("""COMPUTED_VALUE"""),"BCA-clinic Betriebs GmbH &amp; Co. KGBCA-Clinic Betriebs GmbH &amp; Co. KG ")</f>
        <v>BCA-clinic Betriebs GmbH &amp; Co. KGBCA-Clinic Betriebs GmbH &amp; Co. KG </v>
      </c>
      <c r="C47" s="6" t="str">
        <f>IFERROR(__xludf.DUMMYFUNCTION("""COMPUTED_VALUE"""),"Morellstraße 33, 3. OG Deutschland-86159 Augsburg")</f>
        <v>Morellstraße 33, 3. OG Deutschland-86159 Augsburg</v>
      </c>
      <c r="D47" s="7" t="str">
        <f>IFERROR(__xludf.DUMMYFUNCTION("""COMPUTED_VALUE"""),"http://www.bca-clinic.de")</f>
        <v>http://www.bca-clinic.de</v>
      </c>
      <c r="E47" s="6"/>
    </row>
    <row r="48">
      <c r="A48" s="6" t="str">
        <f>IFERROR(__xludf.DUMMYFUNCTION("""COMPUTED_VALUE""")," Category: Biotech Agro, Food, Environment ")</f>
        <v> Category: Biotech Agro, Food, Environment </v>
      </c>
      <c r="B48" s="6" t="str">
        <f>IFERROR(__xludf.DUMMYFUNCTION("""COMPUTED_VALUE"""),"BECIT GmbH")</f>
        <v>BECIT GmbH</v>
      </c>
      <c r="C48" s="6" t="str">
        <f>IFERROR(__xludf.DUMMYFUNCTION("""COMPUTED_VALUE"""),"Fritz-Hornschuch-Str. 9 Deutschland-95326 Kulmbach")</f>
        <v>Fritz-Hornschuch-Str. 9 Deutschland-95326 Kulmbach</v>
      </c>
      <c r="D48" s="6" t="str">
        <f>IFERROR(__xludf.DUMMYFUNCTION("""COMPUTED_VALUE""")," Telefon: 092 21/8 27 61 30 Fax: 0 92 21/8 27 61 33https://www.becit.de")</f>
        <v> Telefon: 092 21/8 27 61 30 Fax: 0 92 21/8 27 61 33https://www.becit.de</v>
      </c>
      <c r="E48" s="6"/>
    </row>
    <row r="49">
      <c r="A49" s="6" t="str">
        <f>IFERROR(__xludf.DUMMYFUNCTION("""COMPUTED_VALUE""")," Category: Biotech Devices &amp; Reagents ")</f>
        <v> Category: Biotech Devices &amp; Reagents </v>
      </c>
      <c r="B49" s="6" t="str">
        <f>IFERROR(__xludf.DUMMYFUNCTION("""COMPUTED_VALUE""")," Keywords: Nanobiotechnology, Devices, Automation, PCR ")</f>
        <v> Keywords: Nanobiotechnology, Devices, Automation, PCR </v>
      </c>
      <c r="C49" s="6" t="str">
        <f>IFERROR(__xludf.DUMMYFUNCTION("""COMPUTED_VALUE"""),"Beckman Coulter Biomedical GmbH")</f>
        <v>Beckman Coulter Biomedical GmbH</v>
      </c>
      <c r="D49" s="6" t="str">
        <f>IFERROR(__xludf.DUMMYFUNCTION("""COMPUTED_VALUE"""),"Sauerbruchstr. 50 Deutschland-81377 München")</f>
        <v>Sauerbruchstr. 50 Deutschland-81377 München</v>
      </c>
      <c r="E49" s="6" t="str">
        <f>IFERROR(__xludf.DUMMYFUNCTION("""COMPUTED_VALUE""")," Telefon: +49 (0) 89 579589-0 Fax: +49 (0) 89 579589-3503http://www.beckmancoulter.deinfo@remove-this.beckmancoulter.de")</f>
        <v> Telefon: +49 (0) 89 579589-0 Fax: +49 (0) 89 579589-3503http://www.beckmancoulter.deinfo@remove-this.beckmancoulter.de</v>
      </c>
    </row>
    <row r="50">
      <c r="A50" s="6" t="str">
        <f>IFERROR(__xludf.DUMMYFUNCTION("""COMPUTED_VALUE""")," Category: Pharma &amp; Chemical Industry ")</f>
        <v> Category: Pharma &amp; Chemical Industry </v>
      </c>
      <c r="B50" s="6" t="str">
        <f>IFERROR(__xludf.DUMMYFUNCTION("""COMPUTED_VALUE""")," Keywords: Allergy ")</f>
        <v> Keywords: Allergy </v>
      </c>
      <c r="C50" s="6" t="str">
        <f>IFERROR(__xludf.DUMMYFUNCTION("""COMPUTED_VALUE"""),"Bencard Allergie GmbH")</f>
        <v>Bencard Allergie GmbH</v>
      </c>
      <c r="D50" s="6" t="str">
        <f>IFERROR(__xludf.DUMMYFUNCTION("""COMPUTED_VALUE"""),"Leopoldstraße 175 Deutschland-80804 München")</f>
        <v>Leopoldstraße 175 Deutschland-80804 München</v>
      </c>
      <c r="E50" s="6" t="str">
        <f>IFERROR(__xludf.DUMMYFUNCTION("""COMPUTED_VALUE""")," Telefon: 089-36811-0https://www.bencard.deinfo@remove-this.bencard.com")</f>
        <v> Telefon: 089-36811-0https://www.bencard.deinfo@remove-this.bencard.com</v>
      </c>
    </row>
    <row r="51">
      <c r="A51" s="6" t="str">
        <f>IFERROR(__xludf.DUMMYFUNCTION("""COMPUTED_VALUE""")," Category: Pharma &amp; Chemical Industry ")</f>
        <v> Category: Pharma &amp; Chemical Industry </v>
      </c>
      <c r="B51" s="6" t="str">
        <f>IFERROR(__xludf.DUMMYFUNCTION("""COMPUTED_VALUE""")," Keywords: Drug Development, Pain ")</f>
        <v> Keywords: Drug Development, Pain </v>
      </c>
      <c r="C51" s="6" t="str">
        <f>IFERROR(__xludf.DUMMYFUNCTION("""COMPUTED_VALUE"""),"bene-Arzneimittel GmbH")</f>
        <v>bene-Arzneimittel GmbH</v>
      </c>
      <c r="D51" s="6" t="str">
        <f>IFERROR(__xludf.DUMMYFUNCTION("""COMPUTED_VALUE"""),"Herterichstr. 1 Deutschland-81479 München")</f>
        <v>Herterichstr. 1 Deutschland-81479 München</v>
      </c>
      <c r="E51" s="6" t="str">
        <f>IFERROR(__xludf.DUMMYFUNCTION("""COMPUTED_VALUE""")," Telefon: +49 (0) 89 74987-0 Fax: +49 (0) 89 74987-200http://www.bene-arzneimittel.decontact@remove-this.bene-arzneimittel.de")</f>
        <v> Telefon: +49 (0) 89 74987-0 Fax: +49 (0) 89 74987-200http://www.bene-arzneimittel.decontact@remove-this.bene-arzneimittel.de</v>
      </c>
    </row>
    <row r="52">
      <c r="A52" s="6" t="str">
        <f>IFERROR(__xludf.DUMMYFUNCTION("""COMPUTED_VALUE""")," Category: Biotech Therapeutics &amp; Diagnostics ")</f>
        <v> Category: Biotech Therapeutics &amp; Diagnostics </v>
      </c>
      <c r="B52" s="6" t="str">
        <f>IFERROR(__xludf.DUMMYFUNCTION("""COMPUTED_VALUE""")," Keywords: Nanobiotechnology, Drug Delivery, Liposomes ")</f>
        <v> Keywords: Nanobiotechnology, Drug Delivery, Liposomes </v>
      </c>
      <c r="C52" s="6" t="str">
        <f>IFERROR(__xludf.DUMMYFUNCTION("""COMPUTED_VALUE"""),"Bernina Plus GmbH")</f>
        <v>Bernina Plus GmbH</v>
      </c>
      <c r="D52" s="6" t="str">
        <f>IFERROR(__xludf.DUMMYFUNCTION("""COMPUTED_VALUE"""),"Am Klopferspitz 19 Deutschland-82152 Martinsried")</f>
        <v>Am Klopferspitz 19 Deutschland-82152 Martinsried</v>
      </c>
      <c r="E52" s="6" t="str">
        <f>IFERROR(__xludf.DUMMYFUNCTION("""COMPUTED_VALUE""")," Telefon: +49 (0) 89 52388-740 Fax: +49 (0) 89 52388-333http://www.berninaplus.degropp@remove-this.berninaplus.de")</f>
        <v> Telefon: +49 (0) 89 52388-740 Fax: +49 (0) 89 52388-333http://www.berninaplus.degropp@remove-this.berninaplus.de</v>
      </c>
    </row>
    <row r="53">
      <c r="A53" s="6" t="str">
        <f>IFERROR(__xludf.DUMMYFUNCTION("""COMPUTED_VALUE""")," Category: Pharma &amp; Chemical Industry ")</f>
        <v> Category: Pharma &amp; Chemical Industry </v>
      </c>
      <c r="B53" s="6" t="str">
        <f>IFERROR(__xludf.DUMMYFUNCTION("""COMPUTED_VALUE""")," Keywords: Drug Development, Pain ")</f>
        <v> Keywords: Drug Development, Pain </v>
      </c>
      <c r="C53" s="6" t="str">
        <f>IFERROR(__xludf.DUMMYFUNCTION("""COMPUTED_VALUE"""),"betapharm Arzneimittel GmbH")</f>
        <v>betapharm Arzneimittel GmbH</v>
      </c>
      <c r="D53" s="6" t="str">
        <f>IFERROR(__xludf.DUMMYFUNCTION("""COMPUTED_VALUE"""),"Kobelweg 95 Deutschland-86156 Augsburg")</f>
        <v>Kobelweg 95 Deutschland-86156 Augsburg</v>
      </c>
      <c r="E53" s="6" t="str">
        <f>IFERROR(__xludf.DUMMYFUNCTION("""COMPUTED_VALUE""")," Telefon: +49 (0) 821 74881-0 Fax: +49 (0) 821 74881-420http://www.betapharm.deinfo@remove-this.betapharm.de")</f>
        <v> Telefon: +49 (0) 821 74881-0 Fax: +49 (0) 821 74881-420http://www.betapharm.deinfo@remove-this.betapharm.de</v>
      </c>
    </row>
    <row r="54">
      <c r="A54" s="6" t="str">
        <f>IFERROR(__xludf.DUMMYFUNCTION("""COMPUTED_VALUE""")," Category: Biotech Therapeutics &amp; Diagnostics ")</f>
        <v> Category: Biotech Therapeutics &amp; Diagnostics </v>
      </c>
      <c r="B54" s="6" t="str">
        <f>IFERROR(__xludf.DUMMYFUNCTION("""COMPUTED_VALUE""")," Keywords: Agrobiotechnology, Medicinal Chemistry, Small Molecules, 
Oncology, Natural Compounds, Nutraceuticals ")</f>
        <v> Keywords: Agrobiotechnology, Medicinal Chemistry, Small Molecules, 
Oncology, Natural Compounds, Nutraceuticals </v>
      </c>
      <c r="C54" s="6" t="str">
        <f>IFERROR(__xludf.DUMMYFUNCTION("""COMPUTED_VALUE"""),"Bicoll GmbH")</f>
        <v>Bicoll GmbH</v>
      </c>
      <c r="D54" s="6" t="str">
        <f>IFERROR(__xludf.DUMMYFUNCTION("""COMPUTED_VALUE"""),"Am Klopferspitz 19 Deutschland-82152 Planegg")</f>
        <v>Am Klopferspitz 19 Deutschland-82152 Planegg</v>
      </c>
      <c r="E54" s="6" t="str">
        <f>IFERROR(__xludf.DUMMYFUNCTION("""COMPUTED_VALUE""")," Telefon: +49 (0) 89 820106-30http://www.bicoll-group.comcontact@remove-this.bicoll-group.com")</f>
        <v> Telefon: +49 (0) 89 820106-30http://www.bicoll-group.comcontact@remove-this.bicoll-group.com</v>
      </c>
    </row>
    <row r="55">
      <c r="A55" s="6" t="str">
        <f>IFERROR(__xludf.DUMMYFUNCTION("""COMPUTED_VALUE""")," Category: Biotech Agro, Food, Environment ")</f>
        <v> Category: Biotech Agro, Food, Environment </v>
      </c>
      <c r="B55" s="6" t="str">
        <f>IFERROR(__xludf.DUMMYFUNCTION("""COMPUTED_VALUE""")," Keywords: Agrobiotechnology, New Materials, Industrial Biotechnology ")</f>
        <v> Keywords: Agrobiotechnology, New Materials, Industrial Biotechnology </v>
      </c>
      <c r="C55" s="6" t="str">
        <f>IFERROR(__xludf.DUMMYFUNCTION("""COMPUTED_VALUE"""),"Bind-X GmbH")</f>
        <v>Bind-X GmbH</v>
      </c>
      <c r="D55" s="6" t="str">
        <f>IFERROR(__xludf.DUMMYFUNCTION("""COMPUTED_VALUE"""),"Am Klopferspitz 19 Deutschland-82152 Planegg")</f>
        <v>Am Klopferspitz 19 Deutschland-82152 Planegg</v>
      </c>
      <c r="E55" s="6" t="str">
        <f>IFERROR(__xludf.DUMMYFUNCTION("""COMPUTED_VALUE""")," Telefon: +49 (0) 89 2620344-0 Fax: 089/339-800-519https://www.bind-x.cominfo@remove-this.bind-x.com")</f>
        <v> Telefon: +49 (0) 89 2620344-0 Fax: 089/339-800-519https://www.bind-x.cominfo@remove-this.bind-x.com</v>
      </c>
    </row>
    <row r="56">
      <c r="A56" s="6" t="str">
        <f>IFERROR(__xludf.DUMMYFUNCTION("""COMPUTED_VALUE""")," Category: Biotech Devices &amp; Reagents ")</f>
        <v> Category: Biotech Devices &amp; Reagents </v>
      </c>
      <c r="B56" s="6" t="str">
        <f>IFERROR(__xludf.DUMMYFUNCTION("""COMPUTED_VALUE""")," Keywords: Antibody Production Service, Tissue Engineering/Cell Culture, 
Fine Chemicals/Reagents, Laboratory, Bioanalytics, In-Vitro-Diagnostics ")</f>
        <v> Keywords: Antibody Production Service, Tissue Engineering/Cell Culture, 
Fine Chemicals/Reagents, Laboratory, Bioanalytics, In-Vitro-Diagnostics </v>
      </c>
      <c r="C56" s="6" t="str">
        <f>IFERROR(__xludf.DUMMYFUNCTION("""COMPUTED_VALUE"""),"Bio-Rad AbD Serotec GmbH")</f>
        <v>Bio-Rad AbD Serotec GmbH</v>
      </c>
      <c r="D56" s="6" t="str">
        <f>IFERROR(__xludf.DUMMYFUNCTION("""COMPUTED_VALUE"""),"Campus Neuried, Anna-Sigmund-Str. 5 Deutschland-82061 Neuried")</f>
        <v>Campus Neuried, Anna-Sigmund-Str. 5 Deutschland-82061 Neuried</v>
      </c>
      <c r="E56" s="6" t="str">
        <f>IFERROR(__xludf.DUMMYFUNCTION("""COMPUTED_VALUE""")," Telefon: +49 (0) 89 80 90 95 21 Fax: +49 (0) 89 80 90 95 50https://www.bio-rad-antibodies.com/antibody_sales_de@remove-this.bio-rad.com")</f>
        <v> Telefon: +49 (0) 89 80 90 95 21 Fax: +49 (0) 89 80 90 95 50https://www.bio-rad-antibodies.com/antibody_sales_de@remove-this.bio-rad.com</v>
      </c>
    </row>
    <row r="57">
      <c r="A57" s="6" t="str">
        <f>IFERROR(__xludf.DUMMYFUNCTION("""COMPUTED_VALUE""")," Category: Biotech Devices &amp; Reagents ")</f>
        <v> Category: Biotech Devices &amp; Reagents </v>
      </c>
      <c r="B57" s="6" t="str">
        <f>IFERROR(__xludf.DUMMYFUNCTION("""COMPUTED_VALUE""")," Keywords: Genomics, Proteomics, Antibody Production Service, Gene 
Transfer, Peptide/Protein, Chip/Array Technology, Laboratory ")</f>
        <v> Keywords: Genomics, Proteomics, Antibody Production Service, Gene 
Transfer, Peptide/Protein, Chip/Array Technology, Laboratory </v>
      </c>
      <c r="C57" s="6" t="str">
        <f>IFERROR(__xludf.DUMMYFUNCTION("""COMPUTED_VALUE"""),"Bio-Rad Laboratories GmbH")</f>
        <v>Bio-Rad Laboratories GmbH</v>
      </c>
      <c r="D57" s="6" t="str">
        <f>IFERROR(__xludf.DUMMYFUNCTION("""COMPUTED_VALUE"""),"Kapellenstr. 12 Deutschland-85622 Feldkirchen")</f>
        <v>Kapellenstr. 12 Deutschland-85622 Feldkirchen</v>
      </c>
      <c r="E57" s="6" t="str">
        <f>IFERROR(__xludf.DUMMYFUNCTION("""COMPUTED_VALUE""")," Telefon: +49 (0) 89 31884-0 Fax: +49 (0) 89 31884-100http://www.bio-rad.cominfo@remove-this.bio-rad.de")</f>
        <v> Telefon: +49 (0) 89 31884-0 Fax: +49 (0) 89 31884-100http://www.bio-rad.cominfo@remove-this.bio-rad.de</v>
      </c>
    </row>
    <row r="58">
      <c r="A58" s="6" t="str">
        <f>IFERROR(__xludf.DUMMYFUNCTION("""COMPUTED_VALUE""")," Category: CRO ")</f>
        <v> Category: CRO </v>
      </c>
      <c r="B58" s="6" t="str">
        <f>IFERROR(__xludf.DUMMYFUNCTION("""COMPUTED_VALUE""")," Keywords: Cardiovascular Diseases, CNS, Metabolic Diseases, Neurology, 
Drug Development, Oncology, Imaging ")</f>
        <v> Keywords: Cardiovascular Diseases, CNS, Metabolic Diseases, Neurology, 
Drug Development, Oncology, Imaging </v>
      </c>
      <c r="C58" s="6" t="str">
        <f>IFERROR(__xludf.DUMMYFUNCTION("""COMPUTED_VALUE"""),"BioClinica GmbH")</f>
        <v>BioClinica GmbH</v>
      </c>
      <c r="D58" s="6" t="str">
        <f>IFERROR(__xludf.DUMMYFUNCTION("""COMPUTED_VALUE"""),"Landsberger Str. 290 Deutschland-80687 München")</f>
        <v>Landsberger Str. 290 Deutschland-80687 München</v>
      </c>
      <c r="E58" s="6" t="str">
        <f>IFERROR(__xludf.DUMMYFUNCTION("""COMPUTED_VALUE""")," Telefon: +49 (0) 89 2024 4497-0 Fax: +49 (0) 89 2024 4497-9http://www.bioclinica.com")</f>
        <v> Telefon: +49 (0) 89 2024 4497-0 Fax: +49 (0) 89 2024 4497-9http://www.bioclinica.com</v>
      </c>
    </row>
    <row r="59">
      <c r="A59" s="6" t="str">
        <f>IFERROR(__xludf.DUMMYFUNCTION("""COMPUTED_VALUE""")," Category: Biotech Bioinformatics ")</f>
        <v> Category: Biotech Bioinformatics </v>
      </c>
      <c r="B59" s="6" t="str">
        <f>IFERROR(__xludf.DUMMYFUNCTION("""COMPUTED_VALUE""")," Keywords: Microscopy, Bioinformatics, Imaging ")</f>
        <v> Keywords: Microscopy, Bioinformatics, Imaging </v>
      </c>
      <c r="C59" s="6" t="str">
        <f>IFERROR(__xludf.DUMMYFUNCTION("""COMPUTED_VALUE"""),"BioDataAnalysis GmbH")</f>
        <v>BioDataAnalysis GmbH</v>
      </c>
      <c r="D59" s="6" t="str">
        <f>IFERROR(__xludf.DUMMYFUNCTION("""COMPUTED_VALUE"""),"Balanstr. 43 Deutschland-81669 München")</f>
        <v>Balanstr. 43 Deutschland-81669 München</v>
      </c>
      <c r="E59" s="6" t="str">
        <f>IFERROR(__xludf.DUMMYFUNCTION("""COMPUTED_VALUE""")," Telefon: +49-(0)151-68108489http://www.biodataanalysis.de")</f>
        <v> Telefon: +49-(0)151-68108489http://www.biodataanalysis.de</v>
      </c>
    </row>
    <row r="60">
      <c r="A60" s="6" t="str">
        <f>IFERROR(__xludf.DUMMYFUNCTION("""COMPUTED_VALUE""")," Category: Biotech Therapeutics &amp; Diagnostics ")</f>
        <v> Category: Biotech Therapeutics &amp; Diagnostics </v>
      </c>
      <c r="B60" s="6" t="str">
        <f>IFERROR(__xludf.DUMMYFUNCTION("""COMPUTED_VALUE"""),"bioeq GmbH")</f>
        <v>bioeq GmbH</v>
      </c>
      <c r="C60" s="6" t="str">
        <f>IFERROR(__xludf.DUMMYFUNCTION("""COMPUTED_VALUE"""),"Bergfeldstraße 9 Deutschland-83607 Holzkirchen")</f>
        <v>Bergfeldstraße 9 Deutschland-83607 Holzkirchen</v>
      </c>
      <c r="D60" s="6" t="str">
        <f>IFERROR(__xludf.DUMMYFUNCTION("""COMPUTED_VALUE""")," Telefon: +49 (0) 8024 46 333 0office@remove-this.bioeq.com")</f>
        <v> Telefon: +49 (0) 8024 46 333 0office@remove-this.bioeq.com</v>
      </c>
      <c r="E60" s="6"/>
    </row>
    <row r="61">
      <c r="A61" s="6" t="str">
        <f>IFERROR(__xludf.DUMMYFUNCTION("""COMPUTED_VALUE""")," Category: Biotech Therapeutics &amp; Diagnostics ")</f>
        <v> Category: Biotech Therapeutics &amp; Diagnostics </v>
      </c>
      <c r="B61" s="6" t="str">
        <f>IFERROR(__xludf.DUMMYFUNCTION("""COMPUTED_VALUE""")," Keywords: Autoimmune Diseases, Dermatology, Neurology, Rheumatoid 
Arthritis, Drug Development, Neuro-Degeneration, Industrial Biotechnology ")</f>
        <v> Keywords: Autoimmune Diseases, Dermatology, Neurology, Rheumatoid 
Arthritis, Drug Development, Neuro-Degeneration, Industrial Biotechnology </v>
      </c>
      <c r="C61" s="6" t="str">
        <f>IFERROR(__xludf.DUMMYFUNCTION("""COMPUTED_VALUE"""),"Biogen GmbH")</f>
        <v>Biogen GmbH</v>
      </c>
      <c r="D61" s="6" t="str">
        <f>IFERROR(__xludf.DUMMYFUNCTION("""COMPUTED_VALUE"""),"Riedenburger Straße 7 Deutschland-81677 München")</f>
        <v>Riedenburger Straße 7 Deutschland-81677 München</v>
      </c>
      <c r="E61" s="6" t="str">
        <f>IFERROR(__xludf.DUMMYFUNCTION("""COMPUTED_VALUE""")," Telefon: +49 (0) 89 99617-0 Fax: +49 (0) 89 99617-199http://www.biogen.destefan.schneider@remove-this.biogen.com")</f>
        <v> Telefon: +49 (0) 89 99617-0 Fax: +49 (0) 89 99617-199http://www.biogen.destefan.schneider@remove-this.biogen.com</v>
      </c>
    </row>
    <row r="62">
      <c r="A62" s="6" t="str">
        <f>IFERROR(__xludf.DUMMYFUNCTION("""COMPUTED_VALUE""")," Category: Biotech Agro, Food, Environment ")</f>
        <v> Category: Biotech Agro, Food, Environment </v>
      </c>
      <c r="B62" s="6" t="str">
        <f>IFERROR(__xludf.DUMMYFUNCTION("""COMPUTED_VALUE""")," Keywords: Infectious Diseases, Agrobiotechnology, Devices, Natural 
Compounds ")</f>
        <v> Keywords: Infectious Diseases, Agrobiotechnology, Devices, Natural 
Compounds </v>
      </c>
      <c r="C62" s="6" t="str">
        <f>IFERROR(__xludf.DUMMYFUNCTION("""COMPUTED_VALUE"""),"Biogents AG")</f>
        <v>Biogents AG</v>
      </c>
      <c r="D62" s="6" t="str">
        <f>IFERROR(__xludf.DUMMYFUNCTION("""COMPUTED_VALUE"""),"Weißenburgstr. 22 Deutschland-93055 Regensburg")</f>
        <v>Weißenburgstr. 22 Deutschland-93055 Regensburg</v>
      </c>
      <c r="E62" s="6" t="str">
        <f>IFERROR(__xludf.DUMMYFUNCTION("""COMPUTED_VALUE""")," Telefon: +49 (0) 941 5699 6947 Fax: +49 (0) 941 5699 2168http://www.biogents.combiogents@remove-this.biogents.com")</f>
        <v> Telefon: +49 (0) 941 5699 6947 Fax: +49 (0) 941 5699 2168http://www.biogents.combiogents@remove-this.biogents.com</v>
      </c>
    </row>
    <row r="63">
      <c r="A63" s="6" t="str">
        <f>IFERROR(__xludf.DUMMYFUNCTION("""COMPUTED_VALUE""")," Category: Other Services ")</f>
        <v> Category: Other Services </v>
      </c>
      <c r="B63" s="6" t="str">
        <f>IFERROR(__xludf.DUMMYFUNCTION("""COMPUTED_VALUE"""),"Biome Diagnostics GmbH")</f>
        <v>Biome Diagnostics GmbH</v>
      </c>
      <c r="C63" s="6" t="str">
        <f>IFERROR(__xludf.DUMMYFUNCTION("""COMPUTED_VALUE"""),"Meldemannstaße 18 Österreich-1200 Vienna")</f>
        <v>Meldemannstaße 18 Österreich-1200 Vienna</v>
      </c>
      <c r="D63" s="7" t="str">
        <f>IFERROR(__xludf.DUMMYFUNCTION("""COMPUTED_VALUE"""),"https://www.biome-dx.com")</f>
        <v>https://www.biome-dx.com</v>
      </c>
      <c r="E63" s="6"/>
    </row>
    <row r="64">
      <c r="A64" s="6" t="str">
        <f>IFERROR(__xludf.DUMMYFUNCTION("IMPORTXML(D1,A2)")," Category: Medtech ")</f>
        <v> Category: Medtech </v>
      </c>
      <c r="B64" s="6" t="str">
        <f>IFERROR(__xludf.DUMMYFUNCTION("""COMPUTED_VALUE"""),"BioMed Center Innovation gGmbH")</f>
        <v>BioMed Center Innovation gGmbH</v>
      </c>
      <c r="C64" s="6" t="str">
        <f>IFERROR(__xludf.DUMMYFUNCTION("""COMPUTED_VALUE"""),"Ludwig-Thoma-Str. 36c 95447 Bayreuth")</f>
        <v>Ludwig-Thoma-Str. 36c 95447 Bayreuth</v>
      </c>
      <c r="D64" s="7" t="str">
        <f>IFERROR(__xludf.DUMMYFUNCTION("""COMPUTED_VALUE"""),"https://www.biomed-center.com")</f>
        <v>https://www.biomed-center.com</v>
      </c>
      <c r="E64" s="6"/>
    </row>
    <row r="65">
      <c r="A65" s="6" t="str">
        <f>IFERROR(__xludf.DUMMYFUNCTION("""COMPUTED_VALUE""")," Category: Biotech Therapeutics &amp; Diagnostics ")</f>
        <v> Category: Biotech Therapeutics &amp; Diagnostics </v>
      </c>
      <c r="B65" s="6" t="str">
        <f>IFERROR(__xludf.DUMMYFUNCTION("""COMPUTED_VALUE""")," Keywords: Devices, Bioanalytics, In-Vitro-Diagnostics ")</f>
        <v> Keywords: Devices, Bioanalytics, In-Vitro-Diagnostics </v>
      </c>
      <c r="C65" s="6" t="str">
        <f>IFERROR(__xludf.DUMMYFUNCTION("""COMPUTED_VALUE"""),"Biomed Labordiagnostik GmbH")</f>
        <v>Biomed Labordiagnostik GmbH</v>
      </c>
      <c r="D65" s="6" t="str">
        <f>IFERROR(__xludf.DUMMYFUNCTION("""COMPUTED_VALUE"""),"Bruckmannring 32 Deutschland-85764 Oberschleißheim")</f>
        <v>Bruckmannring 32 Deutschland-85764 Oberschleißheim</v>
      </c>
      <c r="E65" s="6" t="str">
        <f>IFERROR(__xludf.DUMMYFUNCTION("""COMPUTED_VALUE""")," Telefon: +49 (0) 89 3157000 Fax: +49 (0) 89 31570010https://www.biomed.deinfo@remove-this.biomed.de")</f>
        <v> Telefon: +49 (0) 89 3157000 Fax: +49 (0) 89 31570010https://www.biomed.deinfo@remove-this.biomed.de</v>
      </c>
    </row>
    <row r="66">
      <c r="A66" s="6" t="str">
        <f>IFERROR(__xludf.DUMMYFUNCTION("""COMPUTED_VALUE""")," Category: Biotech Therapeutics &amp; Diagnostics ")</f>
        <v> Category: Biotech Therapeutics &amp; Diagnostics </v>
      </c>
      <c r="B66" s="6" t="str">
        <f>IFERROR(__xludf.DUMMYFUNCTION("""COMPUTED_VALUE""")," Keywords: Proteomics, Infectious Diseases, Clinical Diagnostics, 
Peptide/Protein ")</f>
        <v> Keywords: Proteomics, Infectious Diseases, Clinical Diagnostics, 
Peptide/Protein </v>
      </c>
      <c r="C66" s="6" t="str">
        <f>IFERROR(__xludf.DUMMYFUNCTION("""COMPUTED_VALUE"""),"bioMérieux Deutschland GmbHEndotoxin Center of Excellence ")</f>
        <v>bioMérieux Deutschland GmbHEndotoxin Center of Excellence </v>
      </c>
      <c r="D66" s="6" t="str">
        <f>IFERROR(__xludf.DUMMYFUNCTION("""COMPUTED_VALUE"""),"Am Rusgraben 1 Deutschland-82347 Bernried")</f>
        <v>Am Rusgraben 1 Deutschland-82347 Bernried</v>
      </c>
      <c r="E66" s="6" t="str">
        <f>IFERROR(__xludf.DUMMYFUNCTION("""COMPUTED_VALUE""")," Telefon: +4981589009900http://www.biomerieux.de")</f>
        <v> Telefon: +4981589009900http://www.biomerieux.de</v>
      </c>
    </row>
    <row r="67">
      <c r="A67" s="6" t="str">
        <f>IFERROR(__xludf.DUMMYFUNCTION("""COMPUTED_VALUE""")," Category: Biotech Therapeutics &amp; Diagnostics ")</f>
        <v> Category: Biotech Therapeutics &amp; Diagnostics </v>
      </c>
      <c r="B67" s="6" t="str">
        <f>IFERROR(__xludf.DUMMYFUNCTION("""COMPUTED_VALUE""")," Keywords: Drug Development, Drug Delivery, Peptide/Protein, Bone/Joint 
Diseases ")</f>
        <v> Keywords: Drug Development, Drug Delivery, Peptide/Protein, Bone/Joint 
Diseases </v>
      </c>
      <c r="C67" s="6" t="str">
        <f>IFERROR(__xludf.DUMMYFUNCTION("""COMPUTED_VALUE"""),"BioNet Pharma GmbH (former Scil Technology GmbH)")</f>
        <v>BioNet Pharma GmbH (former Scil Technology GmbH)</v>
      </c>
      <c r="D67" s="6" t="str">
        <f>IFERROR(__xludf.DUMMYFUNCTION("""COMPUTED_VALUE"""),"Platzl 3 Deutschland-80331 München")</f>
        <v>Platzl 3 Deutschland-80331 München</v>
      </c>
      <c r="E67" s="6" t="str">
        <f>IFERROR(__xludf.DUMMYFUNCTION("""COMPUTED_VALUE""")," Telefon: +49 (0) 89 38026652https://www.bionetpharma.comoffice@remove-this.bionetpharma.com")</f>
        <v> Telefon: +49 (0) 89 38026652https://www.bionetpharma.comoffice@remove-this.bionetpharma.com</v>
      </c>
    </row>
    <row r="68">
      <c r="A68" s="6" t="str">
        <f>IFERROR(__xludf.DUMMYFUNCTION("""COMPUTED_VALUE""")," Category: Biotech Therapeutics &amp; Diagnostics ")</f>
        <v> Category: Biotech Therapeutics &amp; Diagnostics </v>
      </c>
      <c r="B68" s="6" t="str">
        <f>IFERROR(__xludf.DUMMYFUNCTION("""COMPUTED_VALUE""")," Keywords: Immune Therapy, Medicinal Chemistry, Oncology ")</f>
        <v> Keywords: Immune Therapy, Medicinal Chemistry, Oncology </v>
      </c>
      <c r="C68" s="6" t="str">
        <f>IFERROR(__xludf.DUMMYFUNCTION("""COMPUTED_VALUE"""),"BioNTech SE - Munich Small Molecules ")</f>
        <v>BioNTech SE - Munich Small Molecules </v>
      </c>
      <c r="D68" s="6" t="str">
        <f>IFERROR(__xludf.DUMMYFUNCTION("""COMPUTED_VALUE"""),"Am Klopferspitz 19 a Deutschland-82152 Martinsried")</f>
        <v>Am Klopferspitz 19 a Deutschland-82152 Martinsried</v>
      </c>
      <c r="E68" s="6" t="str">
        <f>IFERROR(__xludf.DUMMYFUNCTION("""COMPUTED_VALUE""")," Telefon: +49 (0) 89 8188802-0 Fax: +49 (0) 89 8188802-20http://www.biontech.de")</f>
        <v> Telefon: +49 (0) 89 8188802-0 Fax: +49 (0) 89 8188802-20http://www.biontech.de</v>
      </c>
    </row>
    <row r="69">
      <c r="A69" s="6" t="str">
        <f>IFERROR(__xludf.DUMMYFUNCTION("""COMPUTED_VALUE""")," Category: Biotech Therapeutics &amp; Diagnostics ")</f>
        <v> Category: Biotech Therapeutics &amp; Diagnostics </v>
      </c>
      <c r="B69" s="6" t="str">
        <f>IFERROR(__xludf.DUMMYFUNCTION("""COMPUTED_VALUE""")," Keywords: Antibody ")</f>
        <v> Keywords: Antibody </v>
      </c>
      <c r="C69" s="6" t="str">
        <f>IFERROR(__xludf.DUMMYFUNCTION("""COMPUTED_VALUE"""),"BioNTech SE - Munich Antibody Platform ")</f>
        <v>BioNTech SE - Munich Antibody Platform </v>
      </c>
      <c r="D69" s="6" t="str">
        <f>IFERROR(__xludf.DUMMYFUNCTION("""COMPUTED_VALUE"""),"Forstenrieder Str. 8-14 Deutschland-82061 Neuried")</f>
        <v>Forstenrieder Str. 8-14 Deutschland-82061 Neuried</v>
      </c>
      <c r="E69" s="6" t="str">
        <f>IFERROR(__xludf.DUMMYFUNCTION("""COMPUTED_VALUE""")," Telefon: +4989899901780http://www.biontech.de")</f>
        <v> Telefon: +4989899901780http://www.biontech.de</v>
      </c>
    </row>
    <row r="70">
      <c r="A70" s="6" t="str">
        <f>IFERROR(__xludf.DUMMYFUNCTION("""COMPUTED_VALUE""")," Category: Biotech Devices &amp; Reagents ")</f>
        <v> Category: Biotech Devices &amp; Reagents </v>
      </c>
      <c r="B70" s="6" t="str">
        <f>IFERROR(__xludf.DUMMYFUNCTION("""COMPUTED_VALUE""")," Keywords: Nanobiotechnology, Gene Transfer, Liposomes, Gene Therapy, Fine 
Chemicals/Reagents, Microscopy ")</f>
        <v> Keywords: Nanobiotechnology, Gene Transfer, Liposomes, Gene Therapy, Fine 
Chemicals/Reagents, Microscopy </v>
      </c>
      <c r="C70" s="6" t="str">
        <f>IFERROR(__xludf.DUMMYFUNCTION("""COMPUTED_VALUE"""),"Biontex Laboratories GmbH")</f>
        <v>Biontex Laboratories GmbH</v>
      </c>
      <c r="D70" s="6" t="str">
        <f>IFERROR(__xludf.DUMMYFUNCTION("""COMPUTED_VALUE"""),"Landsberger Str. 234 Deutschland-80687 München")</f>
        <v>Landsberger Str. 234 Deutschland-80687 München</v>
      </c>
      <c r="E70" s="6" t="str">
        <f>IFERROR(__xludf.DUMMYFUNCTION("""COMPUTED_VALUE""")," Telefon: +49 (0) 89 324 7995-0 Fax: +49 (0) 89 324 7995-2http://www.biontex.comcontact@remove-this.biontex.com")</f>
        <v> Telefon: +49 (0) 89 324 7995-0 Fax: +49 (0) 89 324 7995-2http://www.biontex.comcontact@remove-this.biontex.com</v>
      </c>
    </row>
    <row r="71">
      <c r="A71" s="6" t="str">
        <f>IFERROR(__xludf.DUMMYFUNCTION("""COMPUTED_VALUE""")," Category: Pharma Animal Health ")</f>
        <v> Category: Pharma Animal Health </v>
      </c>
      <c r="B71" s="6" t="str">
        <f>IFERROR(__xludf.DUMMYFUNCTION("""COMPUTED_VALUE"""),"Biosepar Ges. für Medizin-u. Labortechnik mbH")</f>
        <v>Biosepar Ges. für Medizin-u. Labortechnik mbH</v>
      </c>
      <c r="C71" s="6" t="str">
        <f>IFERROR(__xludf.DUMMYFUNCTION("""COMPUTED_VALUE"""),"Adolf-Kolping-Strasse 34 Deutschland-84359 Simbach am Inn")</f>
        <v>Adolf-Kolping-Strasse 34 Deutschland-84359 Simbach am Inn</v>
      </c>
      <c r="D71" s="6" t="str">
        <f>IFERROR(__xludf.DUMMYFUNCTION("""COMPUTED_VALUE"""),"https://www.biosepar.demail@remove-this.biosepar.de")</f>
        <v>https://www.biosepar.demail@remove-this.biosepar.de</v>
      </c>
      <c r="E71" s="6"/>
    </row>
    <row r="72">
      <c r="A72" s="6" t="str">
        <f>IFERROR(__xludf.DUMMYFUNCTION("""COMPUTED_VALUE""")," Category: Biotech Bioinformatics ")</f>
        <v> Category: Biotech Bioinformatics </v>
      </c>
      <c r="B72" s="6" t="str">
        <f>IFERROR(__xludf.DUMMYFUNCTION("""COMPUTED_VALUE""")," Keywords: Genomics, Pharmacogenomics, NGS, Informatics, Personalized 
Medicine, Bioinformatics ")</f>
        <v> Keywords: Genomics, Pharmacogenomics, NGS, Informatics, Personalized 
Medicine, Bioinformatics </v>
      </c>
      <c r="C72" s="6" t="str">
        <f>IFERROR(__xludf.DUMMYFUNCTION("""COMPUTED_VALUE"""),"BioVariance GmbH")</f>
        <v>BioVariance GmbH</v>
      </c>
      <c r="D72" s="6" t="str">
        <f>IFERROR(__xludf.DUMMYFUNCTION("""COMPUTED_VALUE"""),"Kornbühlstraße 28 Deutschland-95643 Tirschenreuth")</f>
        <v>Kornbühlstraße 28 Deutschland-95643 Tirschenreuth</v>
      </c>
      <c r="E72" s="6" t="str">
        <f>IFERROR(__xludf.DUMMYFUNCTION("""COMPUTED_VALUE""")," Telefon: +49 (0) 9632 9248325 Fax: +49 (0) 9632 6839984http://www.biovariance.comjosef.scheiber@remove-this.biovariance.com")</f>
        <v> Telefon: +49 (0) 9632 9248325 Fax: +49 (0) 9632 6839984http://www.biovariance.comjosef.scheiber@remove-this.biovariance.com</v>
      </c>
    </row>
    <row r="73">
      <c r="A73" s="6" t="str">
        <f>IFERROR(__xludf.DUMMYFUNCTION("""COMPUTED_VALUE""")," Category: Biotech Devices &amp; Reagents ")</f>
        <v> Category: Biotech Devices &amp; Reagents </v>
      </c>
      <c r="B73" s="6" t="str">
        <f>IFERROR(__xludf.DUMMYFUNCTION("""COMPUTED_VALUE""")," Keywords: Proteomics, Clinical Diagnostics, Antibody, Peptide/Protein, 
Small Molecules, ELISA/EIA ")</f>
        <v> Keywords: Proteomics, Clinical Diagnostics, Antibody, Peptide/Protein, 
Small Molecules, ELISA/EIA </v>
      </c>
      <c r="C73" s="6" t="str">
        <f>IFERROR(__xludf.DUMMYFUNCTION("""COMPUTED_VALUE"""),"BIOZOL Diagnostica Vertrieb GmbH")</f>
        <v>BIOZOL Diagnostica Vertrieb GmbH</v>
      </c>
      <c r="D73" s="6" t="str">
        <f>IFERROR(__xludf.DUMMYFUNCTION("""COMPUTED_VALUE"""),"Leipziger Straße 4 Deutschland-85386 Eching")</f>
        <v>Leipziger Straße 4 Deutschland-85386 Eching</v>
      </c>
      <c r="E73" s="6" t="str">
        <f>IFERROR(__xludf.DUMMYFUNCTION("""COMPUTED_VALUE""")," Telefon: +49 (0) 89 379 9666-6 Fax: +49 (0) 89 379 9666-99http://www.biozol.deinfo@remove-this.biozol.de")</f>
        <v> Telefon: +49 (0) 89 379 9666-6 Fax: +49 (0) 89 379 9666-99http://www.biozol.deinfo@remove-this.biozol.de</v>
      </c>
    </row>
    <row r="74">
      <c r="A74" s="6" t="str">
        <f>IFERROR(__xludf.DUMMYFUNCTION("""COMPUTED_VALUE""")," Category: Biotech Bioinformatics ")</f>
        <v> Category: Biotech Bioinformatics </v>
      </c>
      <c r="B74" s="6" t="str">
        <f>IFERROR(__xludf.DUMMYFUNCTION("""COMPUTED_VALUE""")," Keywords: Data Management, Data Management and Biostatistics, Informatics ")</f>
        <v> Keywords: Data Management, Data Management and Biostatistics, Informatics </v>
      </c>
      <c r="C74" s="6" t="str">
        <f>IFERROR(__xludf.DUMMYFUNCTION("""COMPUTED_VALUE"""),"Bitcare GmbH")</f>
        <v>Bitcare GmbH</v>
      </c>
      <c r="D74" s="6" t="str">
        <f>IFERROR(__xludf.DUMMYFUNCTION("""COMPUTED_VALUE"""),"Corneliusstr. 30 Deutschland-80469 München")</f>
        <v>Corneliusstr. 30 Deutschland-80469 München</v>
      </c>
      <c r="E74" s="6" t="str">
        <f>IFERROR(__xludf.DUMMYFUNCTION("""COMPUTED_VALUE""")," Telefon: +49 89 9430 1309https://www.bitcare.de")</f>
        <v> Telefon: +49 89 9430 1309https://www.bitcare.de</v>
      </c>
    </row>
    <row r="75">
      <c r="A75" s="6" t="str">
        <f>IFERROR(__xludf.DUMMYFUNCTION("""COMPUTED_VALUE""")," Category: Biotech ")</f>
        <v> Category: Biotech </v>
      </c>
      <c r="B75" s="6" t="str">
        <f>IFERROR(__xludf.DUMMYFUNCTION("""COMPUTED_VALUE""")," Keywords: Industrial Biotechnology ")</f>
        <v> Keywords: Industrial Biotechnology </v>
      </c>
      <c r="C75" s="6" t="str">
        <f>IFERROR(__xludf.DUMMYFUNCTION("""COMPUTED_VALUE"""),"blaze.bio GmbH")</f>
        <v>blaze.bio GmbH</v>
      </c>
      <c r="D75" s="6" t="str">
        <f>IFERROR(__xludf.DUMMYFUNCTION("""COMPUTED_VALUE"""),"Maistr. 61 Deutschland-80337 München")</f>
        <v>Maistr. 61 Deutschland-80337 München</v>
      </c>
      <c r="E75" s="7" t="str">
        <f>IFERROR(__xludf.DUMMYFUNCTION("""COMPUTED_VALUE"""),"https://www.blaze.bio")</f>
        <v>https://www.blaze.bio</v>
      </c>
    </row>
    <row r="76">
      <c r="A76" s="6" t="str">
        <f>IFERROR(__xludf.DUMMYFUNCTION("""COMPUTED_VALUE""")," Category: Biotech Therapeutics &amp; Diagnostics ")</f>
        <v> Category: Biotech Therapeutics &amp; Diagnostics </v>
      </c>
      <c r="B76" s="6" t="str">
        <f>IFERROR(__xludf.DUMMYFUNCTION("""COMPUTED_VALUE"""),"bluebird bio (Germany) GmbH")</f>
        <v>bluebird bio (Germany) GmbH</v>
      </c>
      <c r="C76" s="6" t="str">
        <f>IFERROR(__xludf.DUMMYFUNCTION("""COMPUTED_VALUE"""),"Josephspitalstr. 15 Regus Deutschland-80331 München")</f>
        <v>Josephspitalstr. 15 Regus Deutschland-80331 München</v>
      </c>
      <c r="D76" s="7" t="str">
        <f>IFERROR(__xludf.DUMMYFUNCTION("""COMPUTED_VALUE"""),"https://www.bluebirdbio.de/")</f>
        <v>https://www.bluebirdbio.de/</v>
      </c>
      <c r="E76" s="6"/>
    </row>
    <row r="77">
      <c r="A77" s="6" t="str">
        <f>IFERROR(__xludf.DUMMYFUNCTION("""COMPUTED_VALUE""")," Category: Biotech Therapeutics &amp; Diagnostics ")</f>
        <v> Category: Biotech Therapeutics &amp; Diagnostics </v>
      </c>
      <c r="B77" s="6" t="str">
        <f>IFERROR(__xludf.DUMMYFUNCTION("""COMPUTED_VALUE""")," Keywords: Autoimmune Diseases, Cardiovascular Diseases, Diabetics, 
Metabolic Diseases, Clinical Diagnostics, Oncology ")</f>
        <v> Keywords: Autoimmune Diseases, Cardiovascular Diseases, Diabetics, 
Metabolic Diseases, Clinical Diagnostics, Oncology </v>
      </c>
      <c r="C77" s="6" t="str">
        <f>IFERROR(__xludf.DUMMYFUNCTION("""COMPUTED_VALUE"""),"Blutspendedienst des BRK gemeinnützige GmbH")</f>
        <v>Blutspendedienst des BRK gemeinnützige GmbH</v>
      </c>
      <c r="D77" s="6" t="str">
        <f>IFERROR(__xludf.DUMMYFUNCTION("""COMPUTED_VALUE"""),"Herzog-Heinrich-Str. 2 Deutschland-80336 München")</f>
        <v>Herzog-Heinrich-Str. 2 Deutschland-80336 München</v>
      </c>
      <c r="E77" s="6" t="str">
        <f>IFERROR(__xludf.DUMMYFUNCTION("""COMPUTED_VALUE""")," Telefon: +49 (0) 89 5399-0 Fax: +49 (0) 89 5399-4505https://www.blutspendedienst.comvertrieb@remove-this.blutspendedienst.com")</f>
        <v> Telefon: +49 (0) 89 5399-0 Fax: +49 (0) 89 5399-4505https://www.blutspendedienst.comvertrieb@remove-this.blutspendedienst.com</v>
      </c>
    </row>
    <row r="78">
      <c r="A78" s="6" t="str">
        <f>IFERROR(__xludf.DUMMYFUNCTION("""COMPUTED_VALUE""")," Category: Biotech Therapeutics &amp; Diagnostics ")</f>
        <v> Category: Biotech Therapeutics &amp; Diagnostics </v>
      </c>
      <c r="B78" s="6" t="str">
        <f>IFERROR(__xludf.DUMMYFUNCTION("""COMPUTED_VALUE""")," Keywords: Respiratory Diseases, Drug Development ")</f>
        <v> Keywords: Respiratory Diseases, Drug Development </v>
      </c>
      <c r="C78" s="6" t="str">
        <f>IFERROR(__xludf.DUMMYFUNCTION("""COMPUTED_VALUE"""),"Breath Therapeutics GmbH")</f>
        <v>Breath Therapeutics GmbH</v>
      </c>
      <c r="D78" s="6" t="str">
        <f>IFERROR(__xludf.DUMMYFUNCTION("""COMPUTED_VALUE"""),"Landsberger Straße 302 Deutschland-80687 München")</f>
        <v>Landsberger Straße 302 Deutschland-80687 München</v>
      </c>
      <c r="E78" s="7" t="str">
        <f>IFERROR(__xludf.DUMMYFUNCTION("""COMPUTED_VALUE"""),"https://www.breath-therapeutics.com")</f>
        <v>https://www.breath-therapeutics.com</v>
      </c>
    </row>
    <row r="79">
      <c r="A79" s="6" t="str">
        <f>IFERROR(__xludf.DUMMYFUNCTION("""COMPUTED_VALUE""")," Category: Pharma &amp; Chemical Industry ")</f>
        <v> Category: Pharma &amp; Chemical Industry </v>
      </c>
      <c r="B79" s="6" t="str">
        <f>IFERROR(__xludf.DUMMYFUNCTION("""COMPUTED_VALUE""")," Keywords: Autoimmune Diseases, Cardiovascular Diseases, Hematology, 
Rheumatoid Arthritis, Oncology ")</f>
        <v> Keywords: Autoimmune Diseases, Cardiovascular Diseases, Hematology, 
Rheumatoid Arthritis, Oncology </v>
      </c>
      <c r="C79" s="6" t="str">
        <f>IFERROR(__xludf.DUMMYFUNCTION("""COMPUTED_VALUE"""),"Bristol-Myers Squibb GmbH &amp; Co. KGaA")</f>
        <v>Bristol-Myers Squibb GmbH &amp; Co. KGaA</v>
      </c>
      <c r="D79" s="6" t="str">
        <f>IFERROR(__xludf.DUMMYFUNCTION("""COMPUTED_VALUE"""),"Arnulfstr. 29 Deutschland-80636 München")</f>
        <v>Arnulfstr. 29 Deutschland-80636 München</v>
      </c>
      <c r="E79" s="6" t="str">
        <f>IFERROR(__xludf.DUMMYFUNCTION("""COMPUTED_VALUE""")," Telefon: +49 (0) 89 12142-0 Fax: +49 (0) 89 12142-392http://www.bms.com/deinfo-bms-germany@remove-this.bms.com")</f>
        <v> Telefon: +49 (0) 89 12142-0 Fax: +49 (0) 89 12142-392http://www.bms.com/deinfo-bms-germany@remove-this.bms.com</v>
      </c>
    </row>
    <row r="80">
      <c r="A80" s="6" t="str">
        <f>IFERROR(__xludf.DUMMYFUNCTION("""COMPUTED_VALUE""")," Category: CRO ")</f>
        <v> Category: CRO </v>
      </c>
      <c r="B80" s="6" t="str">
        <f>IFERROR(__xludf.DUMMYFUNCTION("""COMPUTED_VALUE""")," Keywords: Pharmacology, Toxicology ")</f>
        <v> Keywords: Pharmacology, Toxicology </v>
      </c>
      <c r="C80" s="6" t="str">
        <f>IFERROR(__xludf.DUMMYFUNCTION("""COMPUTED_VALUE"""),"BSL Bioservice Scientific Laboratories Munich GmbH")</f>
        <v>BSL Bioservice Scientific Laboratories Munich GmbH</v>
      </c>
      <c r="D80" s="6" t="str">
        <f>IFERROR(__xludf.DUMMYFUNCTION("""COMPUTED_VALUE"""),"Behringstraße 6/8 Deutschland-82152 Planegg-Martinsried")</f>
        <v>Behringstraße 6/8 Deutschland-82152 Planegg-Martinsried</v>
      </c>
      <c r="E80" s="6" t="str">
        <f>IFERROR(__xludf.DUMMYFUNCTION("""COMPUTED_VALUE"""),"http://www.bioservice.cominfo@remove-this.bioservice.com")</f>
        <v>http://www.bioservice.cominfo@remove-this.bioservice.com</v>
      </c>
    </row>
    <row r="81">
      <c r="A81" s="6" t="str">
        <f>IFERROR(__xludf.DUMMYFUNCTION("""COMPUTED_VALUE""")," Category: Biotech Devices &amp; Reagents ")</f>
        <v> Category: Biotech Devices &amp; Reagents </v>
      </c>
      <c r="B81" s="6" t="str">
        <f>IFERROR(__xludf.DUMMYFUNCTION("""COMPUTED_VALUE""")," Keywords: Genomics, Clinical Diagnostics, Tissue Engineering/Cell Culture, 
Microscopy, Toxicology, Molecular Diagnostics, Imaging ")</f>
        <v> Keywords: Genomics, Clinical Diagnostics, Tissue Engineering/Cell Culture, 
Microscopy, Toxicology, Molecular Diagnostics, Imaging </v>
      </c>
      <c r="C81" s="6" t="str">
        <f>IFERROR(__xludf.DUMMYFUNCTION("""COMPUTED_VALUE"""),"Carl Zeiss Microscopy GmbH")</f>
        <v>Carl Zeiss Microscopy GmbH</v>
      </c>
      <c r="D81" s="6" t="str">
        <f>IFERROR(__xludf.DUMMYFUNCTION("""COMPUTED_VALUE"""),"Kistlerhofstr. 75 Deutschland-81379 München")</f>
        <v>Kistlerhofstr. 75 Deutschland-81379 München</v>
      </c>
      <c r="E81" s="6" t="str">
        <f>IFERROR(__xludf.DUMMYFUNCTION("""COMPUTED_VALUE""")," Telefon: +49 (0) 89 909000-0http://www.zeiss.com/microscopymicroscopy@remove-this.zeiss.com")</f>
        <v> Telefon: +49 (0) 89 909000-0http://www.zeiss.com/microscopymicroscopy@remove-this.zeiss.com</v>
      </c>
    </row>
    <row r="82">
      <c r="A82" s="6" t="str">
        <f>IFERROR(__xludf.DUMMYFUNCTION("""COMPUTED_VALUE""")," Category: Biotech DNA/Protein Analytics ")</f>
        <v> Category: Biotech DNA/Protein Analytics </v>
      </c>
      <c r="B82" s="6" t="str">
        <f>IFERROR(__xludf.DUMMYFUNCTION("""COMPUTED_VALUE"""),"Carterra GmbH")</f>
        <v>Carterra GmbH</v>
      </c>
      <c r="C82" s="6" t="str">
        <f>IFERROR(__xludf.DUMMYFUNCTION("""COMPUTED_VALUE"""),"Bunsenstraße 7 Deutschland-82152 Martinsried")</f>
        <v>Bunsenstraße 7 Deutschland-82152 Martinsried</v>
      </c>
      <c r="D82" s="7" t="str">
        <f>IFERROR(__xludf.DUMMYFUNCTION("""COMPUTED_VALUE"""),"https://www.carterra-bio.com")</f>
        <v>https://www.carterra-bio.com</v>
      </c>
      <c r="E82" s="6"/>
    </row>
    <row r="83">
      <c r="A83" s="6" t="str">
        <f>IFERROR(__xludf.DUMMYFUNCTION("""COMPUTED_VALUE""")," Category: Chemical Industry ")</f>
        <v> Category: Chemical Industry </v>
      </c>
      <c r="B83" s="6" t="str">
        <f>IFERROR(__xludf.DUMMYFUNCTION("""COMPUTED_VALUE"""),"CASCAT GmbH")</f>
        <v>CASCAT GmbH</v>
      </c>
      <c r="C83" s="6" t="str">
        <f>IFERROR(__xludf.DUMMYFUNCTION("""COMPUTED_VALUE"""),"Europaring 4 Deutschland-94315 Straubing")</f>
        <v>Europaring 4 Deutschland-94315 Straubing</v>
      </c>
      <c r="D83" s="6" t="str">
        <f>IFERROR(__xludf.DUMMYFUNCTION("""COMPUTED_VALUE""")," Telefon: 9421785520http://www.cascat.de")</f>
        <v> Telefon: 9421785520http://www.cascat.de</v>
      </c>
      <c r="E83" s="6"/>
    </row>
    <row r="84">
      <c r="A84" s="6" t="str">
        <f>IFERROR(__xludf.DUMMYFUNCTION("IMPORTXML(E1,A2)")," Category: Biotech Therapeutics &amp; Diagnostics ")</f>
        <v> Category: Biotech Therapeutics &amp; Diagnostics </v>
      </c>
      <c r="B84" s="6" t="str">
        <f>IFERROR(__xludf.DUMMYFUNCTION("""COMPUTED_VALUE""")," Keywords: Hematology, Drug Development, Drug Delivery, Small Molecules, 
Oncology ")</f>
        <v> Keywords: Hematology, Drug Development, Drug Delivery, Small Molecules, 
Oncology </v>
      </c>
      <c r="C84" s="6" t="str">
        <f>IFERROR(__xludf.DUMMYFUNCTION("""COMPUTED_VALUE"""),"Celgene GmbH")</f>
        <v>Celgene GmbH</v>
      </c>
      <c r="D84" s="6" t="str">
        <f>IFERROR(__xludf.DUMMYFUNCTION("""COMPUTED_VALUE"""),"Joseph-Wild-Str. 20 Deutschland-81829 München")</f>
        <v>Joseph-Wild-Str. 20 Deutschland-81829 München</v>
      </c>
      <c r="E84" s="6" t="str">
        <f>IFERROR(__xludf.DUMMYFUNCTION("""COMPUTED_VALUE""")," Telefon: +49 (0) 89 451519-010 Fax: +49 (0) 89 451519-019http://www.celgene.deinfo@remove-this.celgene.de")</f>
        <v> Telefon: +49 (0) 89 451519-010 Fax: +49 (0) 89 451519-019http://www.celgene.deinfo@remove-this.celgene.de</v>
      </c>
    </row>
    <row r="85">
      <c r="A85" s="6" t="str">
        <f>IFERROR(__xludf.DUMMYFUNCTION("""COMPUTED_VALUE""")," Category: Biotech Devices &amp; Reagents ")</f>
        <v> Category: Biotech Devices &amp; Reagents </v>
      </c>
      <c r="B85" s="6" t="str">
        <f>IFERROR(__xludf.DUMMYFUNCTION("""COMPUTED_VALUE""")," Keywords: Devices, Toxicology, Laboratory, Bioanalytics, Biochips, 
In-Vitro-Diagnostics ")</f>
        <v> Keywords: Devices, Toxicology, Laboratory, Bioanalytics, Biochips, 
In-Vitro-Diagnostics </v>
      </c>
      <c r="C85" s="6" t="str">
        <f>IFERROR(__xludf.DUMMYFUNCTION("""COMPUTED_VALUE"""),"cellasys GmbH")</f>
        <v>cellasys GmbH</v>
      </c>
      <c r="D85" s="6" t="str">
        <f>IFERROR(__xludf.DUMMYFUNCTION("""COMPUTED_VALUE"""),"Illerstrasse 14 Deutschland-87758 Kronburg")</f>
        <v>Illerstrasse 14 Deutschland-87758 Kronburg</v>
      </c>
      <c r="E85" s="6" t="str">
        <f>IFERROR(__xludf.DUMMYFUNCTION("""COMPUTED_VALUE""")," Telefon: +49 (0) 8394 257929http://www.cellasys.cominfo@remove-this.cellasys.com")</f>
        <v> Telefon: +49 (0) 8394 257929http://www.cellasys.cominfo@remove-this.cellasys.com</v>
      </c>
    </row>
    <row r="86">
      <c r="A86" s="6" t="str">
        <f>IFERROR(__xludf.DUMMYFUNCTION("""COMPUTED_VALUE""")," Category: Biotech Devices &amp; Reagents ")</f>
        <v> Category: Biotech Devices &amp; Reagents </v>
      </c>
      <c r="B86" s="6" t="str">
        <f>IFERROR(__xludf.DUMMYFUNCTION("""COMPUTED_VALUE""")," Keywords: Microscopy ")</f>
        <v> Keywords: Microscopy </v>
      </c>
      <c r="C86" s="6" t="str">
        <f>IFERROR(__xludf.DUMMYFUNCTION("""COMPUTED_VALUE"""),"CellTool GmbH")</f>
        <v>CellTool GmbH</v>
      </c>
      <c r="D86" s="6" t="str">
        <f>IFERROR(__xludf.DUMMYFUNCTION("""COMPUTED_VALUE"""),"Lindemannstraße 13 Deutschland-82327 Tutzing")</f>
        <v>Lindemannstraße 13 Deutschland-82327 Tutzing</v>
      </c>
      <c r="E86" s="6" t="str">
        <f>IFERROR(__xludf.DUMMYFUNCTION("""COMPUTED_VALUE""")," Telefon: +498158906400 Fax: +49 (0)8158 904 2318http://www.celltool.deinfo-celltool@remove-this.celltool.de")</f>
        <v> Telefon: +498158906400 Fax: +49 (0)8158 904 2318http://www.celltool.deinfo-celltool@remove-this.celltool.de</v>
      </c>
    </row>
    <row r="87">
      <c r="A87" s="6" t="str">
        <f>IFERROR(__xludf.DUMMYFUNCTION("""COMPUTED_VALUE""")," Category: Biotech Devices &amp; Reagents ")</f>
        <v> Category: Biotech Devices &amp; Reagents </v>
      </c>
      <c r="B87" s="6" t="str">
        <f>IFERROR(__xludf.DUMMYFUNCTION("""COMPUTED_VALUE"""),"CellUnite GmbH")</f>
        <v>CellUnite GmbH</v>
      </c>
      <c r="C87" s="6" t="str">
        <f>IFERROR(__xludf.DUMMYFUNCTION("""COMPUTED_VALUE"""),"Eininger Straße 63 Deutschland-80993 München")</f>
        <v>Eininger Straße 63 Deutschland-80993 München</v>
      </c>
      <c r="D87" s="7" t="str">
        <f>IFERROR(__xludf.DUMMYFUNCTION("""COMPUTED_VALUE"""),"https://www.cellunitegroup.com/")</f>
        <v>https://www.cellunitegroup.com/</v>
      </c>
      <c r="E87" s="6"/>
    </row>
    <row r="88">
      <c r="A88" s="6" t="str">
        <f>IFERROR(__xludf.DUMMYFUNCTION("""COMPUTED_VALUE""")," Category: Biotech Devices &amp; Reagents ")</f>
        <v> Category: Biotech Devices &amp; Reagents </v>
      </c>
      <c r="B88" s="6" t="str">
        <f>IFERROR(__xludf.DUMMYFUNCTION("""COMPUTED_VALUE""")," Keywords: Clinical Diagnostics, Medicinal Chemistry, Analytical Chemistry, 
In-Vitro-Diagnostics ")</f>
        <v> Keywords: Clinical Diagnostics, Medicinal Chemistry, Analytical Chemistry, 
In-Vitro-Diagnostics </v>
      </c>
      <c r="C88" s="6" t="str">
        <f>IFERROR(__xludf.DUMMYFUNCTION("""COMPUTED_VALUE"""),"Centronic GmbH")</f>
        <v>Centronic GmbH</v>
      </c>
      <c r="D88" s="6" t="str">
        <f>IFERROR(__xludf.DUMMYFUNCTION("""COMPUTED_VALUE"""),"Am Kleinfeld 11 Deutschland-85456 Wartenberg")</f>
        <v>Am Kleinfeld 11 Deutschland-85456 Wartenberg</v>
      </c>
      <c r="E88" s="6" t="str">
        <f>IFERROR(__xludf.DUMMYFUNCTION("""COMPUTED_VALUE""")," Telefon: +49 (0) 8762 724300 Fax: +49 (0) 8762 724312http://www.centronic-gmbh.cominfo@remove-this.centronic-gmbh.com")</f>
        <v> Telefon: +49 (0) 8762 724300 Fax: +49 (0) 8762 724312http://www.centronic-gmbh.cominfo@remove-this.centronic-gmbh.com</v>
      </c>
    </row>
    <row r="89">
      <c r="A89" s="6" t="str">
        <f>IFERROR(__xludf.DUMMYFUNCTION("""COMPUTED_VALUE""")," Category: CRO ")</f>
        <v> Category: CRO </v>
      </c>
      <c r="B89" s="6" t="str">
        <f>IFERROR(__xludf.DUMMYFUNCTION("""COMPUTED_VALUE"""),"Charles River Laboratories,Research Models and Services, Deutschland GmbHCharles River Laboratories ")</f>
        <v>Charles River Laboratories,Research Models and Services, Deutschland GmbHCharles River Laboratories </v>
      </c>
      <c r="C89" s="6" t="str">
        <f>IFERROR(__xludf.DUMMYFUNCTION("""COMPUTED_VALUE"""),"Sandhofer Weg 7 Deutschland-97633 Sulzfeld")</f>
        <v>Sandhofer Weg 7 Deutschland-97633 Sulzfeld</v>
      </c>
      <c r="D89" s="6" t="str">
        <f>IFERROR(__xludf.DUMMYFUNCTION("""COMPUTED_VALUE""")," Telefon: +49 (0) 9761 406-0 Fax: +49 (0) 9761 406-60http://www.criver.comdbestell@remove-this.de.crl.com")</f>
        <v> Telefon: +49 (0) 9761 406-0 Fax: +49 (0) 9761 406-60http://www.criver.comdbestell@remove-this.de.crl.com</v>
      </c>
      <c r="E89" s="6"/>
    </row>
    <row r="90">
      <c r="A90" s="6" t="str">
        <f>IFERROR(__xludf.DUMMYFUNCTION("""COMPUTED_VALUE""")," Category: CRO ")</f>
        <v> Category: CRO </v>
      </c>
      <c r="B90" s="6" t="str">
        <f>IFERROR(__xludf.DUMMYFUNCTION("""COMPUTED_VALUE""")," Keywords: CNS, Neurology, Drug Development, Medicinal Chemistry, Pain, 
Pharmacology ")</f>
        <v> Keywords: CNS, Neurology, Drug Development, Medicinal Chemistry, Pain, 
Pharmacology </v>
      </c>
      <c r="C90" s="6" t="str">
        <f>IFERROR(__xludf.DUMMYFUNCTION("""COMPUTED_VALUE"""),"ChemDiv, Inc.")</f>
        <v>ChemDiv, Inc.</v>
      </c>
      <c r="D90" s="6" t="str">
        <f>IFERROR(__xludf.DUMMYFUNCTION("""COMPUTED_VALUE"""),"Waldstrasse 22 Deutschland-82049 Pullach")</f>
        <v>Waldstrasse 22 Deutschland-82049 Pullach</v>
      </c>
      <c r="E90" s="6" t="str">
        <f>IFERROR(__xludf.DUMMYFUNCTION("""COMPUTED_VALUE""")," Telefon: +49 (0) 89 74442700 Fax: +49 (0) 89 79367571http://www.chemdiv.comchemdiv@remove-this.chemdiv.com")</f>
        <v> Telefon: +49 (0) 89 74442700 Fax: +49 (0) 89 79367571http://www.chemdiv.comchemdiv@remove-this.chemdiv.com</v>
      </c>
    </row>
    <row r="91">
      <c r="A91" s="6" t="str">
        <f>IFERROR(__xludf.DUMMYFUNCTION("""COMPUTED_VALUE""")," Category: Biotech Devices &amp; Reagents ")</f>
        <v> Category: Biotech Devices &amp; Reagents </v>
      </c>
      <c r="B91" s="6" t="str">
        <f>IFERROR(__xludf.DUMMYFUNCTION("""COMPUTED_VALUE""")," Keywords: Proteomics, Antibody, Laboratory, Imaging ")</f>
        <v> Keywords: Proteomics, Antibody, Laboratory, Imaging </v>
      </c>
      <c r="C91" s="6" t="str">
        <f>IFERROR(__xludf.DUMMYFUNCTION("""COMPUTED_VALUE"""),"ChromoTek GmbH")</f>
        <v>ChromoTek GmbH</v>
      </c>
      <c r="D91" s="6" t="str">
        <f>IFERROR(__xludf.DUMMYFUNCTION("""COMPUTED_VALUE"""),"Am Klopferspitz 19 Deutschland-82152 Martinsried")</f>
        <v>Am Klopferspitz 19 Deutschland-82152 Martinsried</v>
      </c>
      <c r="E91" s="6" t="str">
        <f>IFERROR(__xludf.DUMMYFUNCTION("""COMPUTED_VALUE""")," Telefon: +49 (0) 89 124 148 8 - 0 Fax: +49 (0) 89 124 148 8 - 11http://www.chromotek.cominfo@remove-this.chromotek.com")</f>
        <v> Telefon: +49 (0) 89 124 148 8 - 0 Fax: +49 (0) 89 124 148 8 - 11http://www.chromotek.cominfo@remove-this.chromotek.com</v>
      </c>
    </row>
    <row r="92">
      <c r="A92" s="6" t="str">
        <f>IFERROR(__xludf.DUMMYFUNCTION("""COMPUTED_VALUE""")," Category: Pharma &amp; Chemical Industry ")</f>
        <v> Category: Pharma &amp; Chemical Industry </v>
      </c>
      <c r="B92" s="6" t="str">
        <f>IFERROR(__xludf.DUMMYFUNCTION("""COMPUTED_VALUE"""),"Cipla Europe NV")</f>
        <v>Cipla Europe NV</v>
      </c>
      <c r="C92" s="6" t="str">
        <f>IFERROR(__xludf.DUMMYFUNCTION("""COMPUTED_VALUE"""),"Inselkammerstraße 4 Deutschland-82008 Unterhaching")</f>
        <v>Inselkammerstraße 4 Deutschland-82008 Unterhaching</v>
      </c>
      <c r="D92" s="6" t="str">
        <f>IFERROR(__xludf.DUMMYFUNCTION("""COMPUTED_VALUE""")," Telefon: +49 (0) 89 6242208 10 Fax: +49 (0) 89 6242208 29http://www.cipla.comeurope@remove-this.cipla.com")</f>
        <v> Telefon: +49 (0) 89 6242208 10 Fax: +49 (0) 89 6242208 29http://www.cipla.comeurope@remove-this.cipla.com</v>
      </c>
      <c r="E92" s="6"/>
    </row>
    <row r="93">
      <c r="A93" s="6" t="str">
        <f>IFERROR(__xludf.DUMMYFUNCTION("""COMPUTED_VALUE""")," Category: Pharma &amp; Chemical Industry ")</f>
        <v> Category: Pharma &amp; Chemical Industry </v>
      </c>
      <c r="B93" s="6" t="str">
        <f>IFERROR(__xludf.DUMMYFUNCTION("""COMPUTED_VALUE""")," Keywords: Agrobiotechnology, New Materials ")</f>
        <v> Keywords: Agrobiotechnology, New Materials </v>
      </c>
      <c r="C93" s="6" t="str">
        <f>IFERROR(__xludf.DUMMYFUNCTION("""COMPUTED_VALUE"""),"Clariant Produkte (Deutschland) GmbH,Group BiotechnologyClariant Produkte (Deutschland) GmbH ")</f>
        <v>Clariant Produkte (Deutschland) GmbH,Group BiotechnologyClariant Produkte (Deutschland) GmbH </v>
      </c>
      <c r="D93" s="6" t="str">
        <f>IFERROR(__xludf.DUMMYFUNCTION("""COMPUTED_VALUE"""),"Semmelweisstraße 1 Deutschland-82152 Planegg b. München")</f>
        <v>Semmelweisstraße 1 Deutschland-82152 Planegg b. München</v>
      </c>
      <c r="E93" s="6" t="str">
        <f>IFERROR(__xludf.DUMMYFUNCTION("""COMPUTED_VALUE""")," Telefon: +49 (0) 89 710661-0 Fax: +49 (0) 89 710661-122http://www.clariant.combiotech@remove-this.clariant.com")</f>
        <v> Telefon: +49 (0) 89 710661-0 Fax: +49 (0) 89 710661-122http://www.clariant.combiotech@remove-this.clariant.com</v>
      </c>
    </row>
    <row r="94">
      <c r="A94" s="6" t="str">
        <f>IFERROR(__xludf.DUMMYFUNCTION("""COMPUTED_VALUE""")," Category: Biotech Bioinformatics ")</f>
        <v> Category: Biotech Bioinformatics </v>
      </c>
      <c r="B94" s="6" t="str">
        <f>IFERROR(__xludf.DUMMYFUNCTION("""COMPUTED_VALUE""")," Keywords: Cell Therapy, Devices, Oncology, Automation, Data Management, 
Regulatory Affairs, Clinical Trial Management and Monitoring ")</f>
        <v> Keywords: Cell Therapy, Devices, Oncology, Automation, Data Management, 
Regulatory Affairs, Clinical Trial Management and Monitoring </v>
      </c>
      <c r="C94" s="6" t="str">
        <f>IFERROR(__xludf.DUMMYFUNCTION("""COMPUTED_VALUE"""),"Climedo Health GmbH")</f>
        <v>Climedo Health GmbH</v>
      </c>
      <c r="D94" s="6" t="str">
        <f>IFERROR(__xludf.DUMMYFUNCTION("""COMPUTED_VALUE"""),"Schellingstr. 109a Deutschland-80798 München")</f>
        <v>Schellingstr. 109a Deutschland-80798 München</v>
      </c>
      <c r="E94" s="6" t="str">
        <f>IFERROR(__xludf.DUMMYFUNCTION("""COMPUTED_VALUE""")," Telefon: +49 89 32209394 0https://www.climedo.deinfo@remove-this.climedo.de")</f>
        <v> Telefon: +49 89 32209394 0https://www.climedo.deinfo@remove-this.climedo.de</v>
      </c>
    </row>
    <row r="95">
      <c r="A95" s="6" t="str">
        <f>IFERROR(__xludf.DUMMYFUNCTION("""COMPUTED_VALUE""")," Category: CRO ")</f>
        <v> Category: CRO </v>
      </c>
      <c r="B95" s="6" t="str">
        <f>IFERROR(__xludf.DUMMYFUNCTION("""COMPUTED_VALUE""")," Keywords: Drug Development, Oncology, Regulatory Affairs, Clinical Trial 
Management and Monitoring, Data Management and Biostatistics, Medical 
Writing, Orphan Drug ")</f>
        <v> Keywords: Drug Development, Oncology, Regulatory Affairs, Clinical Trial 
Management and Monitoring, Data Management and Biostatistics, Medical 
Writing, Orphan Drug </v>
      </c>
      <c r="C95" s="6" t="str">
        <f>IFERROR(__xludf.DUMMYFUNCTION("""COMPUTED_VALUE"""),"Clinipace GmbH")</f>
        <v>Clinipace GmbH</v>
      </c>
      <c r="D95" s="6" t="str">
        <f>IFERROR(__xludf.DUMMYFUNCTION("""COMPUTED_VALUE"""),"Helfmann-Park 10 Deutschland-65760 Eschborn")</f>
        <v>Helfmann-Park 10 Deutschland-65760 Eschborn</v>
      </c>
      <c r="E95" s="6" t="str">
        <f>IFERROR(__xludf.DUMMYFUNCTION("""COMPUTED_VALUE""")," Telefon: +49 (0) 6196 7009 - 0 Fax: +49 (0) 6196 7009 - 120http://www.clinipace.comcontact@remove-this.clinipace.com")</f>
        <v> Telefon: +49 (0) 6196 7009 - 0 Fax: +49 (0) 6196 7009 - 120http://www.clinipace.comcontact@remove-this.clinipace.com</v>
      </c>
    </row>
    <row r="96">
      <c r="A96" s="6" t="str">
        <f>IFERROR(__xludf.DUMMYFUNCTION("""COMPUTED_VALUE""")," Category: CRO ")</f>
        <v> Category: CRO </v>
      </c>
      <c r="B96" s="6" t="str">
        <f>IFERROR(__xludf.DUMMYFUNCTION("""COMPUTED_VALUE"""),"Clinrex Munich")</f>
        <v>Clinrex Munich</v>
      </c>
      <c r="C96" s="6" t="str">
        <f>IFERROR(__xludf.DUMMYFUNCTION("""COMPUTED_VALUE"""),"PF 1223 Deutschland-85572 Neubiberg")</f>
        <v>PF 1223 Deutschland-85572 Neubiberg</v>
      </c>
      <c r="D96" s="6" t="str">
        <f>IFERROR(__xludf.DUMMYFUNCTION("""COMPUTED_VALUE""")," Telefon: +49 (0) 89 929287-0 Fax: +49 (0) 89 929287-50http://www.clinrex.cominfo@remove-this.clinrex.com")</f>
        <v> Telefon: +49 (0) 89 929287-0 Fax: +49 (0) 89 929287-50http://www.clinrex.cominfo@remove-this.clinrex.com</v>
      </c>
      <c r="E96" s="6"/>
    </row>
    <row r="97">
      <c r="A97" s="6" t="str">
        <f>IFERROR(__xludf.DUMMYFUNCTION("""COMPUTED_VALUE""")," Category: Biotech Therapeutics &amp; Diagnostics ")</f>
        <v> Category: Biotech Therapeutics &amp; Diagnostics </v>
      </c>
      <c r="B97" s="6" t="str">
        <f>IFERROR(__xludf.DUMMYFUNCTION("""COMPUTED_VALUE"""),"COLORIMETRIX GmbH")</f>
        <v>COLORIMETRIX GmbH</v>
      </c>
      <c r="C97" s="6" t="str">
        <f>IFERROR(__xludf.DUMMYFUNCTION("""COMPUTED_VALUE"""),"c/o WeWork, Oskar-von-Miller-Ring 20 Deutschland-80333 München")</f>
        <v>c/o WeWork, Oskar-von-Miller-Ring 20 Deutschland-80333 München</v>
      </c>
      <c r="D97" s="6" t="str">
        <f>IFERROR(__xludf.DUMMYFUNCTION("""COMPUTED_VALUE"""),"https://www.colorimetrix.comcontact@remove-this.colorimetrix.com")</f>
        <v>https://www.colorimetrix.comcontact@remove-this.colorimetrix.com</v>
      </c>
      <c r="E97" s="6"/>
    </row>
    <row r="98">
      <c r="A98" s="6" t="str">
        <f>IFERROR(__xludf.DUMMYFUNCTION("""COMPUTED_VALUE""")," Category: CRO ")</f>
        <v> Category: CRO </v>
      </c>
      <c r="B98" s="6" t="str">
        <f>IFERROR(__xludf.DUMMYFUNCTION("""COMPUTED_VALUE""")," Keywords: Infectious Diseases, Vaccines, Devices, Oncology, veterinary 
clinical trials, Clinical Trial Management and Monitoring, Data Management 
and Biostatistics ")</f>
        <v> Keywords: Infectious Diseases, Vaccines, Devices, Oncology, veterinary 
clinical trials, Clinical Trial Management and Monitoring, Data Management 
and Biostatistics </v>
      </c>
      <c r="C98" s="6" t="str">
        <f>IFERROR(__xludf.DUMMYFUNCTION("""COMPUTED_VALUE"""),"Conreso GmbH")</f>
        <v>Conreso GmbH</v>
      </c>
      <c r="D98" s="6" t="str">
        <f>IFERROR(__xludf.DUMMYFUNCTION("""COMPUTED_VALUE"""),"Neuhauser Str. 47 Deutschland-80331 München")</f>
        <v>Neuhauser Str. 47 Deutschland-80331 München</v>
      </c>
      <c r="E98" s="6" t="str">
        <f>IFERROR(__xludf.DUMMYFUNCTION("""COMPUTED_VALUE""")," Telefon: +49 (0) 89 236650-0 Fax: +49 (0) 89 236650-50http://www.conreso.cominfo@remove-this.conreso.com")</f>
        <v> Telefon: +49 (0) 89 236650-0 Fax: +49 (0) 89 236650-50http://www.conreso.cominfo@remove-this.conreso.com</v>
      </c>
    </row>
    <row r="99">
      <c r="A99" s="6" t="str">
        <f>IFERROR(__xludf.DUMMYFUNCTION("""COMPUTED_VALUE""")," Category: CRO ")</f>
        <v> Category: CRO </v>
      </c>
      <c r="B99" s="6" t="str">
        <f>IFERROR(__xludf.DUMMYFUNCTION("""COMPUTED_VALUE""")," Keywords: Drug Development, Antibody, Antisense/Nucleotides, 
Peptide/Protein, Vaccines, R&amp;D Service, Viruses ")</f>
        <v> Keywords: Drug Development, Antibody, Antisense/Nucleotides, 
Peptide/Protein, Vaccines, R&amp;D Service, Viruses </v>
      </c>
      <c r="C99" s="6" t="str">
        <f>IFERROR(__xludf.DUMMYFUNCTION("""COMPUTED_VALUE"""),"Coriolis Pharma Research GmbH")</f>
        <v>Coriolis Pharma Research GmbH</v>
      </c>
      <c r="D99" s="6" t="str">
        <f>IFERROR(__xludf.DUMMYFUNCTION("""COMPUTED_VALUE"""),"Fraunhoferstr. 18b Deutschland-82152 Martinsried")</f>
        <v>Fraunhoferstr. 18b Deutschland-82152 Martinsried</v>
      </c>
      <c r="E99" s="6" t="str">
        <f>IFERROR(__xludf.DUMMYFUNCTION("""COMPUTED_VALUE""")," Telefon: +49 (0) 89 41 77 60 0 Fax: +49 (0) 89 41 77 60 222http://www.coriolis-pharma.comcontact@remove-this.coriolis-pharma.com")</f>
        <v> Telefon: +49 (0) 89 41 77 60 0 Fax: +49 (0) 89 41 77 60 222http://www.coriolis-pharma.comcontact@remove-this.coriolis-pharma.com</v>
      </c>
    </row>
    <row r="100">
      <c r="A100" s="6" t="str">
        <f>IFERROR(__xludf.DUMMYFUNCTION("""COMPUTED_VALUE""")," Category: Biotech Bioinformatics ")</f>
        <v> Category: Biotech Bioinformatics </v>
      </c>
      <c r="B100" s="6" t="str">
        <f>IFERROR(__xludf.DUMMYFUNCTION("""COMPUTED_VALUE""")," Keywords: Drug Development ")</f>
        <v> Keywords: Drug Development </v>
      </c>
      <c r="C100" s="6" t="str">
        <f>IFERROR(__xludf.DUMMYFUNCTION("""COMPUTED_VALUE"""),"Cortex Discovery GmbH")</f>
        <v>Cortex Discovery GmbH</v>
      </c>
      <c r="D100" s="6" t="str">
        <f>IFERROR(__xludf.DUMMYFUNCTION("""COMPUTED_VALUE"""),"Yorckstrasse 22 Deutschland-93049 Regensburg")</f>
        <v>Yorckstrasse 22 Deutschland-93049 Regensburg</v>
      </c>
      <c r="E100" s="7" t="str">
        <f>IFERROR(__xludf.DUMMYFUNCTION("""COMPUTED_VALUE"""),"https://www.cortexdiscovery.com/contact@remove-this.cortexdiscovery.com")</f>
        <v>https://www.cortexdiscovery.com/contact@remove-this.cortexdiscovery.com</v>
      </c>
    </row>
    <row r="101">
      <c r="A101" s="6" t="str">
        <f>IFERROR(__xludf.DUMMYFUNCTION("""COMPUTED_VALUE""")," Category: Biotech Preclinical Services ")</f>
        <v> Category: Biotech Preclinical Services </v>
      </c>
      <c r="B101" s="6" t="str">
        <f>IFERROR(__xludf.DUMMYFUNCTION("""COMPUTED_VALUE""")," Keywords: 3D-Structural Analysis, Peptide/Protein, Small Molecules ")</f>
        <v> Keywords: 3D-Structural Analysis, Peptide/Protein, Small Molecules </v>
      </c>
      <c r="C101" s="6" t="str">
        <f>IFERROR(__xludf.DUMMYFUNCTION("""COMPUTED_VALUE"""),"CRELUX GmbH - a WuXi AppTec company")</f>
        <v>CRELUX GmbH - a WuXi AppTec company</v>
      </c>
      <c r="D101" s="6" t="str">
        <f>IFERROR(__xludf.DUMMYFUNCTION("""COMPUTED_VALUE"""),"Am Klopferspitz 19 a Deutschland-82152 Martinsried")</f>
        <v>Am Klopferspitz 19 a Deutschland-82152 Martinsried</v>
      </c>
      <c r="E101" s="6" t="str">
        <f>IFERROR(__xludf.DUMMYFUNCTION("""COMPUTED_VALUE""")," Telefon: +49 (0) 89 700760-0 Fax: +49 (0) 89 700760-222http://www.crelux.comcrelux_office@remove-this.wuxiapptec.com")</f>
        <v> Telefon: +49 (0) 89 700760-0 Fax: +49 (0) 89 700760-222http://www.crelux.comcrelux_office@remove-this.wuxiapptec.com</v>
      </c>
    </row>
    <row r="102">
      <c r="A102" s="6" t="str">
        <f>IFERROR(__xludf.DUMMYFUNCTION("""COMPUTED_VALUE""")," Category: Other Services ")</f>
        <v> Category: Other Services </v>
      </c>
      <c r="B102" s="6" t="str">
        <f>IFERROR(__xludf.DUMMYFUNCTION("""COMPUTED_VALUE""")," Keywords: Logistics ")</f>
        <v> Keywords: Logistics </v>
      </c>
      <c r="C102" s="6" t="str">
        <f>IFERROR(__xludf.DUMMYFUNCTION("""COMPUTED_VALUE"""),"Cryondo GmbH")</f>
        <v>Cryondo GmbH</v>
      </c>
      <c r="D102" s="6" t="str">
        <f>IFERROR(__xludf.DUMMYFUNCTION("""COMPUTED_VALUE"""),"Schlosserstr. 4 Deutschland-80336 München")</f>
        <v>Schlosserstr. 4 Deutschland-80336 München</v>
      </c>
      <c r="E102" s="6" t="str">
        <f>IFERROR(__xludf.DUMMYFUNCTION("""COMPUTED_VALUE""")," Telefon: +49 (0) 89 / 540435-72https://www.cryondo.deinfo@remove-this.cryondo.de")</f>
        <v> Telefon: +49 (0) 89 / 540435-72https://www.cryondo.deinfo@remove-this.cryondo.de</v>
      </c>
    </row>
    <row r="103">
      <c r="A103" s="6" t="str">
        <f>IFERROR(__xludf.DUMMYFUNCTION("""COMPUTED_VALUE""")," Category: Biotech Devices &amp; Reagents ")</f>
        <v> Category: Biotech Devices &amp; Reagents </v>
      </c>
      <c r="B103" s="6" t="str">
        <f>IFERROR(__xludf.DUMMYFUNCTION("""COMPUTED_VALUE""")," Keywords: Devices, Chip/Array Technology, Molecular Diagnostics, 
In-Vitro-Diagnostics ")</f>
        <v> Keywords: Devices, Chip/Array Technology, Molecular Diagnostics, 
In-Vitro-Diagnostics </v>
      </c>
      <c r="C103" s="6" t="str">
        <f>IFERROR(__xludf.DUMMYFUNCTION("""COMPUTED_VALUE"""),"Cytophorics GbR")</f>
        <v>Cytophorics GbR</v>
      </c>
      <c r="D103" s="6" t="str">
        <f>IFERROR(__xludf.DUMMYFUNCTION("""COMPUTED_VALUE"""),"An der Rehwiese 20 Deutschland-81375 München")</f>
        <v>An der Rehwiese 20 Deutschland-81375 München</v>
      </c>
      <c r="E103" s="6" t="str">
        <f>IFERROR(__xludf.DUMMYFUNCTION("""COMPUTED_VALUE""")," Telefon: +49 (0) 89 30725921 Fax: +49 (0) 89 30725921http://www.cytophorics.cominfo@remove-this.cytophorics.com")</f>
        <v> Telefon: +49 (0) 89 30725921 Fax: +49 (0) 89 30725921http://www.cytophorics.cominfo@remove-this.cytophorics.com</v>
      </c>
    </row>
    <row r="104">
      <c r="A104" s="8" t="str">
        <f>IFERROR(__xludf.DUMMYFUNCTION("IMPORTXML(F1,A2)")," Category: Biotech Therapeutics &amp; Diagnostics ")</f>
        <v> Category: Biotech Therapeutics &amp; Diagnostics </v>
      </c>
      <c r="B104" s="6" t="str">
        <f>IFERROR(__xludf.DUMMYFUNCTION("""COMPUTED_VALUE""")," Keywords: Drug Development, Medicinal Chemistry, Small Molecules, 
Oncology, Fine Chemicals/Reagents ")</f>
        <v> Keywords: Drug Development, Medicinal Chemistry, Small Molecules, 
Oncology, Fine Chemicals/Reagents </v>
      </c>
      <c r="C104" s="6" t="str">
        <f>IFERROR(__xludf.DUMMYFUNCTION("""COMPUTED_VALUE"""),"CytoSwitch i.Gr.")</f>
        <v>CytoSwitch i.Gr.</v>
      </c>
      <c r="D104" s="6" t="str">
        <f>IFERROR(__xludf.DUMMYFUNCTION("""COMPUTED_VALUE"""),"Thorn-Seshold, c/o LMU Dept Pharmazie 5-13 Butenandtstr Deutschland-81377 München")</f>
        <v>Thorn-Seshold, c/o LMU Dept Pharmazie 5-13 Butenandtstr Deutschland-81377 München</v>
      </c>
      <c r="E104" s="6" t="str">
        <f>IFERROR(__xludf.DUMMYFUNCTION("""COMPUTED_VALUE""")," Telefon: 4915166958886http://www.cytoswitch.com/info@remove-this.cytoswitch.com")</f>
        <v> Telefon: 4915166958886http://www.cytoswitch.com/info@remove-this.cytoswitch.com</v>
      </c>
    </row>
    <row r="105">
      <c r="A105" s="6" t="str">
        <f>IFERROR(__xludf.DUMMYFUNCTION("""COMPUTED_VALUE""")," Category: Pharma &amp; Chemical Industry ")</f>
        <v> Category: Pharma &amp; Chemical Industry </v>
      </c>
      <c r="B105" s="6" t="str">
        <f>IFERROR(__xludf.DUMMYFUNCTION("""COMPUTED_VALUE""")," Keywords: Cardiovascular Diseases, Oncology, AntibodyDrugConjugate ADC ")</f>
        <v> Keywords: Cardiovascular Diseases, Oncology, AntibodyDrugConjugate ADC </v>
      </c>
      <c r="C105" s="6" t="str">
        <f>IFERROR(__xludf.DUMMYFUNCTION("""COMPUTED_VALUE"""),"DAIICHI SANKYO EUROPE GmbH")</f>
        <v>DAIICHI SANKYO EUROPE GmbH</v>
      </c>
      <c r="D105" s="6" t="str">
        <f>IFERROR(__xludf.DUMMYFUNCTION("""COMPUTED_VALUE"""),"Zielstattstr. 48 Deutschland-81379 München")</f>
        <v>Zielstattstr. 48 Deutschland-81379 München</v>
      </c>
      <c r="E105" s="6" t="str">
        <f>IFERROR(__xludf.DUMMYFUNCTION("""COMPUTED_VALUE""")," Telefon: +49 (0) 89 7808-0 Fax: +49 (0) 89 7808-202http://www.daiichi-sankyo.euservice@remove-this.daiichi-sankyo.eu")</f>
        <v> Telefon: +49 (0) 89 7808-0 Fax: +49 (0) 89 7808-202http://www.daiichi-sankyo.euservice@remove-this.daiichi-sankyo.eu</v>
      </c>
    </row>
    <row r="106">
      <c r="A106" s="6" t="str">
        <f>IFERROR(__xludf.DUMMYFUNCTION("""COMPUTED_VALUE""")," Category: Biotech DNA/Protein Analytics ")</f>
        <v> Category: Biotech DNA/Protein Analytics </v>
      </c>
      <c r="B106" s="6" t="str">
        <f>IFERROR(__xludf.DUMMYFUNCTION("""COMPUTED_VALUE""")," Keywords: Genomics, Clinical Diagnostics, Analytical Chemistry, PCR, 
Laboratory ")</f>
        <v> Keywords: Genomics, Clinical Diagnostics, Analytical Chemistry, PCR, 
Laboratory </v>
      </c>
      <c r="C106" s="6" t="str">
        <f>IFERROR(__xludf.DUMMYFUNCTION("""COMPUTED_VALUE"""),"DelphiTest GmbH")</f>
        <v>DelphiTest GmbH</v>
      </c>
      <c r="D106" s="6" t="str">
        <f>IFERROR(__xludf.DUMMYFUNCTION("""COMPUTED_VALUE"""),"Unter den Schwibbögen 23 Deutschland-93047 Regensburg")</f>
        <v>Unter den Schwibbögen 23 Deutschland-93047 Regensburg</v>
      </c>
      <c r="E106" s="6" t="str">
        <f>IFERROR(__xludf.DUMMYFUNCTION("""COMPUTED_VALUE""")," Telefon: +49 (0) 941 298 6615 Fax: +49 (0) 941 696 3846http://www.delphitest.deinfo@remove-this.delphitest.de")</f>
        <v> Telefon: +49 (0) 941 298 6615 Fax: +49 (0) 941 696 3846http://www.delphitest.deinfo@remove-this.delphitest.de</v>
      </c>
    </row>
    <row r="107">
      <c r="A107" s="6" t="str">
        <f>IFERROR(__xludf.DUMMYFUNCTION("""COMPUTED_VALUE""")," Category: Pharma &amp; Chemical Industry ")</f>
        <v> Category: Pharma &amp; Chemical Industry </v>
      </c>
      <c r="B107" s="6" t="str">
        <f>IFERROR(__xludf.DUMMYFUNCTION("""COMPUTED_VALUE"""),"Denk Ingredients GmbH")</f>
        <v>Denk Ingredients GmbH</v>
      </c>
      <c r="C107" s="6" t="str">
        <f>IFERROR(__xludf.DUMMYFUNCTION("""COMPUTED_VALUE"""),"Neherstraße 9 Deutschland-81675 München")</f>
        <v>Neherstraße 9 Deutschland-81675 München</v>
      </c>
      <c r="D107" s="6" t="str">
        <f>IFERROR(__xludf.DUMMYFUNCTION("""COMPUTED_VALUE""")," Telefon: +49 89 230029 400https://www.denkingredients.deinfo@remove-this.denkingredients.de")</f>
        <v> Telefon: +49 89 230029 400https://www.denkingredients.deinfo@remove-this.denkingredients.de</v>
      </c>
      <c r="E107" s="6"/>
    </row>
    <row r="108">
      <c r="A108" s="6" t="str">
        <f>IFERROR(__xludf.DUMMYFUNCTION("""COMPUTED_VALUE""")," Category: Pharma &amp; Chemical Industry ")</f>
        <v> Category: Pharma &amp; Chemical Industry </v>
      </c>
      <c r="B108" s="6" t="str">
        <f>IFERROR(__xludf.DUMMYFUNCTION("""COMPUTED_VALUE""")," Keywords: Antibiotics, Small Molecules ")</f>
        <v> Keywords: Antibiotics, Small Molecules </v>
      </c>
      <c r="C108" s="6" t="str">
        <f>IFERROR(__xludf.DUMMYFUNCTION("""COMPUTED_VALUE"""),"Denk Pharma GmbH &amp; Co. KG")</f>
        <v>Denk Pharma GmbH &amp; Co. KG</v>
      </c>
      <c r="D108" s="6" t="str">
        <f>IFERROR(__xludf.DUMMYFUNCTION("""COMPUTED_VALUE"""),"Prinzregentenstr. 79 Deutschland-81675 München")</f>
        <v>Prinzregentenstr. 79 Deutschland-81675 München</v>
      </c>
      <c r="E108" s="6" t="str">
        <f>IFERROR(__xludf.DUMMYFUNCTION("""COMPUTED_VALUE""")," Telefon: + 49 (0)89 23 00 29-0 Fax: +49 (0) 89 2300 29-480http://www.denkpharma.demathias.seidel@remove-this.denkpharma.de")</f>
        <v> Telefon: + 49 (0)89 23 00 29-0 Fax: +49 (0) 89 2300 29-480http://www.denkpharma.demathias.seidel@remove-this.denkpharma.de</v>
      </c>
    </row>
    <row r="109">
      <c r="A109" s="6" t="str">
        <f>IFERROR(__xludf.DUMMYFUNCTION("""COMPUTED_VALUE""")," Category: Biotech Devices &amp; Reagents ")</f>
        <v> Category: Biotech Devices &amp; Reagents </v>
      </c>
      <c r="B109" s="6" t="str">
        <f>IFERROR(__xludf.DUMMYFUNCTION("""COMPUTED_VALUE"""),"DiaServe Laboratories GmbH")</f>
        <v>DiaServe Laboratories GmbH</v>
      </c>
      <c r="C109" s="6" t="str">
        <f>IFERROR(__xludf.DUMMYFUNCTION("""COMPUTED_VALUE"""),"Seeshaupter Str. 27 Deutschland-82393 Iffeldorf")</f>
        <v>Seeshaupter Str. 27 Deutschland-82393 Iffeldorf</v>
      </c>
      <c r="D109" s="6" t="str">
        <f>IFERROR(__xludf.DUMMYFUNCTION("""COMPUTED_VALUE""")," Telefon: +4988569017360 Fax: +49 (0) 8856 90173613http://www.diaserve.decontact@remove-this.diaserve.de")</f>
        <v> Telefon: +4988569017360 Fax: +49 (0) 8856 90173613http://www.diaserve.decontact@remove-this.diaserve.de</v>
      </c>
      <c r="E109" s="6"/>
    </row>
    <row r="110">
      <c r="A110" s="6" t="str">
        <f>IFERROR(__xludf.DUMMYFUNCTION("""COMPUTED_VALUE""")," Category: Biotech Therapeutics &amp; Diagnostics ")</f>
        <v> Category: Biotech Therapeutics &amp; Diagnostics </v>
      </c>
      <c r="B110" s="6" t="str">
        <f>IFERROR(__xludf.DUMMYFUNCTION("""COMPUTED_VALUE""")," Keywords: Fine Chemicals/Reagents ")</f>
        <v> Keywords: Fine Chemicals/Reagents </v>
      </c>
      <c r="C110" s="6" t="str">
        <f>IFERROR(__xludf.DUMMYFUNCTION("""COMPUTED_VALUE"""),"Dojindo EU GmbH")</f>
        <v>Dojindo EU GmbH</v>
      </c>
      <c r="D110" s="6" t="str">
        <f>IFERROR(__xludf.DUMMYFUNCTION("""COMPUTED_VALUE"""),"Leopoldstr. 254 Deutschland-80807 München")</f>
        <v>Leopoldstr. 254 Deutschland-80807 München</v>
      </c>
      <c r="E110" s="6" t="str">
        <f>IFERROR(__xludf.DUMMYFUNCTION("""COMPUTED_VALUE""")," Telefon: +49 (0)89 35404805 Fax: +49(0)89 35404806http://www.dojindo.eu.cominfo@remove-this.dojindo.eu.com")</f>
        <v> Telefon: +49 (0)89 35404805 Fax: +49(0)89 35404806http://www.dojindo.eu.cominfo@remove-this.dojindo.eu.com</v>
      </c>
    </row>
    <row r="111">
      <c r="A111" s="6" t="str">
        <f>IFERROR(__xludf.DUMMYFUNCTION("""COMPUTED_VALUE""")," Category: Biotech Therapeutics &amp; Diagnostics ")</f>
        <v> Category: Biotech Therapeutics &amp; Diagnostics </v>
      </c>
      <c r="B111" s="6" t="str">
        <f>IFERROR(__xludf.DUMMYFUNCTION("""COMPUTED_VALUE""")," Keywords: Rheumatoid Arthritis, Drug Development ")</f>
        <v> Keywords: Rheumatoid Arthritis, Drug Development </v>
      </c>
      <c r="C111" s="6" t="str">
        <f>IFERROR(__xludf.DUMMYFUNCTION("""COMPUTED_VALUE"""),"DoNatur Dr. Kerek GmbH")</f>
        <v>DoNatur Dr. Kerek GmbH</v>
      </c>
      <c r="D111" s="6" t="str">
        <f>IFERROR(__xludf.DUMMYFUNCTION("""COMPUTED_VALUE"""),"Am Klopferspitz 19 Deutschland-82152 Martinsried")</f>
        <v>Am Klopferspitz 19 Deutschland-82152 Martinsried</v>
      </c>
      <c r="E111" s="6" t="str">
        <f>IFERROR(__xludf.DUMMYFUNCTION("""COMPUTED_VALUE""")," Telefon: +49 (0) 89 856625-55 Fax: +49 (0) 89 856625-56http://www.donatur.deinfo@remove-this.donatur.de")</f>
        <v> Telefon: +49 (0) 89 856625-55 Fax: +49 (0) 89 856625-56http://www.donatur.deinfo@remove-this.donatur.de</v>
      </c>
    </row>
    <row r="112">
      <c r="A112" s="6" t="str">
        <f>IFERROR(__xludf.DUMMYFUNCTION("""COMPUTED_VALUE""")," Category: Biotech Devices &amp; Reagents ")</f>
        <v> Category: Biotech Devices &amp; Reagents </v>
      </c>
      <c r="B112" s="6" t="str">
        <f>IFERROR(__xludf.DUMMYFUNCTION("""COMPUTED_VALUE"""),"Dornier-LTF GmbH")</f>
        <v>Dornier-LTF GmbH</v>
      </c>
      <c r="C112" s="6" t="str">
        <f>IFERROR(__xludf.DUMMYFUNCTION("""COMPUTED_VALUE"""),"Rickenbacher Str. 107 Deutschland-88131 Lindau")</f>
        <v>Rickenbacher Str. 107 Deutschland-88131 Lindau</v>
      </c>
      <c r="D112" s="6" t="str">
        <f>IFERROR(__xludf.DUMMYFUNCTION("""COMPUTED_VALUE""")," Telefon: +49 (0) 8382 273089-0 Fax: +49 (0) 8382 273089-29http://www.dornierlts.cominfo@remove-this.dornierlts.com")</f>
        <v> Telefon: +49 (0) 8382 273089-0 Fax: +49 (0) 8382 273089-29http://www.dornierlts.cominfo@remove-this.dornierlts.com</v>
      </c>
      <c r="E112" s="6"/>
    </row>
    <row r="113">
      <c r="A113" s="6" t="str">
        <f>IFERROR(__xludf.DUMMYFUNCTION("""COMPUTED_VALUE""")," Category: Biotech Therapeutics &amp; Diagnostics ")</f>
        <v> Category: Biotech Therapeutics &amp; Diagnostics </v>
      </c>
      <c r="B113" s="6" t="str">
        <f>IFERROR(__xludf.DUMMYFUNCTION("""COMPUTED_VALUE"""),"Dr. Graner &amp; Partner GmbH")</f>
        <v>Dr. Graner &amp; Partner GmbH</v>
      </c>
      <c r="C113" s="6" t="str">
        <f>IFERROR(__xludf.DUMMYFUNCTION("""COMPUTED_VALUE"""),"Lochhausener Str. 205 Deutschland-81249 München")</f>
        <v>Lochhausener Str. 205 Deutschland-81249 München</v>
      </c>
      <c r="D113" s="6" t="str">
        <f>IFERROR(__xludf.DUMMYFUNCTION("""COMPUTED_VALUE""")," Telefon: +49 (0)89 863 005-0 Fax: +49 (0)89 863 005-11http://www.labor-graner.deinfo@remove-this.labor-graner.de")</f>
        <v> Telefon: +49 (0)89 863 005-0 Fax: +49 (0)89 863 005-11http://www.labor-graner.deinfo@remove-this.labor-graner.de</v>
      </c>
      <c r="E113" s="6"/>
    </row>
    <row r="114">
      <c r="A114" s="6" t="str">
        <f>IFERROR(__xludf.DUMMYFUNCTION("""COMPUTED_VALUE""")," Category: CRO ")</f>
        <v> Category: CRO </v>
      </c>
      <c r="B114" s="6" t="str">
        <f>IFERROR(__xludf.DUMMYFUNCTION("""COMPUTED_VALUE""")," Keywords: Drug Development, Devices, Pharmacology, Medical Writing ")</f>
        <v> Keywords: Drug Development, Devices, Pharmacology, Medical Writing </v>
      </c>
      <c r="C114" s="6" t="str">
        <f>IFERROR(__xludf.DUMMYFUNCTION("""COMPUTED_VALUE"""),"Dr. Nibler &amp; Partner")</f>
        <v>Dr. Nibler &amp; Partner</v>
      </c>
      <c r="D114" s="6" t="str">
        <f>IFERROR(__xludf.DUMMYFUNCTION("""COMPUTED_VALUE"""),"Fürstenriederstr. 105 Deutschland-80686 München")</f>
        <v>Fürstenriederstr. 105 Deutschland-80686 München</v>
      </c>
      <c r="E114" s="6" t="str">
        <f>IFERROR(__xludf.DUMMYFUNCTION("""COMPUTED_VALUE""")," Telefon: +49 (0) 89 5682 3726 Fax: +49 (0) 89 9218 5265http://www.dr-nibler.demail@remove-this.dr-nibler.de")</f>
        <v> Telefon: +49 (0) 89 5682 3726 Fax: +49 (0) 89 9218 5265http://www.dr-nibler.demail@remove-this.dr-nibler.de</v>
      </c>
    </row>
    <row r="115">
      <c r="A115" s="6" t="str">
        <f>IFERROR(__xludf.DUMMYFUNCTION("""COMPUTED_VALUE""")," Category: Biotech DNA/Protein Analytics ")</f>
        <v> Category: Biotech DNA/Protein Analytics </v>
      </c>
      <c r="B115" s="6" t="str">
        <f>IFERROR(__xludf.DUMMYFUNCTION("""COMPUTED_VALUE""")," Keywords: Proteomics, Drug Development, Antibody, Peptide/Protein, Small 
Molecules, Devices, Chip/Array Technology ")</f>
        <v> Keywords: Proteomics, Drug Development, Antibody, Peptide/Protein, Small 
Molecules, Devices, Chip/Array Technology </v>
      </c>
      <c r="C115" s="6" t="str">
        <f>IFERROR(__xludf.DUMMYFUNCTION("""COMPUTED_VALUE"""),"Dynamic Biosensors GmbH")</f>
        <v>Dynamic Biosensors GmbH</v>
      </c>
      <c r="D115" s="6" t="str">
        <f>IFERROR(__xludf.DUMMYFUNCTION("""COMPUTED_VALUE"""),"Perchtinger Str. 8/10 Deutschland-81379 München")</f>
        <v>Perchtinger Str. 8/10 Deutschland-81379 München</v>
      </c>
      <c r="E115" s="6" t="str">
        <f>IFERROR(__xludf.DUMMYFUNCTION("""COMPUTED_VALUE""")," Telefon: +49 (0) 89 897 4544-0 Fax: +49 (0) 89 897 4544-11http://www.dynamic-biosensors.cominfo@remove-this.dynamic-biosensors.com")</f>
        <v> Telefon: +49 (0) 89 897 4544-0 Fax: +49 (0) 89 897 4544-11http://www.dynamic-biosensors.cominfo@remove-this.dynamic-biosensors.com</v>
      </c>
    </row>
    <row r="116">
      <c r="A116" s="6" t="str">
        <f>IFERROR(__xludf.DUMMYFUNCTION("""COMPUTED_VALUE""")," Category: Biotech Therapeutics &amp; Diagnostics ")</f>
        <v> Category: Biotech Therapeutics &amp; Diagnostics </v>
      </c>
      <c r="B116" s="6" t="str">
        <f>IFERROR(__xludf.DUMMYFUNCTION("""COMPUTED_VALUE"""),"Eisbach Bio GmbH")</f>
        <v>Eisbach Bio GmbH</v>
      </c>
      <c r="C116" s="6" t="str">
        <f>IFERROR(__xludf.DUMMYFUNCTION("""COMPUTED_VALUE"""),"Am Klopferspitz 19 Deutschland-82152 Martinsried")</f>
        <v>Am Klopferspitz 19 Deutschland-82152 Martinsried</v>
      </c>
      <c r="D116" s="7" t="str">
        <f>IFERROR(__xludf.DUMMYFUNCTION("""COMPUTED_VALUE"""),"http://www.eisbach.bio/")</f>
        <v>http://www.eisbach.bio/</v>
      </c>
      <c r="E116" s="6"/>
    </row>
    <row r="117">
      <c r="A117" s="6" t="str">
        <f>IFERROR(__xludf.DUMMYFUNCTION("""COMPUTED_VALUE""")," Category: Biotech Agro, Food, Environment ")</f>
        <v> Category: Biotech Agro, Food, Environment </v>
      </c>
      <c r="B117" s="6" t="str">
        <f>IFERROR(__xludf.DUMMYFUNCTION("""COMPUTED_VALUE""")," Keywords: Industrial Biotechnology ")</f>
        <v> Keywords: Industrial Biotechnology </v>
      </c>
      <c r="C117" s="6" t="str">
        <f>IFERROR(__xludf.DUMMYFUNCTION("""COMPUTED_VALUE"""),"Electrochaea GmbH")</f>
        <v>Electrochaea GmbH</v>
      </c>
      <c r="D117" s="6" t="str">
        <f>IFERROR(__xludf.DUMMYFUNCTION("""COMPUTED_VALUE"""),"Semmelweisstraße 3 Deutschland-82152 Planegg")</f>
        <v>Semmelweisstraße 3 Deutschland-82152 Planegg</v>
      </c>
      <c r="E117" s="6" t="str">
        <f>IFERROR(__xludf.DUMMYFUNCTION("""COMPUTED_VALUE""")," Telefon: +49 89 3249 3670http://www.electrochaea.cominfo@remove-this.electrochaea.com")</f>
        <v> Telefon: +49 89 3249 3670http://www.electrochaea.cominfo@remove-this.electrochaea.com</v>
      </c>
    </row>
    <row r="118">
      <c r="A118" s="6" t="str">
        <f>IFERROR(__xludf.DUMMYFUNCTION("""COMPUTED_VALUE""")," Category: Biotech DNA/Protein Analytics ")</f>
        <v> Category: Biotech DNA/Protein Analytics </v>
      </c>
      <c r="B118" s="6" t="str">
        <f>IFERROR(__xludf.DUMMYFUNCTION("""COMPUTED_VALUE""")," Keywords: Genomics, Antisense/Nucleotides, PCR, Chip/Array Technology, 
In-Vitro-Diagnostics ")</f>
        <v> Keywords: Genomics, Antisense/Nucleotides, PCR, Chip/Array Technology, 
In-Vitro-Diagnostics </v>
      </c>
      <c r="C118" s="6" t="str">
        <f>IFERROR(__xludf.DUMMYFUNCTION("""COMPUTED_VALUE"""),"ELLA Biotech GmbH")</f>
        <v>ELLA Biotech GmbH</v>
      </c>
      <c r="D118" s="6" t="str">
        <f>IFERROR(__xludf.DUMMYFUNCTION("""COMPUTED_VALUE"""),"Am Kugelfang 39 Deutschland-82256 Fürstenfeldbruck")</f>
        <v>Am Kugelfang 39 Deutschland-82256 Fürstenfeldbruck</v>
      </c>
      <c r="E118" s="6" t="str">
        <f>IFERROR(__xludf.DUMMYFUNCTION("""COMPUTED_VALUE""")," Telefon: +498141366360 Fax: +49 (0) 89 70939440http://www.ellabiotech.cominfo@remove-this.ellabiotech.com")</f>
        <v> Telefon: +498141366360 Fax: +49 (0) 89 70939440http://www.ellabiotech.cominfo@remove-this.ellabiotech.com</v>
      </c>
    </row>
    <row r="119">
      <c r="A119" s="6" t="str">
        <f>IFERROR(__xludf.DUMMYFUNCTION("""COMPUTED_VALUE""")," Category: Biotech Devices &amp; Reagents ")</f>
        <v> Category: Biotech Devices &amp; Reagents </v>
      </c>
      <c r="B119" s="6" t="str">
        <f>IFERROR(__xludf.DUMMYFUNCTION("""COMPUTED_VALUE"""),"EMFRET Analytics GmbH &amp; Co. KG")</f>
        <v>EMFRET Analytics GmbH &amp; Co. KG</v>
      </c>
      <c r="C119" s="6" t="str">
        <f>IFERROR(__xludf.DUMMYFUNCTION("""COMPUTED_VALUE"""),"Am Morgenroth 6 Deutschland-97246 Eibelstadt")</f>
        <v>Am Morgenroth 6 Deutschland-97246 Eibelstadt</v>
      </c>
      <c r="D119" s="6" t="str">
        <f>IFERROR(__xludf.DUMMYFUNCTION("""COMPUTED_VALUE""")," Telefon: +49 (0) 9303 984964 Fax: +49 (0) 700 3637 3800http://www.emfret.comservice@remove-this.emfret.com")</f>
        <v> Telefon: +49 (0) 9303 984964 Fax: +49 (0) 700 3637 3800http://www.emfret.comservice@remove-this.emfret.com</v>
      </c>
      <c r="E119" s="6"/>
    </row>
    <row r="120">
      <c r="A120" s="6" t="str">
        <f>IFERROR(__xludf.DUMMYFUNCTION("""COMPUTED_VALUE""")," Category: Biotech Agro, Food, Environment ")</f>
        <v> Category: Biotech Agro, Food, Environment </v>
      </c>
      <c r="B120" s="6" t="str">
        <f>IFERROR(__xludf.DUMMYFUNCTION("""COMPUTED_VALUE""")," Keywords: Genomics, Agrobiotechnology ")</f>
        <v> Keywords: Genomics, Agrobiotechnology </v>
      </c>
      <c r="C120" s="6" t="str">
        <f>IFERROR(__xludf.DUMMYFUNCTION("""COMPUTED_VALUE"""),"EpiGene GmbH")</f>
        <v>EpiGene GmbH</v>
      </c>
      <c r="D120" s="6" t="str">
        <f>IFERROR(__xludf.DUMMYFUNCTION("""COMPUTED_VALUE"""),"Hohenbachernstr. 19-21 Deutschland-85354 Freising")</f>
        <v>Hohenbachernstr. 19-21 Deutschland-85354 Freising</v>
      </c>
      <c r="E120" s="6" t="str">
        <f>IFERROR(__xludf.DUMMYFUNCTION("""COMPUTED_VALUE""")," Telefon: +49 (0) 8161 49908-0 Fax: +49 (0) 8161 49908-9http://www.epigene.deFriedrich.Felsenstein@remove-this.EpiGene.de")</f>
        <v> Telefon: +49 (0) 8161 49908-0 Fax: +49 (0) 8161 49908-9http://www.epigene.deFriedrich.Felsenstein@remove-this.EpiGene.de</v>
      </c>
    </row>
    <row r="121">
      <c r="A121" s="6" t="str">
        <f>IFERROR(__xludf.DUMMYFUNCTION("""COMPUTED_VALUE""")," Category: Biotech Agro, Food, Environment ")</f>
        <v> Category: Biotech Agro, Food, Environment </v>
      </c>
      <c r="B121" s="6" t="str">
        <f>IFERROR(__xludf.DUMMYFUNCTION("""COMPUTED_VALUE""")," Keywords: Genomics, Agrobiotechnology ")</f>
        <v> Keywords: Genomics, Agrobiotechnology </v>
      </c>
      <c r="C121" s="6" t="str">
        <f>IFERROR(__xludf.DUMMYFUNCTION("""COMPUTED_VALUE"""),"EpiLogic GmbH")</f>
        <v>EpiLogic GmbH</v>
      </c>
      <c r="D121" s="6" t="str">
        <f>IFERROR(__xludf.DUMMYFUNCTION("""COMPUTED_VALUE"""),"Hohenbachernstr. 19-21 Deutschland-85354 Freising")</f>
        <v>Hohenbachernstr. 19-21 Deutschland-85354 Freising</v>
      </c>
      <c r="E121" s="6" t="str">
        <f>IFERROR(__xludf.DUMMYFUNCTION("""COMPUTED_VALUE""")," Telefon: +49 (0) 8161 49 908-0 Fax: +49 (0) 8161 49 908-9http://www.EpiLogic.deFriedrich.Felsenstein@remove-this.EpiLogic.de")</f>
        <v> Telefon: +49 (0) 8161 49 908-0 Fax: +49 (0) 8161 49 908-9http://www.EpiLogic.deFriedrich.Felsenstein@remove-this.EpiLogic.de</v>
      </c>
    </row>
    <row r="122">
      <c r="A122" s="6" t="str">
        <f>IFERROR(__xludf.DUMMYFUNCTION("""COMPUTED_VALUE""")," Category: Biotech Devices &amp; Reagents ")</f>
        <v> Category: Biotech Devices &amp; Reagents </v>
      </c>
      <c r="B122" s="6" t="str">
        <f>IFERROR(__xludf.DUMMYFUNCTION("""COMPUTED_VALUE"""),"essentim GmbH")</f>
        <v>essentim GmbH</v>
      </c>
      <c r="C122" s="6" t="str">
        <f>IFERROR(__xludf.DUMMYFUNCTION("""COMPUTED_VALUE"""),"Schragenhofstraße 35 Deutschland-80992 München")</f>
        <v>Schragenhofstraße 35 Deutschland-80992 München</v>
      </c>
      <c r="D122" s="6" t="str">
        <f>IFERROR(__xludf.DUMMYFUNCTION("""COMPUTED_VALUE""")," Telefon: +491608093076http://essentim.com/info@remove-this.essentim.com")</f>
        <v> Telefon: +491608093076http://essentim.com/info@remove-this.essentim.com</v>
      </c>
      <c r="E122" s="6"/>
    </row>
    <row r="123">
      <c r="A123" s="6" t="str">
        <f>IFERROR(__xludf.DUMMYFUNCTION("""COMPUTED_VALUE""")," Category: Biotech Therapeutics &amp; Diagnostics ")</f>
        <v> Category: Biotech Therapeutics &amp; Diagnostics </v>
      </c>
      <c r="B123" s="6" t="str">
        <f>IFERROR(__xludf.DUMMYFUNCTION("""COMPUTED_VALUE""")," Keywords: Dermatology, Metabolic Diseases, Drug Development, Tissue 
Engineering/Cell Culture, Gene Transfer, Gene Therapy, Bone/Joint Diseases ")</f>
        <v> Keywords: Dermatology, Metabolic Diseases, Drug Development, Tissue 
Engineering/Cell Culture, Gene Transfer, Gene Therapy, Bone/Joint Diseases </v>
      </c>
      <c r="C123" s="6" t="str">
        <f>IFERROR(__xludf.DUMMYFUNCTION("""COMPUTED_VALUE"""),"Ethris GmbH")</f>
        <v>Ethris GmbH</v>
      </c>
      <c r="D123" s="6" t="str">
        <f>IFERROR(__xludf.DUMMYFUNCTION("""COMPUTED_VALUE"""),"Semmelweisstrasse 3 Deutschland-82152 Planegg")</f>
        <v>Semmelweisstrasse 3 Deutschland-82152 Planegg</v>
      </c>
      <c r="E123" s="6" t="str">
        <f>IFERROR(__xludf.DUMMYFUNCTION("""COMPUTED_VALUE""")," Telefon: +49 (0) 89 895 5788-0 Fax: +49 (0) 89 895 5788-18http://www.ethris.cominfo@remove-this.ethris.com")</f>
        <v> Telefon: +49 (0) 89 895 5788-0 Fax: +49 (0) 89 895 5788-18http://www.ethris.cominfo@remove-this.ethris.com</v>
      </c>
    </row>
    <row r="124">
      <c r="A124" s="6" t="str">
        <f>IFERROR(__xludf.DUMMYFUNCTION("IMPORTXML(G1,A2)")," Category: Biotech Therapeutics &amp; Diagnostics ")</f>
        <v> Category: Biotech Therapeutics &amp; Diagnostics </v>
      </c>
      <c r="B124" s="6" t="str">
        <f>IFERROR(__xludf.DUMMYFUNCTION("""COMPUTED_VALUE""")," Keywords: Cell Therapy ")</f>
        <v> Keywords: Cell Therapy </v>
      </c>
      <c r="C124" s="6" t="str">
        <f>IFERROR(__xludf.DUMMYFUNCTION("""COMPUTED_VALUE"""),"eticur) GmbH")</f>
        <v>eticur) GmbH</v>
      </c>
      <c r="D124" s="6" t="str">
        <f>IFERROR(__xludf.DUMMYFUNCTION("""COMPUTED_VALUE"""),"Landsberger Str. 406 Deutschland-81241 München")</f>
        <v>Landsberger Str. 406 Deutschland-81241 München</v>
      </c>
      <c r="E124" s="6" t="str">
        <f>IFERROR(__xludf.DUMMYFUNCTION("""COMPUTED_VALUE""")," Telefon: +49 (0) 89 125981-0 Fax: +49 (0) 89 125981-19http://www.eticur.deinfo@remove-this.eticur.de")</f>
        <v> Telefon: +49 (0) 89 125981-0 Fax: +49 (0) 89 125981-19http://www.eticur.deinfo@remove-this.eticur.de</v>
      </c>
    </row>
    <row r="125">
      <c r="A125" s="6" t="str">
        <f>IFERROR(__xludf.DUMMYFUNCTION("""COMPUTED_VALUE""")," Category: Biotech Preclinical Services ")</f>
        <v> Category: Biotech Preclinical Services </v>
      </c>
      <c r="B125" s="6" t="str">
        <f>IFERROR(__xludf.DUMMYFUNCTION("""COMPUTED_VALUE""")," Keywords: Medicinal Chemistry, Small Molecules, Pharmacology, Toxicology, 
Laboratory, Bioanalytics ")</f>
        <v> Keywords: Medicinal Chemistry, Small Molecules, Pharmacology, Toxicology, 
Laboratory, Bioanalytics </v>
      </c>
      <c r="C125" s="6" t="str">
        <f>IFERROR(__xludf.DUMMYFUNCTION("""COMPUTED_VALUE"""),"Eurofins BioPharma Product Testing Munich GmbH")</f>
        <v>Eurofins BioPharma Product Testing Munich GmbH</v>
      </c>
      <c r="D125" s="6" t="str">
        <f>IFERROR(__xludf.DUMMYFUNCTION("""COMPUTED_VALUE"""),"Behringstr. 6/8 Deutschland-82152 Martinsried")</f>
        <v>Behringstr. 6/8 Deutschland-82152 Martinsried</v>
      </c>
      <c r="E125" s="6" t="str">
        <f>IFERROR(__xludf.DUMMYFUNCTION("""COMPUTED_VALUE""")," Telefon: +49 (0) 89 899650-0 Fax: +49 (0) 89 899650-11http://www.eurofins.decareers-munich@remove-this.eurofins.com")</f>
        <v> Telefon: +49 (0) 89 899650-0 Fax: +49 (0) 89 899650-11http://www.eurofins.decareers-munich@remove-this.eurofins.com</v>
      </c>
    </row>
    <row r="126">
      <c r="A126" s="6" t="str">
        <f>IFERROR(__xludf.DUMMYFUNCTION("""COMPUTED_VALUE""")," Category: Biotech DNA/Protein Analytics ")</f>
        <v> Category: Biotech DNA/Protein Analytics </v>
      </c>
      <c r="B126" s="6" t="str">
        <f>IFERROR(__xludf.DUMMYFUNCTION("""COMPUTED_VALUE""")," Keywords: Genomics, Clinical Diagnostics, Agrobiotechnology, 
Pharmacogenomics, Pharmacogenetics ")</f>
        <v> Keywords: Genomics, Clinical Diagnostics, Agrobiotechnology, 
Pharmacogenomics, Pharmacogenetics </v>
      </c>
      <c r="C126" s="6" t="str">
        <f>IFERROR(__xludf.DUMMYFUNCTION("""COMPUTED_VALUE"""),"Eurofins Genomics Europe Applied Genomics GmbH")</f>
        <v>Eurofins Genomics Europe Applied Genomics GmbH</v>
      </c>
      <c r="D126" s="6" t="str">
        <f>IFERROR(__xludf.DUMMYFUNCTION("""COMPUTED_VALUE"""),"Anzinger Str. 7 a Deutschland-85560 Ebersberg")</f>
        <v>Anzinger Str. 7 a Deutschland-85560 Ebersberg</v>
      </c>
      <c r="E126" s="6" t="str">
        <f>IFERROR(__xludf.DUMMYFUNCTION("""COMPUTED_VALUE""")," Telefon: +49 (0) 8092 8289-979 Fax: +49 (0) 8092 8289-431http://www.eurofinsgenomics.euapplication-eu@remove-this.eurofins.com")</f>
        <v> Telefon: +49 (0) 8092 8289-979 Fax: +49 (0) 8092 8289-431http://www.eurofinsgenomics.euapplication-eu@remove-this.eurofins.com</v>
      </c>
    </row>
    <row r="127">
      <c r="A127" s="6" t="str">
        <f>IFERROR(__xludf.DUMMYFUNCTION("""COMPUTED_VALUE""")," Category: Biotech DNA/Protein Analytics ")</f>
        <v> Category: Biotech DNA/Protein Analytics </v>
      </c>
      <c r="B127" s="6" t="str">
        <f>IFERROR(__xludf.DUMMYFUNCTION("""COMPUTED_VALUE"""),"Eurofins Genomics Europe Shared Services GmbH")</f>
        <v>Eurofins Genomics Europe Shared Services GmbH</v>
      </c>
      <c r="C127" s="6" t="str">
        <f>IFERROR(__xludf.DUMMYFUNCTION("""COMPUTED_VALUE"""),"Anzinger Str. 7a Deutschland-85560 Ebersberg")</f>
        <v>Anzinger Str. 7a Deutschland-85560 Ebersberg</v>
      </c>
      <c r="D127" s="6" t="str">
        <f>IFERROR(__xludf.DUMMYFUNCTION("""COMPUTED_VALUE""")," Telefon: +49 (0) 8092 8289-979 Fax: +49 (0) 8092 8289-431https://eurofinsgenomics.com")</f>
        <v> Telefon: +49 (0) 8092 8289-979 Fax: +49 (0) 8092 8289-431https://eurofinsgenomics.com</v>
      </c>
      <c r="E127" s="6"/>
    </row>
    <row r="128">
      <c r="A128" s="6" t="str">
        <f>IFERROR(__xludf.DUMMYFUNCTION("""COMPUTED_VALUE""")," Category: Biotech DNA/Protein Analytics ")</f>
        <v> Category: Biotech DNA/Protein Analytics </v>
      </c>
      <c r="B128" s="6" t="str">
        <f>IFERROR(__xludf.DUMMYFUNCTION("""COMPUTED_VALUE"""),"Eurofins Genomics Europe Synthesis GmbH")</f>
        <v>Eurofins Genomics Europe Synthesis GmbH</v>
      </c>
      <c r="C128" s="6" t="str">
        <f>IFERROR(__xludf.DUMMYFUNCTION("""COMPUTED_VALUE"""),"Anzinger Str. 7a Deutschland-85560 Ebersberg")</f>
        <v>Anzinger Str. 7a Deutschland-85560 Ebersberg</v>
      </c>
      <c r="D128" s="6" t="str">
        <f>IFERROR(__xludf.DUMMYFUNCTION("""COMPUTED_VALUE""")," Telefon: +49 (0) 80928289-0https://eurofinsgenomics.com")</f>
        <v> Telefon: +49 (0) 80928289-0https://eurofinsgenomics.com</v>
      </c>
      <c r="E128" s="6"/>
    </row>
    <row r="129">
      <c r="A129" s="6" t="str">
        <f>IFERROR(__xludf.DUMMYFUNCTION("""COMPUTED_VALUE""")," Category: Biotech DNA/Protein Analytics ")</f>
        <v> Category: Biotech DNA/Protein Analytics </v>
      </c>
      <c r="B129" s="6" t="str">
        <f>IFERROR(__xludf.DUMMYFUNCTION("""COMPUTED_VALUE""")," Keywords: Genomics, Antisense/Nucleotides, PCR, NGS ")</f>
        <v> Keywords: Genomics, Antisense/Nucleotides, PCR, NGS </v>
      </c>
      <c r="C129" s="6" t="str">
        <f>IFERROR(__xludf.DUMMYFUNCTION("""COMPUTED_VALUE"""),"Eurofins Genomics Germany GmbH")</f>
        <v>Eurofins Genomics Germany GmbH</v>
      </c>
      <c r="D129" s="6" t="str">
        <f>IFERROR(__xludf.DUMMYFUNCTION("""COMPUTED_VALUE"""),"Anzinger Str. 7 a Deutschland-85560 Ebersberg")</f>
        <v>Anzinger Str. 7 a Deutschland-85560 Ebersberg</v>
      </c>
      <c r="E129" s="6" t="str">
        <f>IFERROR(__xludf.DUMMYFUNCTION("""COMPUTED_VALUE""")," Telefon: +49 (0) 8092 8289-0 Fax: +49 (0) 8092 21084http://eurofinsgenomics.cominfo-eu@remove-this.eurofins.com")</f>
        <v> Telefon: +49 (0) 8092 8289-0 Fax: +49 (0) 8092 21084http://eurofinsgenomics.cominfo-eu@remove-this.eurofins.com</v>
      </c>
    </row>
    <row r="130">
      <c r="A130" s="6" t="str">
        <f>IFERROR(__xludf.DUMMYFUNCTION("""COMPUTED_VALUE""")," Category: Pharma &amp; Chemical Industry ")</f>
        <v> Category: Pharma &amp; Chemical Industry </v>
      </c>
      <c r="B130" s="6" t="str">
        <f>IFERROR(__xludf.DUMMYFUNCTION("""COMPUTED_VALUE"""),"Evanium Healthcare GmbH")</f>
        <v>Evanium Healthcare GmbH</v>
      </c>
      <c r="C130" s="6" t="str">
        <f>IFERROR(__xludf.DUMMYFUNCTION("""COMPUTED_VALUE"""),"Am Biopark 13 Deutschland-93053 Regensburg")</f>
        <v>Am Biopark 13 Deutschland-93053 Regensburg</v>
      </c>
      <c r="D130" s="7" t="str">
        <f>IFERROR(__xludf.DUMMYFUNCTION("""COMPUTED_VALUE"""),"https://www.evanium.de/kontakt@remove-this.evanium.de")</f>
        <v>https://www.evanium.de/kontakt@remove-this.evanium.de</v>
      </c>
      <c r="E130" s="6"/>
    </row>
    <row r="131">
      <c r="A131" s="6" t="str">
        <f>IFERROR(__xludf.DUMMYFUNCTION("""COMPUTED_VALUE""")," Category: Biotech Preclinical Services ")</f>
        <v> Category: Biotech Preclinical Services </v>
      </c>
      <c r="B131" s="6" t="str">
        <f>IFERROR(__xludf.DUMMYFUNCTION("""COMPUTED_VALUE""")," Keywords: Genomics, Proteomics, Cell Therapy, Small Molecules, 
Metabolomics, Bioinformatics ")</f>
        <v> Keywords: Genomics, Proteomics, Cell Therapy, Small Molecules, 
Metabolomics, Bioinformatics </v>
      </c>
      <c r="C131" s="6" t="str">
        <f>IFERROR(__xludf.DUMMYFUNCTION("""COMPUTED_VALUE"""),"Evotec (München) GmbH")</f>
        <v>Evotec (München) GmbH</v>
      </c>
      <c r="D131" s="6" t="str">
        <f>IFERROR(__xludf.DUMMYFUNCTION("""COMPUTED_VALUE"""),"Anna-Sigmund-Straße 5 Deutschland-82061 Neuried")</f>
        <v>Anna-Sigmund-Straße 5 Deutschland-82061 Neuried</v>
      </c>
      <c r="E131" s="6" t="str">
        <f>IFERROR(__xludf.DUMMYFUNCTION("""COMPUTED_VALUE""")," Telefon: +49 (0) 89 452 4465-0 Fax: +49 (0) 89 452 4465-20http://www.evotec.cominfo@remove-this.evotec.com")</f>
        <v> Telefon: +49 (0) 89 452 4465-0 Fax: +49 (0) 89 452 4465-20http://www.evotec.cominfo@remove-this.evotec.com</v>
      </c>
    </row>
    <row r="132">
      <c r="A132" s="6" t="str">
        <f>IFERROR(__xludf.DUMMYFUNCTION("""COMPUTED_VALUE""")," Category: Biotech Therapeutics &amp; Diagnostics ")</f>
        <v> Category: Biotech Therapeutics &amp; Diagnostics </v>
      </c>
      <c r="B132" s="6" t="str">
        <f>IFERROR(__xludf.DUMMYFUNCTION("""COMPUTED_VALUE""")," Keywords: Clinical Diagnostics, Oncology, NGS, In-Vitro-Diagnostics ")</f>
        <v> Keywords: Clinical Diagnostics, Oncology, NGS, In-Vitro-Diagnostics </v>
      </c>
      <c r="C132" s="6" t="str">
        <f>IFERROR(__xludf.DUMMYFUNCTION("""COMPUTED_VALUE"""),"Exosome Diagnostics GmbH")</f>
        <v>Exosome Diagnostics GmbH</v>
      </c>
      <c r="D132" s="6" t="str">
        <f>IFERROR(__xludf.DUMMYFUNCTION("""COMPUTED_VALUE"""),"Am Klopferspitz 19a Deutschland-82152 Martinsried")</f>
        <v>Am Klopferspitz 19a Deutschland-82152 Martinsried</v>
      </c>
      <c r="E132" s="6" t="str">
        <f>IFERROR(__xludf.DUMMYFUNCTION("""COMPUTED_VALUE""")," Telefon: +49 (0) 89 416172-70 Fax: +49 (0) 89 416172-69http://www.exosomedx.communich@remove-this.exosomedx.com")</f>
        <v> Telefon: +49 (0) 89 416172-70 Fax: +49 (0) 89 416172-69http://www.exosomedx.communich@remove-this.exosomedx.com</v>
      </c>
    </row>
    <row r="133">
      <c r="A133" s="6" t="str">
        <f>IFERROR(__xludf.DUMMYFUNCTION("""COMPUTED_VALUE""")," Category: Pharma &amp; Chemical Industry ")</f>
        <v> Category: Pharma &amp; Chemical Industry </v>
      </c>
      <c r="B133" s="6" t="str">
        <f>IFERROR(__xludf.DUMMYFUNCTION("""COMPUTED_VALUE"""),"F-Select GmbH")</f>
        <v>F-Select GmbH</v>
      </c>
      <c r="C133" s="6" t="str">
        <f>IFERROR(__xludf.DUMMYFUNCTION("""COMPUTED_VALUE"""),"Semmelweisstrasse 5 Deutschland-82152 Planegg")</f>
        <v>Semmelweisstrasse 5 Deutschland-82152 Planegg</v>
      </c>
      <c r="D133" s="6" t="str">
        <f>IFERROR(__xludf.DUMMYFUNCTION("""COMPUTED_VALUE""")," Telefon: +49 (0) 89 74032330 Fax: +49 (0) 89 74033443https://www.f-select.deinfo@remove-this.f-select.de")</f>
        <v> Telefon: +49 (0) 89 74032330 Fax: +49 (0) 89 74033443https://www.f-select.deinfo@remove-this.f-select.de</v>
      </c>
      <c r="E133" s="6"/>
    </row>
    <row r="134">
      <c r="A134" s="6" t="str">
        <f>IFERROR(__xludf.DUMMYFUNCTION("""COMPUTED_VALUE""")," Category: Biotech Agro, Food, Environment ")</f>
        <v> Category: Biotech Agro, Food, Environment </v>
      </c>
      <c r="B134" s="6" t="str">
        <f>IFERROR(__xludf.DUMMYFUNCTION("""COMPUTED_VALUE"""),"FarmInsect GmbH")</f>
        <v>FarmInsect GmbH</v>
      </c>
      <c r="C134" s="6" t="str">
        <f>IFERROR(__xludf.DUMMYFUNCTION("""COMPUTED_VALUE"""),"Münchner Str. 10 Deutschland-85232 Bergkirchen")</f>
        <v>Münchner Str. 10 Deutschland-85232 Bergkirchen</v>
      </c>
      <c r="D134" s="6" t="str">
        <f>IFERROR(__xludf.DUMMYFUNCTION("""COMPUTED_VALUE""")," Telefon: +49 8131 2974748https://www.farminsect.euinfo@remove-this.farminsect.eu")</f>
        <v> Telefon: +49 8131 2974748https://www.farminsect.euinfo@remove-this.farminsect.eu</v>
      </c>
      <c r="E134" s="6"/>
    </row>
    <row r="135">
      <c r="A135" s="6" t="str">
        <f>IFERROR(__xludf.DUMMYFUNCTION("""COMPUTED_VALUE""")," Category: CRO ")</f>
        <v> Category: CRO </v>
      </c>
      <c r="B135" s="6" t="str">
        <f>IFERROR(__xludf.DUMMYFUNCTION("""COMPUTED_VALUE""")," Keywords: Drug Development, Devices, ---CRO/CMO---, Pharmacovigiliance, 
Regulatory Affairs, Clinical Trial Management and Monitoring, Data 
Management and Biostatistics ")</f>
        <v> Keywords: Drug Development, Devices, ---CRO/CMO---, Pharmacovigiliance, 
Regulatory Affairs, Clinical Trial Management and Monitoring, Data 
Management and Biostatistics </v>
      </c>
      <c r="C135" s="6" t="str">
        <f>IFERROR(__xludf.DUMMYFUNCTION("""COMPUTED_VALUE"""),"FGK Clinical Research GmbH")</f>
        <v>FGK Clinical Research GmbH</v>
      </c>
      <c r="D135" s="6" t="str">
        <f>IFERROR(__xludf.DUMMYFUNCTION("""COMPUTED_VALUE"""),"Heimeranstr. 35 Deutschland-80339 München")</f>
        <v>Heimeranstr. 35 Deutschland-80339 München</v>
      </c>
      <c r="E135" s="6" t="str">
        <f>IFERROR(__xludf.DUMMYFUNCTION("""COMPUTED_VALUE""")," Telefon: +49 (0) 89 893119-0 Fax: +49 (0) 89 893119-20http://www.fgk-cro.cominfo@remove-this.fgk-cro.com")</f>
        <v> Telefon: +49 (0) 89 893119-0 Fax: +49 (0) 89 893119-20http://www.fgk-cro.cominfo@remove-this.fgk-cro.com</v>
      </c>
    </row>
    <row r="136">
      <c r="A136" s="6" t="str">
        <f>IFERROR(__xludf.DUMMYFUNCTION("""COMPUTED_VALUE""")," Category: CRO ")</f>
        <v> Category: CRO </v>
      </c>
      <c r="B136" s="6" t="str">
        <f>IFERROR(__xludf.DUMMYFUNCTION("""COMPUTED_VALUE""")," Keywords: Drug Development, ---CRO/CMO---, Pharmacovigilance, Clinical 
Trial Management and Monitoring, Data Management and Biostatistics, Medical 
Writing ")</f>
        <v> Keywords: Drug Development, ---CRO/CMO---, Pharmacovigilance, Clinical 
Trial Management and Monitoring, Data Management and Biostatistics, Medical 
Writing </v>
      </c>
      <c r="C136" s="6" t="str">
        <f>IFERROR(__xludf.DUMMYFUNCTION("""COMPUTED_VALUE"""),"FGK Pharmacovigilance GmbH")</f>
        <v>FGK Pharmacovigilance GmbH</v>
      </c>
      <c r="D136" s="6" t="str">
        <f>IFERROR(__xludf.DUMMYFUNCTION("""COMPUTED_VALUE"""),"Heimeranstr. 35 Deutschland-80339 München")</f>
        <v>Heimeranstr. 35 Deutschland-80339 München</v>
      </c>
      <c r="E136" s="6" t="str">
        <f>IFERROR(__xludf.DUMMYFUNCTION("""COMPUTED_VALUE""")," Telefon: +49 (0) 89 893119-0 Fax: +49 (0) 89 893119-20http://www.fgk-pv.cominfo@remove-this.fgk-pv.com")</f>
        <v> Telefon: +49 (0) 89 893119-0 Fax: +49 (0) 89 893119-20http://www.fgk-pv.cominfo@remove-this.fgk-pv.com</v>
      </c>
    </row>
    <row r="137">
      <c r="A137" s="6" t="str">
        <f>IFERROR(__xludf.DUMMYFUNCTION("""COMPUTED_VALUE""")," Category: Biotech Devices &amp; Reagents ")</f>
        <v> Category: Biotech Devices &amp; Reagents </v>
      </c>
      <c r="B137" s="6" t="str">
        <f>IFERROR(__xludf.DUMMYFUNCTION("""COMPUTED_VALUE""")," Keywords: Automation, Logistics, Laboratory, Data Management, Data 
Management and Biostatistics, Informatics ")</f>
        <v> Keywords: Automation, Logistics, Laboratory, Data Management, Data 
Management and Biostatistics, Informatics </v>
      </c>
      <c r="C137" s="6" t="str">
        <f>IFERROR(__xludf.DUMMYFUNCTION("""COMPUTED_VALUE"""),"FLUICS GmbH")</f>
        <v>FLUICS GmbH</v>
      </c>
      <c r="D137" s="6" t="str">
        <f>IFERROR(__xludf.DUMMYFUNCTION("""COMPUTED_VALUE"""),"Fürstenstraße 15 Deutschland-80333 München")</f>
        <v>Fürstenstraße 15 Deutschland-80333 München</v>
      </c>
      <c r="E137" s="6" t="str">
        <f>IFERROR(__xludf.DUMMYFUNCTION("""COMPUTED_VALUE""")," Telefon: +49 (0) 89 71690877https://www.fluics.comconnect@remove-this.fluics.com")</f>
        <v> Telefon: +49 (0) 89 71690877https://www.fluics.comconnect@remove-this.fluics.com</v>
      </c>
    </row>
    <row r="138">
      <c r="A138" s="6" t="str">
        <f>IFERROR(__xludf.DUMMYFUNCTION("""COMPUTED_VALUE""")," Category: CRO ")</f>
        <v> Category: CRO </v>
      </c>
      <c r="B138" s="6" t="str">
        <f>IFERROR(__xludf.DUMMYFUNCTION("""COMPUTED_VALUE"""),"FluiMed GmbH")</f>
        <v>FluiMed GmbH</v>
      </c>
      <c r="C138" s="6" t="str">
        <f>IFERROR(__xludf.DUMMYFUNCTION("""COMPUTED_VALUE"""),"Am Wildwechsel 7a Deutschland-82031 Grünwald")</f>
        <v>Am Wildwechsel 7a Deutschland-82031 Grünwald</v>
      </c>
      <c r="D138" s="6" t="str">
        <f>IFERROR(__xludf.DUMMYFUNCTION("""COMPUTED_VALUE"""),"http://www.fluimed.euinfo@remove-this.fluimed.eu")</f>
        <v>http://www.fluimed.euinfo@remove-this.fluimed.eu</v>
      </c>
      <c r="E138" s="6"/>
    </row>
    <row r="139">
      <c r="A139" s="6" t="str">
        <f>IFERROR(__xludf.DUMMYFUNCTION("""COMPUTED_VALUE""")," Category: Biotech Agro, Food, Environment ")</f>
        <v> Category: Biotech Agro, Food, Environment </v>
      </c>
      <c r="B139" s="6" t="str">
        <f>IFERROR(__xludf.DUMMYFUNCTION("""COMPUTED_VALUE""")," Keywords: Genomics, Agrobiotechnology, ELISA/EIA, PCR, Laboratory, NGS ")</f>
        <v> Keywords: Genomics, Agrobiotechnology, ELISA/EIA, PCR, Laboratory, NGS </v>
      </c>
      <c r="C139" s="6" t="str">
        <f>IFERROR(__xludf.DUMMYFUNCTION("""COMPUTED_VALUE"""),"FoodChain ID Testing GmbH")</f>
        <v>FoodChain ID Testing GmbH</v>
      </c>
      <c r="D139" s="6" t="str">
        <f>IFERROR(__xludf.DUMMYFUNCTION("""COMPUTED_VALUE"""),"Fraunhoferstraße 11B Deutschland-82152 Martinsried")</f>
        <v>Fraunhoferstraße 11B Deutschland-82152 Martinsried</v>
      </c>
      <c r="E139" s="6" t="str">
        <f>IFERROR(__xludf.DUMMYFUNCTION("""COMPUTED_VALUE""")," Telefon: +4989720804630http://www.foodchainid.cominfo-muc@remove-this.foodchainid.com")</f>
        <v> Telefon: +4989720804630http://www.foodchainid.cominfo-muc@remove-this.foodchainid.com</v>
      </c>
    </row>
    <row r="140">
      <c r="A140" s="6" t="str">
        <f>IFERROR(__xludf.DUMMYFUNCTION("""COMPUTED_VALUE""")," Category: Biotech Therapeutics &amp; Diagnostics ")</f>
        <v> Category: Biotech Therapeutics &amp; Diagnostics </v>
      </c>
      <c r="B140" s="6" t="str">
        <f>IFERROR(__xludf.DUMMYFUNCTION("""COMPUTED_VALUE""")," Keywords: Dermatology, Drug Development, Ophtalmology, Inflammation ")</f>
        <v> Keywords: Dermatology, Drug Development, Ophtalmology, Inflammation </v>
      </c>
      <c r="C140" s="6" t="str">
        <f>IFERROR(__xludf.DUMMYFUNCTION("""COMPUTED_VALUE"""),"Formycon AG")</f>
        <v>Formycon AG</v>
      </c>
      <c r="D140" s="6" t="str">
        <f>IFERROR(__xludf.DUMMYFUNCTION("""COMPUTED_VALUE"""),"Fraunhoferstr. 15 Deutschland-82152 Martinsried")</f>
        <v>Fraunhoferstr. 15 Deutschland-82152 Martinsried</v>
      </c>
      <c r="E140" s="6" t="str">
        <f>IFERROR(__xludf.DUMMYFUNCTION("""COMPUTED_VALUE""")," Telefon: +49 (0)89 864667-100 Fax: +49 (0)89 864667-110http://www.formycon.cominfo@remove-this.formycon.com")</f>
        <v> Telefon: +49 (0)89 864667-100 Fax: +49 (0)89 864667-110http://www.formycon.cominfo@remove-this.formycon.com</v>
      </c>
    </row>
    <row r="141">
      <c r="A141" s="6" t="str">
        <f>IFERROR(__xludf.DUMMYFUNCTION("""COMPUTED_VALUE""")," Category: Biotech Therapeutics &amp; Diagnostics ")</f>
        <v> Category: Biotech Therapeutics &amp; Diagnostics </v>
      </c>
      <c r="B141" s="6" t="str">
        <f>IFERROR(__xludf.DUMMYFUNCTION("""COMPUTED_VALUE""")," Keywords: Other Diagnostics, Bioinformatics ")</f>
        <v> Keywords: Other Diagnostics, Bioinformatics </v>
      </c>
      <c r="C141" s="6" t="str">
        <f>IFERROR(__xludf.DUMMYFUNCTION("""COMPUTED_VALUE"""),"Foundation Medicine GmbH")</f>
        <v>Foundation Medicine GmbH</v>
      </c>
      <c r="D141" s="6" t="str">
        <f>IFERROR(__xludf.DUMMYFUNCTION("""COMPUTED_VALUE"""),"Nonnenwald 2, Building 433 Deutschland-82377 Penzberg")</f>
        <v>Nonnenwald 2, Building 433 Deutschland-82377 Penzberg</v>
      </c>
      <c r="E141" s="7" t="str">
        <f>IFERROR(__xludf.DUMMYFUNCTION("""COMPUTED_VALUE"""),"https://www.foundationmedicine.de/de/")</f>
        <v>https://www.foundationmedicine.de/de/</v>
      </c>
    </row>
    <row r="142">
      <c r="A142" s="6" t="str">
        <f>IFERROR(__xludf.DUMMYFUNCTION("""COMPUTED_VALUE""")," Category: Biotech Devices &amp; Reagents ")</f>
        <v> Category: Biotech Devices &amp; Reagents </v>
      </c>
      <c r="B142" s="6" t="str">
        <f>IFERROR(__xludf.DUMMYFUNCTION("""COMPUTED_VALUE"""),"Free Flow Electrophoresis Service GmbH (FFE Service GmbH)")</f>
        <v>Free Flow Electrophoresis Service GmbH (FFE Service GmbH)</v>
      </c>
      <c r="C142" s="6" t="str">
        <f>IFERROR(__xludf.DUMMYFUNCTION("""COMPUTED_VALUE"""),"Dornacher Str. 3 Deutschland-85622 Feldkirchen")</f>
        <v>Dornacher Str. 3 Deutschland-85622 Feldkirchen</v>
      </c>
      <c r="D142" s="6" t="str">
        <f>IFERROR(__xludf.DUMMYFUNCTION("""COMPUTED_VALUE""")," Telefon: +49 89 32195069https://www.ffeservice.com")</f>
        <v> Telefon: +49 89 32195069https://www.ffeservice.com</v>
      </c>
      <c r="E142" s="6"/>
    </row>
    <row r="143">
      <c r="A143" s="6" t="str">
        <f>IFERROR(__xludf.DUMMYFUNCTION("""COMPUTED_VALUE""")," Category: Biotech Agro, Food, Environment ")</f>
        <v> Category: Biotech Agro, Food, Environment </v>
      </c>
      <c r="B143" s="6" t="str">
        <f>IFERROR(__xludf.DUMMYFUNCTION("""COMPUTED_VALUE""")," Keywords: Industrial Biotechnology ")</f>
        <v> Keywords: Industrial Biotechnology </v>
      </c>
      <c r="C143" s="6" t="str">
        <f>IFERROR(__xludf.DUMMYFUNCTION("""COMPUTED_VALUE"""),"Fritzmeier Umwelttechnik GmbH &amp; Co. KG,Abt. inocreFritzmeier Umwelttechnik GmbH &amp; Co. KG ")</f>
        <v>Fritzmeier Umwelttechnik GmbH &amp; Co. KG,Abt. inocreFritzmeier Umwelttechnik GmbH &amp; Co. KG </v>
      </c>
      <c r="D143" s="6" t="str">
        <f>IFERROR(__xludf.DUMMYFUNCTION("""COMPUTED_VALUE"""),"Dorfstr. 7 Deutschland-85655 Großhelfendorf")</f>
        <v>Dorfstr. 7 Deutschland-85655 Großhelfendorf</v>
      </c>
      <c r="E143" s="6" t="str">
        <f>IFERROR(__xludf.DUMMYFUNCTION("""COMPUTED_VALUE""")," Telefon: +49 (0) 8095 87339 408 Fax: +49(0) 8095 87339 472http://www.fritzmeier-umwelttechnik.comumwelt@remove-this.fritzmeier.de")</f>
        <v> Telefon: +49 (0) 8095 87339 408 Fax: +49(0) 8095 87339 472http://www.fritzmeier-umwelttechnik.comumwelt@remove-this.fritzmeier.de</v>
      </c>
    </row>
    <row r="144">
      <c r="A144" s="8" t="str">
        <f>IFERROR(__xludf.DUMMYFUNCTION("IMPORTXML(H1,A2)")," Category: Biotech Devices &amp; Reagents ")</f>
        <v> Category: Biotech Devices &amp; Reagents </v>
      </c>
      <c r="B144" s="6" t="str">
        <f>IFERROR(__xludf.DUMMYFUNCTION("""COMPUTED_VALUE""")," Keywords: Infectious Diseases, Clinical Diagnostics, Devices, PCR, 
Chip/Array Technology, Molecular Diagnostics, In-Vitro-Diagnostics ")</f>
        <v> Keywords: Infectious Diseases, Clinical Diagnostics, Devices, PCR, 
Chip/Array Technology, Molecular Diagnostics, In-Vitro-Diagnostics </v>
      </c>
      <c r="C144" s="6" t="str">
        <f>IFERROR(__xludf.DUMMYFUNCTION("""COMPUTED_VALUE"""),"FRIZ Biochem GmbH")</f>
        <v>FRIZ Biochem GmbH</v>
      </c>
      <c r="D144" s="6" t="str">
        <f>IFERROR(__xludf.DUMMYFUNCTION("""COMPUTED_VALUE"""),"Floriansbogen 2 - 4 Deutschland-82061 Neuried")</f>
        <v>Floriansbogen 2 - 4 Deutschland-82061 Neuried</v>
      </c>
      <c r="E144" s="6" t="str">
        <f>IFERROR(__xludf.DUMMYFUNCTION("""COMPUTED_VALUE""")," Telefon: +49 (0) 89 724409-25 Fax: +49 (0) 89 724409-10http://www.frizbiochem.deinfo@remove-this.frizbiochem.de")</f>
        <v> Telefon: +49 (0) 89 724409-25 Fax: +49 (0) 89 724409-10http://www.frizbiochem.deinfo@remove-this.frizbiochem.de</v>
      </c>
    </row>
    <row r="145">
      <c r="A145" s="6" t="str">
        <f>IFERROR(__xludf.DUMMYFUNCTION("""COMPUTED_VALUE""")," Category: Biotech Therapeutics &amp; Diagnostics ")</f>
        <v> Category: Biotech Therapeutics &amp; Diagnostics </v>
      </c>
      <c r="B145" s="6" t="str">
        <f>IFERROR(__xludf.DUMMYFUNCTION("""COMPUTED_VALUE""")," Keywords: Rheumatoid Arthritis, Drug Development, Small Molecules, 
Oncology ")</f>
        <v> Keywords: Rheumatoid Arthritis, Drug Development, Small Molecules, 
Oncology </v>
      </c>
      <c r="C145" s="6" t="str">
        <f>IFERROR(__xludf.DUMMYFUNCTION("""COMPUTED_VALUE"""),"Galapagos Biopharma Germany GmbH")</f>
        <v>Galapagos Biopharma Germany GmbH</v>
      </c>
      <c r="D145" s="6" t="str">
        <f>IFERROR(__xludf.DUMMYFUNCTION("""COMPUTED_VALUE"""),"c/o Design Offices NOVE Luise-Ullrich-Straße 8 Deutschland-80636 München")</f>
        <v>c/o Design Offices NOVE Luise-Ullrich-Straße 8 Deutschland-80636 München</v>
      </c>
      <c r="E145" s="6" t="str">
        <f>IFERROR(__xludf.DUMMYFUNCTION("""COMPUTED_VALUE""")," Telefon: +498926201309 Fax: +49 89 38038328https://www.glpg.dedeutschland@remove-this.glpg.com")</f>
        <v> Telefon: +498926201309 Fax: +49 89 38038328https://www.glpg.dedeutschland@remove-this.glpg.com</v>
      </c>
    </row>
    <row r="146">
      <c r="A146" s="6" t="str">
        <f>IFERROR(__xludf.DUMMYFUNCTION("""COMPUTED_VALUE""")," Category: Biotech Devices &amp; Reagents ")</f>
        <v> Category: Biotech Devices &amp; Reagents </v>
      </c>
      <c r="B146" s="6" t="str">
        <f>IFERROR(__xludf.DUMMYFUNCTION("""COMPUTED_VALUE""")," Keywords: Microscopy ")</f>
        <v> Keywords: Microscopy </v>
      </c>
      <c r="C146" s="6" t="str">
        <f>IFERROR(__xludf.DUMMYFUNCTION("""COMPUTED_VALUE"""),"GATTAquant GmbH")</f>
        <v>GATTAquant GmbH</v>
      </c>
      <c r="D146" s="6" t="str">
        <f>IFERROR(__xludf.DUMMYFUNCTION("""COMPUTED_VALUE"""),"Am Schlosshof 8 Deutschland-91355 Hiltpoltstein")</f>
        <v>Am Schlosshof 8 Deutschland-91355 Hiltpoltstein</v>
      </c>
      <c r="E146" s="6" t="str">
        <f>IFERROR(__xludf.DUMMYFUNCTION("""COMPUTED_VALUE""")," Telefon: +49 (0) 9192 243 99 44https://www.GATTAQUANT.COMINFO@remove-this.GATTAQUANT.COM")</f>
        <v> Telefon: +49 (0) 9192 243 99 44https://www.GATTAQUANT.COMINFO@remove-this.GATTAQUANT.COM</v>
      </c>
    </row>
    <row r="147">
      <c r="A147" s="6" t="str">
        <f>IFERROR(__xludf.DUMMYFUNCTION("""COMPUTED_VALUE""")," Category: Pharma &amp; Chemical Industry ")</f>
        <v> Category: Pharma &amp; Chemical Industry </v>
      </c>
      <c r="B147" s="6" t="str">
        <f>IFERROR(__xludf.DUMMYFUNCTION("""COMPUTED_VALUE""")," Keywords: Analytical Chemistry, Laboratory, Regulatory Affairs ")</f>
        <v> Keywords: Analytical Chemistry, Laboratory, Regulatory Affairs </v>
      </c>
      <c r="C147" s="6" t="str">
        <f>IFERROR(__xludf.DUMMYFUNCTION("""COMPUTED_VALUE"""),"GBA PHARMA GmbH")</f>
        <v>GBA PHARMA GmbH</v>
      </c>
      <c r="D147" s="6" t="str">
        <f>IFERROR(__xludf.DUMMYFUNCTION("""COMPUTED_VALUE"""),"Anna-Sigmund-Straße 7 Deutschland-82061 Neuried")</f>
        <v>Anna-Sigmund-Straße 7 Deutschland-82061 Neuried</v>
      </c>
      <c r="E147" s="6" t="str">
        <f>IFERROR(__xludf.DUMMYFUNCTION("""COMPUTED_VALUE""")," Telefon: +4989899229200 Fax: +49 89 899 229 228http://www.gba-pharma.cominfo@remove-this.gba-pharma.com")</f>
        <v> Telefon: +4989899229200 Fax: +49 89 899 229 228http://www.gba-pharma.cominfo@remove-this.gba-pharma.com</v>
      </c>
    </row>
    <row r="148">
      <c r="A148" s="6" t="str">
        <f>IFERROR(__xludf.DUMMYFUNCTION("""COMPUTED_VALUE""")," Category: Biotech Devices &amp; Reagents ")</f>
        <v> Category: Biotech Devices &amp; Reagents </v>
      </c>
      <c r="B148" s="6" t="str">
        <f>IFERROR(__xludf.DUMMYFUNCTION("""COMPUTED_VALUE"""),"GBN Systems GmbH,Performing Mechatronics - Made in BavariaGBN Systems GmbH ")</f>
        <v>GBN Systems GmbH,Performing Mechatronics - Made in BavariaGBN Systems GmbH </v>
      </c>
      <c r="C148" s="6" t="str">
        <f>IFERROR(__xludf.DUMMYFUNCTION("""COMPUTED_VALUE"""),"Fellnerstrasse 2 Deutschland-85656 Buch am Buchrain")</f>
        <v>Fellnerstrasse 2 Deutschland-85656 Buch am Buchrain</v>
      </c>
      <c r="D148" s="6" t="str">
        <f>IFERROR(__xludf.DUMMYFUNCTION("""COMPUTED_VALUE""")," Telefon: +49-8124-5310-0 Fax: +49-8124-5310-20http://www.gbn-systems.cominfo@remove-this.gbn-systems.com")</f>
        <v> Telefon: +49-8124-5310-0 Fax: +49-8124-5310-20http://www.gbn-systems.cominfo@remove-this.gbn-systems.com</v>
      </c>
      <c r="E148" s="6"/>
    </row>
    <row r="149">
      <c r="A149" s="6" t="str">
        <f>IFERROR(__xludf.DUMMYFUNCTION("""COMPUTED_VALUE""")," Category: Pharma &amp; Chemical Industry ")</f>
        <v> Category: Pharma &amp; Chemical Industry </v>
      </c>
      <c r="B149" s="6" t="str">
        <f>IFERROR(__xludf.DUMMYFUNCTION("""COMPUTED_VALUE""")," Keywords: Genomics, Proteomics, Devices, Fine Chemicals/Reagents, 
Analytical Chemistry ")</f>
        <v> Keywords: Genomics, Proteomics, Devices, Fine Chemicals/Reagents, 
Analytical Chemistry </v>
      </c>
      <c r="C149" s="6" t="str">
        <f>IFERROR(__xludf.DUMMYFUNCTION("""COMPUTED_VALUE"""),"GE Healthcare Europe GmbH")</f>
        <v>GE Healthcare Europe GmbH</v>
      </c>
      <c r="D149" s="6" t="str">
        <f>IFERROR(__xludf.DUMMYFUNCTION("""COMPUTED_VALUE"""),"Oskar-Schlemmer-Str. 11 Deutschland-80807 München")</f>
        <v>Oskar-Schlemmer-Str. 11 Deutschland-80807 München</v>
      </c>
      <c r="E149" s="6" t="str">
        <f>IFERROR(__xludf.DUMMYFUNCTION("""COMPUTED_VALUE""")," Telefon: +49 (0) 7667 833-559 Fax: +49 (0) 7667 833-616http://www.gelifesciences.commichael.kaleja@remove-this.ge.com")</f>
        <v> Telefon: +49 (0) 7667 833-559 Fax: +49 (0) 7667 833-616http://www.gelifesciences.commichael.kaleja@remove-this.ge.com</v>
      </c>
    </row>
    <row r="150">
      <c r="A150" s="6" t="str">
        <f>IFERROR(__xludf.DUMMYFUNCTION("""COMPUTED_VALUE""")," Category: CRO ")</f>
        <v> Category: CRO </v>
      </c>
      <c r="B150" s="6" t="str">
        <f>IFERROR(__xludf.DUMMYFUNCTION("""COMPUTED_VALUE""")," Keywords: Drug Development, Laboratory ")</f>
        <v> Keywords: Drug Development, Laboratory </v>
      </c>
      <c r="C150" s="6" t="str">
        <f>IFERROR(__xludf.DUMMYFUNCTION("""COMPUTED_VALUE"""),"Gen-Plus GmbH &amp; Co. KG")</f>
        <v>Gen-Plus GmbH &amp; Co. KG</v>
      </c>
      <c r="D150" s="6" t="str">
        <f>IFERROR(__xludf.DUMMYFUNCTION("""COMPUTED_VALUE"""),"Staffelseestr. 6 Deutschland-81477 München")</f>
        <v>Staffelseestr. 6 Deutschland-81477 München</v>
      </c>
      <c r="E150" s="6" t="str">
        <f>IFERROR(__xludf.DUMMYFUNCTION("""COMPUTED_VALUE""")," Telefon: +49 (0) 89 78017940 Fax: +49 (0) 89 78017944http://www.gen-plus.deinfo@remove-this.gen-plus.de")</f>
        <v> Telefon: +49 (0) 89 78017940 Fax: +49 (0) 89 78017944http://www.gen-plus.deinfo@remove-this.gen-plus.de</v>
      </c>
    </row>
    <row r="151">
      <c r="A151" s="6" t="str">
        <f>IFERROR(__xludf.DUMMYFUNCTION("""COMPUTED_VALUE""")," Category: Biotech Bioinformatics ")</f>
        <v> Category: Biotech Bioinformatics </v>
      </c>
      <c r="B151" s="6" t="str">
        <f>IFERROR(__xludf.DUMMYFUNCTION("""COMPUTED_VALUE"""),"Genedata Bioinformatik GmbH")</f>
        <v>Genedata Bioinformatik GmbH</v>
      </c>
      <c r="C151" s="6" t="str">
        <f>IFERROR(__xludf.DUMMYFUNCTION("""COMPUTED_VALUE"""),"Fürstenrieder Straße 281 Deutschland-81377 München")</f>
        <v>Fürstenrieder Straße 281 Deutschland-81377 München</v>
      </c>
      <c r="D151" s="6" t="str">
        <f>IFERROR(__xludf.DUMMYFUNCTION("""COMPUTED_VALUE""")," Telefon: +49 (0) 89 458 1901-0 Fax: +49 (0) 89 458 1901-5http://www.genedata.comadministration@remove-this.genedata.com")</f>
        <v> Telefon: +49 (0) 89 458 1901-0 Fax: +49 (0) 89 458 1901-5http://www.genedata.comadministration@remove-this.genedata.com</v>
      </c>
      <c r="E151" s="6"/>
    </row>
    <row r="152">
      <c r="A152" s="6" t="str">
        <f>IFERROR(__xludf.DUMMYFUNCTION("""COMPUTED_VALUE""")," Category: Biotech DNA/Protein Analytics ")</f>
        <v> Category: Biotech DNA/Protein Analytics </v>
      </c>
      <c r="B152" s="6" t="str">
        <f>IFERROR(__xludf.DUMMYFUNCTION("""COMPUTED_VALUE""")," Keywords: Genomics, Medicinal Chemistry, Antisense/Nucleotides ")</f>
        <v> Keywords: Genomics, Medicinal Chemistry, Antisense/Nucleotides </v>
      </c>
      <c r="C152" s="6" t="str">
        <f>IFERROR(__xludf.DUMMYFUNCTION("""COMPUTED_VALUE"""),"Genedia AG, Biotec Services and ProductsGenedia AG ")</f>
        <v>Genedia AG, Biotec Services and ProductsGenedia AG </v>
      </c>
      <c r="D152" s="6" t="str">
        <f>IFERROR(__xludf.DUMMYFUNCTION("""COMPUTED_VALUE"""),"Untere Grasstr. 6 Dr. Hildegard HAAS Deutschland-81541 München")</f>
        <v>Untere Grasstr. 6 Dr. Hildegard HAAS Deutschland-81541 München</v>
      </c>
      <c r="E152" s="6" t="str">
        <f>IFERROR(__xludf.DUMMYFUNCTION("""COMPUTED_VALUE""")," Telefon: +49 (0) 89 543448-0 Fax: +49 (0) 89 543448-20http://www.genedia.deinfo@remove-this.genedia.de")</f>
        <v> Telefon: +49 (0) 89 543448-0 Fax: +49 (0) 89 543448-20http://www.genedia.deinfo@remove-this.genedia.de</v>
      </c>
    </row>
    <row r="153">
      <c r="A153" s="6" t="str">
        <f>IFERROR(__xludf.DUMMYFUNCTION("""COMPUTED_VALUE""")," Category: Biotech Therapeutics &amp; Diagnostics ")</f>
        <v> Category: Biotech Therapeutics &amp; Diagnostics </v>
      </c>
      <c r="B153" s="6" t="str">
        <f>IFERROR(__xludf.DUMMYFUNCTION("""COMPUTED_VALUE"""),"GeneSurge GmbH")</f>
        <v>GeneSurge GmbH</v>
      </c>
      <c r="C153" s="6" t="str">
        <f>IFERROR(__xludf.DUMMYFUNCTION("""COMPUTED_VALUE"""),"Ottostr. 3 Deutschland-80333 München")</f>
        <v>Ottostr. 3 Deutschland-80333 München</v>
      </c>
      <c r="D153" s="7" t="str">
        <f>IFERROR(__xludf.DUMMYFUNCTION("""COMPUTED_VALUE"""),"https://genesurge.com/")</f>
        <v>https://genesurge.com/</v>
      </c>
      <c r="E153" s="6"/>
    </row>
    <row r="154">
      <c r="A154" s="6" t="str">
        <f>IFERROR(__xludf.DUMMYFUNCTION("""COMPUTED_VALUE""")," Category: Biotech Therapeutics &amp; Diagnostics ")</f>
        <v> Category: Biotech Therapeutics &amp; Diagnostics </v>
      </c>
      <c r="B154" s="6" t="str">
        <f>IFERROR(__xludf.DUMMYFUNCTION("""COMPUTED_VALUE""")," Keywords: PCR, Molecular Diagnostics ")</f>
        <v> Keywords: PCR, Molecular Diagnostics </v>
      </c>
      <c r="C154" s="6" t="str">
        <f>IFERROR(__xludf.DUMMYFUNCTION("""COMPUTED_VALUE"""),"GENidee")</f>
        <v>GENidee</v>
      </c>
      <c r="D154" s="6" t="str">
        <f>IFERROR(__xludf.DUMMYFUNCTION("""COMPUTED_VALUE"""),"Lise-Meitner-Str. 30 c/o IZB Deutschland-85354 Freising/Weihenstephan")</f>
        <v>Lise-Meitner-Str. 30 c/o IZB Deutschland-85354 Freising/Weihenstephan</v>
      </c>
      <c r="E154" s="6" t="str">
        <f>IFERROR(__xludf.DUMMYFUNCTION("""COMPUTED_VALUE""")," Telefon: +49 (0) 8161 8068186 Fax: +49 (0) 8161 8068185http://www.genidee.eu/info@remove-this.genidee.eu")</f>
        <v> Telefon: +49 (0) 8161 8068186 Fax: +49 (0) 8161 8068185http://www.genidee.eu/info@remove-this.genidee.eu</v>
      </c>
    </row>
    <row r="155">
      <c r="A155" s="6" t="str">
        <f>IFERROR(__xludf.DUMMYFUNCTION("""COMPUTED_VALUE""")," Category: Biotech Therapeutics &amp; Diagnostics ")</f>
        <v> Category: Biotech Therapeutics &amp; Diagnostics </v>
      </c>
      <c r="B155" s="6" t="str">
        <f>IFERROR(__xludf.DUMMYFUNCTION("""COMPUTED_VALUE"""),"Gilead Sciences GmbH")</f>
        <v>Gilead Sciences GmbH</v>
      </c>
      <c r="C155" s="6" t="str">
        <f>IFERROR(__xludf.DUMMYFUNCTION("""COMPUTED_VALUE"""),"Fraunhoferstr. 17 Deutschland-82152 Martinsried")</f>
        <v>Fraunhoferstr. 17 Deutschland-82152 Martinsried</v>
      </c>
      <c r="D155" s="6" t="str">
        <f>IFERROR(__xludf.DUMMYFUNCTION("""COMPUTED_VALUE""")," Telefon: +49 (0) 89 899890-0 Fax: +49 (0) 89 899890-90http://www.gileadsciences.deinfo@remove-this.gilead-sciences.de")</f>
        <v> Telefon: +49 (0) 89 899890-0 Fax: +49 (0) 89 899890-90http://www.gileadsciences.deinfo@remove-this.gilead-sciences.de</v>
      </c>
      <c r="E155" s="6"/>
    </row>
    <row r="156">
      <c r="A156" s="6" t="str">
        <f>IFERROR(__xludf.DUMMYFUNCTION("""COMPUTED_VALUE""")," Category: CRO ")</f>
        <v> Category: CRO </v>
      </c>
      <c r="B156" s="6" t="str">
        <f>IFERROR(__xludf.DUMMYFUNCTION("""COMPUTED_VALUE""")," Keywords: Pharmacovigiliance, Regulatory Affairs, Clinical Trial 
Management and Monitoring, Data Management and Biostatistics, Medical 
Writing ")</f>
        <v> Keywords: Pharmacovigiliance, Regulatory Affairs, Clinical Trial 
Management and Monitoring, Data Management and Biostatistics, Medical 
Writing </v>
      </c>
      <c r="C156" s="6" t="str">
        <f>IFERROR(__xludf.DUMMYFUNCTION("""COMPUTED_VALUE"""),"GKM Gesellschaft für Therapieforschung mbH")</f>
        <v>GKM Gesellschaft für Therapieforschung mbH</v>
      </c>
      <c r="D156" s="6" t="str">
        <f>IFERROR(__xludf.DUMMYFUNCTION("""COMPUTED_VALUE"""),"Lessingstr. 14 Deutschland-80336 München")</f>
        <v>Lessingstr. 14 Deutschland-80336 München</v>
      </c>
      <c r="E156" s="6" t="str">
        <f>IFERROR(__xludf.DUMMYFUNCTION("""COMPUTED_VALUE""")," Telefon: +49 (0) 89 209120-0 Fax: +49 (0) 89 209120-30http://www.gkm-therapieforschung.descience@remove-this.gkm-therapieforschung.de")</f>
        <v> Telefon: +49 (0) 89 209120-0 Fax: +49 (0) 89 209120-30http://www.gkm-therapieforschung.descience@remove-this.gkm-therapieforschung.de</v>
      </c>
    </row>
    <row r="157">
      <c r="A157" s="6" t="str">
        <f>IFERROR(__xludf.DUMMYFUNCTION("""COMPUTED_VALUE""")," Category: Pharma &amp; Chemical Industry ")</f>
        <v> Category: Pharma &amp; Chemical Industry </v>
      </c>
      <c r="B157" s="6" t="str">
        <f>IFERROR(__xludf.DUMMYFUNCTION("""COMPUTED_VALUE""")," Keywords: Respiratory Diseases, Antibiotics, Vaccines, Oncology, 
Pneumology ")</f>
        <v> Keywords: Respiratory Diseases, Antibiotics, Vaccines, Oncology, 
Pneumology </v>
      </c>
      <c r="C157" s="6" t="str">
        <f>IFERROR(__xludf.DUMMYFUNCTION("""COMPUTED_VALUE"""),"GlaxoSmithKline GmbH &amp; Co. KG")</f>
        <v>GlaxoSmithKline GmbH &amp; Co. KG</v>
      </c>
      <c r="D157" s="6" t="str">
        <f>IFERROR(__xludf.DUMMYFUNCTION("""COMPUTED_VALUE"""),"Prinzregentenplatz 9 Deutschland-81675 München")</f>
        <v>Prinzregentenplatz 9 Deutschland-81675 München</v>
      </c>
      <c r="E157" s="6" t="str">
        <f>IFERROR(__xludf.DUMMYFUNCTION("""COMPUTED_VALUE""")," Telefon: +49 (0) 89 360440 Fax: +49 (0) 89 3604 48000http://de.gsk.comservice.info@remove-this.gsk.com")</f>
        <v> Telefon: +49 (0) 89 360440 Fax: +49 (0) 89 3604 48000http://de.gsk.comservice.info@remove-this.gsk.com</v>
      </c>
    </row>
    <row r="158">
      <c r="A158" s="6" t="str">
        <f>IFERROR(__xludf.DUMMYFUNCTION("""COMPUTED_VALUE""")," Category: Pharma &amp; Chemical Industry ")</f>
        <v> Category: Pharma &amp; Chemical Industry </v>
      </c>
      <c r="B158" s="6" t="str">
        <f>IFERROR(__xludf.DUMMYFUNCTION("""COMPUTED_VALUE"""),"Glenmark Arzneimittel GmbH")</f>
        <v>Glenmark Arzneimittel GmbH</v>
      </c>
      <c r="C158" s="6" t="str">
        <f>IFERROR(__xludf.DUMMYFUNCTION("""COMPUTED_VALUE"""),"Industriestraße 31 Deutschland-82194 Gröbenzell")</f>
        <v>Industriestraße 31 Deutschland-82194 Gröbenzell</v>
      </c>
      <c r="D158" s="6" t="str">
        <f>IFERROR(__xludf.DUMMYFUNCTION("""COMPUTED_VALUE""")," Telefon: +49 (0) 8142 44392 0 Fax: +49 (0) 8142 44392 29http://www.glenmark.deinfo@remove-this.glenmark.de")</f>
        <v> Telefon: +49 (0) 8142 44392 0 Fax: +49 (0) 8142 44392 29http://www.glenmark.deinfo@remove-this.glenmark.de</v>
      </c>
      <c r="E158" s="6"/>
    </row>
    <row r="159">
      <c r="A159" s="6" t="str">
        <f>IFERROR(__xludf.DUMMYFUNCTION("""COMPUTED_VALUE""")," Category: Biotech Devices &amp; Reagents ")</f>
        <v> Category: Biotech Devices &amp; Reagents </v>
      </c>
      <c r="B159" s="6" t="str">
        <f>IFERROR(__xludf.DUMMYFUNCTION("""COMPUTED_VALUE""")," Keywords: Devices, Automation, Analytical Chemistry, Microscopy, 
Chip/Array Technology, Regulatory Affairs, In-Vitro-Diagnostics ")</f>
        <v> Keywords: Devices, Automation, Analytical Chemistry, Microscopy, 
Chip/Array Technology, Regulatory Affairs, In-Vitro-Diagnostics </v>
      </c>
      <c r="C159" s="6" t="str">
        <f>IFERROR(__xludf.DUMMYFUNCTION("""COMPUTED_VALUE"""),"GWK Präzisionstechnik GmbH")</f>
        <v>GWK Präzisionstechnik GmbH</v>
      </c>
      <c r="D159" s="6" t="str">
        <f>IFERROR(__xludf.DUMMYFUNCTION("""COMPUTED_VALUE"""),"Gollierstr. 70 Deutschland-80339 München")</f>
        <v>Gollierstr. 70 Deutschland-80339 München</v>
      </c>
      <c r="E159" s="6" t="str">
        <f>IFERROR(__xludf.DUMMYFUNCTION("""COMPUTED_VALUE""")," Telefon: +49 (0) 89 726 4960-0 Fax: +49 (0) 89 726 4960-29https://www.gwk-munich.deinfo@remove-this.gwk-munich.com")</f>
        <v> Telefon: +49 (0) 89 726 4960-0 Fax: +49 (0) 89 726 4960-29https://www.gwk-munich.deinfo@remove-this.gwk-munich.com</v>
      </c>
    </row>
    <row r="160">
      <c r="A160" s="6" t="str">
        <f>IFERROR(__xludf.DUMMYFUNCTION("""COMPUTED_VALUE""")," Category: Biotech Devices &amp; Reagents ")</f>
        <v> Category: Biotech Devices &amp; Reagents </v>
      </c>
      <c r="B160" s="6" t="str">
        <f>IFERROR(__xludf.DUMMYFUNCTION("""COMPUTED_VALUE"""),"Hamilton Germany GmbH")</f>
        <v>Hamilton Germany GmbH</v>
      </c>
      <c r="C160" s="6" t="str">
        <f>IFERROR(__xludf.DUMMYFUNCTION("""COMPUTED_VALUE"""),"Fraunhoferstr. 17 Deutschland-82152 Martinsried")</f>
        <v>Fraunhoferstr. 17 Deutschland-82152 Martinsried</v>
      </c>
      <c r="D160" s="6" t="str">
        <f>IFERROR(__xludf.DUMMYFUNCTION("""COMPUTED_VALUE""")," Telefon: +49 (0) 89 248 804 804 Fax: +49 (0) 89 248 804 808http://www.hamiltonrobotics.cominfo.de@remove-this.hamilton.ch")</f>
        <v> Telefon: +49 (0) 89 248 804 804 Fax: +49 (0) 89 248 804 808http://www.hamiltonrobotics.cominfo.de@remove-this.hamilton.ch</v>
      </c>
      <c r="E160" s="6"/>
    </row>
    <row r="161">
      <c r="A161" s="6" t="str">
        <f>IFERROR(__xludf.DUMMYFUNCTION("""COMPUTED_VALUE""")," Category: Medtech ")</f>
        <v> Category: Medtech </v>
      </c>
      <c r="B161" s="6" t="str">
        <f>IFERROR(__xludf.DUMMYFUNCTION("""COMPUTED_VALUE""")," Keywords: Dermatology, Clinical Diagnostics ")</f>
        <v> Keywords: Dermatology, Clinical Diagnostics </v>
      </c>
      <c r="C161" s="6" t="str">
        <f>IFERROR(__xludf.DUMMYFUNCTION("""COMPUTED_VALUE"""),"Heine Optotechnik")</f>
        <v>Heine Optotechnik</v>
      </c>
      <c r="D161" s="6" t="str">
        <f>IFERROR(__xludf.DUMMYFUNCTION("""COMPUTED_VALUE"""),"Dornierstr. 6 | 82205 Gilching Deutschland-82205 Gilching")</f>
        <v>Dornierstr. 6 | 82205 Gilching Deutschland-82205 Gilching</v>
      </c>
      <c r="E161" s="6" t="str">
        <f>IFERROR(__xludf.DUMMYFUNCTION("""COMPUTED_VALUE""")," Telefon: 815238138http://www.heine.com")</f>
        <v> Telefon: 815238138http://www.heine.com</v>
      </c>
    </row>
    <row r="162">
      <c r="A162" s="6" t="str">
        <f>IFERROR(__xludf.DUMMYFUNCTION("""COMPUTED_VALUE""")," Category: Pharma &amp; Chemical Industry ")</f>
        <v> Category: Pharma &amp; Chemical Industry </v>
      </c>
      <c r="B162" s="6" t="str">
        <f>IFERROR(__xludf.DUMMYFUNCTION("""COMPUTED_VALUE"""),"HEIQ RAS AG")</f>
        <v>HEIQ RAS AG</v>
      </c>
      <c r="C162" s="6" t="str">
        <f>IFERROR(__xludf.DUMMYFUNCTION("""COMPUTED_VALUE"""),"Rudolf-Vogt-Str. 8-10 Deutschland-93053 Regensburg")</f>
        <v>Rudolf-Vogt-Str. 8-10 Deutschland-93053 Regensburg</v>
      </c>
      <c r="D162" s="6" t="str">
        <f>IFERROR(__xludf.DUMMYFUNCTION("""COMPUTED_VALUE""")," Telefon: +49 (0) 941 60717-300 Fax: +49 (0) 941 60717-399https://ras-ag.com/kontakt/office@remove-this.ras-ag.com")</f>
        <v> Telefon: +49 (0) 941 60717-300 Fax: +49 (0) 941 60717-399https://ras-ag.com/kontakt/office@remove-this.ras-ag.com</v>
      </c>
      <c r="E162" s="6"/>
    </row>
    <row r="163">
      <c r="A163" s="6" t="str">
        <f>IFERROR(__xludf.DUMMYFUNCTION("""COMPUTED_VALUE""")," Category: Pharma &amp; Chemical Industry ")</f>
        <v> Category: Pharma &amp; Chemical Industry </v>
      </c>
      <c r="B163" s="6" t="str">
        <f>IFERROR(__xludf.DUMMYFUNCTION("""COMPUTED_VALUE"""),"Hermes Arzneimittel GmbH")</f>
        <v>Hermes Arzneimittel GmbH</v>
      </c>
      <c r="C163" s="6" t="str">
        <f>IFERROR(__xludf.DUMMYFUNCTION("""COMPUTED_VALUE"""),"Georg-Kalb-Straße 5-8 Deutschland-82049 Pullach")</f>
        <v>Georg-Kalb-Straße 5-8 Deutschland-82049 Pullach</v>
      </c>
      <c r="D163" s="6" t="str">
        <f>IFERROR(__xludf.DUMMYFUNCTION("""COMPUTED_VALUE""")," Telefon: +49 (0) 89 79102-0 Fax: +49 (0) 89 79102-280http://www.hermes-arzneimittel.deinfo@remove-this.hermes-arzneimittel.com")</f>
        <v> Telefon: +49 (0) 89 79102-0 Fax: +49 (0) 89 79102-280http://www.hermes-arzneimittel.deinfo@remove-this.hermes-arzneimittel.com</v>
      </c>
      <c r="E163" s="6"/>
    </row>
    <row r="164">
      <c r="A164" s="6" t="str">
        <f>IFERROR(__xludf.DUMMYFUNCTION("IMPORTXML(I1,A2)")," Category: Pharma &amp; Chemical Industry ")</f>
        <v> Category: Pharma &amp; Chemical Industry </v>
      </c>
      <c r="B164" s="6" t="str">
        <f>IFERROR(__xludf.DUMMYFUNCTION("""COMPUTED_VALUE""")," Keywords: 3D-Structural Analysis, Drug Development, Pharmacokinetics, 
Peptide/Protein ")</f>
        <v> Keywords: 3D-Structural Analysis, Drug Development, Pharmacokinetics, 
Peptide/Protein </v>
      </c>
      <c r="C164" s="6" t="str">
        <f>IFERROR(__xludf.DUMMYFUNCTION("""COMPUTED_VALUE"""),"Hexal AG")</f>
        <v>Hexal AG</v>
      </c>
      <c r="D164" s="6" t="str">
        <f>IFERROR(__xludf.DUMMYFUNCTION("""COMPUTED_VALUE"""),"Industriestr. 18 Deutschland-83607 Holzkirchen")</f>
        <v>Industriestr. 18 Deutschland-83607 Holzkirchen</v>
      </c>
      <c r="E164" s="6" t="str">
        <f>IFERROR(__xludf.DUMMYFUNCTION("""COMPUTED_VALUE""")," Telefon: +49 (0) 802 4908-0 Fax: + 49 (0) 802 4908-1290http://www.hexal.deservice@remove-this.sandoz.com")</f>
        <v> Telefon: +49 (0) 802 4908-0 Fax: + 49 (0) 802 4908-1290http://www.hexal.deservice@remove-this.sandoz.com</v>
      </c>
    </row>
    <row r="165">
      <c r="A165" s="6" t="str">
        <f>IFERROR(__xludf.DUMMYFUNCTION("""COMPUTED_VALUE""")," Category: Pharma &amp; Chemical Industry ")</f>
        <v> Category: Pharma &amp; Chemical Industry </v>
      </c>
      <c r="B165" s="6" t="str">
        <f>IFERROR(__xludf.DUMMYFUNCTION("""COMPUTED_VALUE"""),"Hikma Pharma GmbH")</f>
        <v>Hikma Pharma GmbH</v>
      </c>
      <c r="C165" s="6" t="str">
        <f>IFERROR(__xludf.DUMMYFUNCTION("""COMPUTED_VALUE"""),"Lochhamer Straße 13 Deutschland-82152 Martinsried")</f>
        <v>Lochhamer Straße 13 Deutschland-82152 Martinsried</v>
      </c>
      <c r="D165" s="6" t="str">
        <f>IFERROR(__xludf.DUMMYFUNCTION("""COMPUTED_VALUE""")," Telefon: +49 (0) 89-45450-0 Fax: +49 (0) 89-45450-566")</f>
        <v> Telefon: +49 (0) 89-45450-0 Fax: +49 (0) 89-45450-566</v>
      </c>
      <c r="E165" s="6"/>
    </row>
    <row r="166">
      <c r="A166" s="6" t="str">
        <f>IFERROR(__xludf.DUMMYFUNCTION("""COMPUTED_VALUE""")," Category: Biotech Therapeutics &amp; Diagnostics ")</f>
        <v> Category: Biotech Therapeutics &amp; Diagnostics </v>
      </c>
      <c r="B166" s="6" t="str">
        <f>IFERROR(__xludf.DUMMYFUNCTION("""COMPUTED_VALUE""")," Keywords: Drug Development, Medicinal Chemistry, Laboratory, Personalized 
Medicine ")</f>
        <v> Keywords: Drug Development, Medicinal Chemistry, Laboratory, Personalized 
Medicine </v>
      </c>
      <c r="C166" s="6" t="str">
        <f>IFERROR(__xludf.DUMMYFUNCTION("""COMPUTED_VALUE"""),"HMNC Brain Health GmbH")</f>
        <v>HMNC Brain Health GmbH</v>
      </c>
      <c r="D166" s="6" t="str">
        <f>IFERROR(__xludf.DUMMYFUNCTION("""COMPUTED_VALUE"""),"Wilhelm-Wagenfeld-Str. 20 Deutschland-80807 München")</f>
        <v>Wilhelm-Wagenfeld-Str. 20 Deutschland-80807 München</v>
      </c>
      <c r="E166" s="6" t="str">
        <f>IFERROR(__xludf.DUMMYFUNCTION("""COMPUTED_VALUE""")," Telefon: +49 (0) 89 36090200 Fax: +49 (0) 89 360902020http://www.hmnc.deinfo@remove-this.hmnc.de")</f>
        <v> Telefon: +49 (0) 89 36090200 Fax: +49 (0) 89 360902020http://www.hmnc.deinfo@remove-this.hmnc.de</v>
      </c>
    </row>
    <row r="167">
      <c r="A167" s="6" t="str">
        <f>IFERROR(__xludf.DUMMYFUNCTION("""COMPUTED_VALUE""")," Category: Biotech DNA/Protein Analytics ")</f>
        <v> Category: Biotech DNA/Protein Analytics </v>
      </c>
      <c r="B167" s="6" t="str">
        <f>IFERROR(__xludf.DUMMYFUNCTION("""COMPUTED_VALUE""")," Keywords: Clinical Diagnostics, Devices, New Materials, Molecular 
Diagnostics, Other Diagnostics, Bioanalytics, In-Vitro-Diagnostics ")</f>
        <v> Keywords: Clinical Diagnostics, Devices, New Materials, Molecular 
Diagnostics, Other Diagnostics, Bioanalytics, In-Vitro-Diagnostics </v>
      </c>
      <c r="C167" s="6" t="str">
        <f>IFERROR(__xludf.DUMMYFUNCTION("""COMPUTED_VALUE"""),"HP Health Solutions Germany GmbH")</f>
        <v>HP Health Solutions Germany GmbH</v>
      </c>
      <c r="D167" s="6" t="str">
        <f>IFERROR(__xludf.DUMMYFUNCTION("""COMPUTED_VALUE"""),"Am Klopferspitz 19 Deutschland-82152 Martinsried")</f>
        <v>Am Klopferspitz 19 Deutschland-82152 Martinsried</v>
      </c>
      <c r="E167" s="6" t="str">
        <f>IFERROR(__xludf.DUMMYFUNCTION("""COMPUTED_VALUE""")," Telefon: +49 (0) 89 998207-180 Fax: +49 (0) 89 998207-188http://www.gna-bio.cominfo@remove-this.gna-bio.com")</f>
        <v> Telefon: +49 (0) 89 998207-180 Fax: +49 (0) 89 998207-188http://www.gna-bio.cominfo@remove-this.gna-bio.com</v>
      </c>
    </row>
    <row r="168">
      <c r="A168" s="6" t="str">
        <f>IFERROR(__xludf.DUMMYFUNCTION("""COMPUTED_VALUE""")," Category: Biotech Devices &amp; Reagents ")</f>
        <v> Category: Biotech Devices &amp; Reagents </v>
      </c>
      <c r="B168" s="6" t="str">
        <f>IFERROR(__xludf.DUMMYFUNCTION("""COMPUTED_VALUE""")," Keywords: Clinical Diagnostics, Devices, Automation, Laboratory, 
In-Vitro-Diagnostics ")</f>
        <v> Keywords: Clinical Diagnostics, Devices, Automation, Laboratory, 
In-Vitro-Diagnostics </v>
      </c>
      <c r="C168" s="6" t="str">
        <f>IFERROR(__xludf.DUMMYFUNCTION("""COMPUTED_VALUE"""),"HTI Automation GmbH")</f>
        <v>HTI Automation GmbH</v>
      </c>
      <c r="D168" s="6" t="str">
        <f>IFERROR(__xludf.DUMMYFUNCTION("""COMPUTED_VALUE"""),"Am Forst 6 Deutschland-85560 Ebersberg")</f>
        <v>Am Forst 6 Deutschland-85560 Ebersberg</v>
      </c>
      <c r="E168" s="6" t="str">
        <f>IFERROR(__xludf.DUMMYFUNCTION("""COMPUTED_VALUE""")," Telefon: +49 (0) 8092 2092-0 Fax: +49 (0) 8092 2092-28http://www.hti-automation.cominfo@remove-this.hti-automation.com")</f>
        <v> Telefon: +49 (0) 8092 2092-0 Fax: +49 (0) 8092 2092-28http://www.hti-automation.cominfo@remove-this.hti-automation.com</v>
      </c>
    </row>
    <row r="169">
      <c r="A169" s="6" t="str">
        <f>IFERROR(__xludf.DUMMYFUNCTION("""COMPUTED_VALUE""")," Category: CRO ")</f>
        <v> Category: CRO </v>
      </c>
      <c r="B169" s="6" t="str">
        <f>IFERROR(__xludf.DUMMYFUNCTION("""COMPUTED_VALUE""")," Keywords: Dermatology, Hepatology, Tissue Engineering/Cell Culture, 
Toxicology, Bioprocessing ")</f>
        <v> Keywords: Dermatology, Hepatology, Tissue Engineering/Cell Culture, 
Toxicology, Bioprocessing </v>
      </c>
      <c r="C169" s="6" t="str">
        <f>IFERROR(__xludf.DUMMYFUNCTION("""COMPUTED_VALUE"""),"Human Tissue and Cell Research-Services (HTCR) GmbH")</f>
        <v>Human Tissue and Cell Research-Services (HTCR) GmbH</v>
      </c>
      <c r="D169" s="6" t="str">
        <f>IFERROR(__xludf.DUMMYFUNCTION("""COMPUTED_VALUE"""),"Am Klopferspitz 19 Deutschland-82152 Martinsried")</f>
        <v>Am Klopferspitz 19 Deutschland-82152 Martinsried</v>
      </c>
      <c r="E169" s="6" t="str">
        <f>IFERROR(__xludf.DUMMYFUNCTION("""COMPUTED_VALUE""")," Telefon: +4989440076442 Fax: +49 (0) 89 520 59695https://www.htcr-services.cominfo@remove-this.HTCR-services.com")</f>
        <v> Telefon: +4989440076442 Fax: +49 (0) 89 520 59695https://www.htcr-services.cominfo@remove-this.HTCR-services.com</v>
      </c>
    </row>
    <row r="170">
      <c r="A170" s="6" t="str">
        <f>IFERROR(__xludf.DUMMYFUNCTION("""COMPUTED_VALUE""")," Category: Biotech Agro, Food, Environment ")</f>
        <v> Category: Biotech Agro, Food, Environment </v>
      </c>
      <c r="B170" s="6" t="str">
        <f>IFERROR(__xludf.DUMMYFUNCTION("""COMPUTED_VALUE"""),"Hyperthermics Regensburg GmbH")</f>
        <v>Hyperthermics Regensburg GmbH</v>
      </c>
      <c r="C170" s="6" t="str">
        <f>IFERROR(__xludf.DUMMYFUNCTION("""COMPUTED_VALUE"""),"Am BioPark 9 Deutschland-93053 Regensburg")</f>
        <v>Am BioPark 9 Deutschland-93053 Regensburg</v>
      </c>
      <c r="D170" s="6" t="str">
        <f>IFERROR(__xludf.DUMMYFUNCTION("""COMPUTED_VALUE""")," Telefon: +49 (0) 941 4612531http://www.hyperthermics.comstefan.miller@remove-this.hyperthermics.com")</f>
        <v> Telefon: +49 (0) 941 4612531http://www.hyperthermics.comstefan.miller@remove-this.hyperthermics.com</v>
      </c>
      <c r="E170" s="6"/>
    </row>
    <row r="171">
      <c r="A171" s="6" t="str">
        <f>IFERROR(__xludf.DUMMYFUNCTION("""COMPUTED_VALUE""")," Category: Biotech Devices &amp; Reagents ")</f>
        <v> Category: Biotech Devices &amp; Reagents </v>
      </c>
      <c r="B171" s="6" t="str">
        <f>IFERROR(__xludf.DUMMYFUNCTION("""COMPUTED_VALUE""")," Keywords: Nanobiotechnology, Tissue Engineering/Cell Culture, Devices, 
Microscopy, Chip/Array Technology ")</f>
        <v> Keywords: Nanobiotechnology, Tissue Engineering/Cell Culture, Devices, 
Microscopy, Chip/Array Technology </v>
      </c>
      <c r="C171" s="6" t="str">
        <f>IFERROR(__xludf.DUMMYFUNCTION("""COMPUTED_VALUE"""),"ibidi GmbH")</f>
        <v>ibidi GmbH</v>
      </c>
      <c r="D171" s="6" t="str">
        <f>IFERROR(__xludf.DUMMYFUNCTION("""COMPUTED_VALUE"""),"Lochhamer Schlag 11 Deutschland-82166 Gräfelfing")</f>
        <v>Lochhamer Schlag 11 Deutschland-82166 Gräfelfing</v>
      </c>
      <c r="E171" s="6" t="str">
        <f>IFERROR(__xludf.DUMMYFUNCTION("""COMPUTED_VALUE""")," Telefon: +49 (0) 89 520 46 17-0 Fax: +49 (0) 89 520 46 17-59https://ibidi.cominfo@remove-this.ibidi.de")</f>
        <v> Telefon: +49 (0) 89 520 46 17-0 Fax: +49 (0) 89 520 46 17-59https://ibidi.cominfo@remove-this.ibidi.de</v>
      </c>
    </row>
    <row r="172">
      <c r="A172" s="6" t="str">
        <f>IFERROR(__xludf.DUMMYFUNCTION("""COMPUTED_VALUE""")," Category: Biotech Therapeutics &amp; Diagnostics ")</f>
        <v> Category: Biotech Therapeutics &amp; Diagnostics </v>
      </c>
      <c r="B172" s="6" t="str">
        <f>IFERROR(__xludf.DUMMYFUNCTION("""COMPUTED_VALUE""")," Keywords: Drug Development, Antibody, Inflammation, Oncology ")</f>
        <v> Keywords: Drug Development, Antibody, Inflammation, Oncology </v>
      </c>
      <c r="C172" s="6" t="str">
        <f>IFERROR(__xludf.DUMMYFUNCTION("""COMPUTED_VALUE"""),"IcanoMAB GmBH")</f>
        <v>IcanoMAB GmBH</v>
      </c>
      <c r="D172" s="6" t="str">
        <f>IFERROR(__xludf.DUMMYFUNCTION("""COMPUTED_VALUE"""),"Tassilostr. 2 Deutschland-82398 Polling")</f>
        <v>Tassilostr. 2 Deutschland-82398 Polling</v>
      </c>
      <c r="E172" s="6" t="str">
        <f>IFERROR(__xludf.DUMMYFUNCTION("""COMPUTED_VALUE""")," Telefon: +49 881 39 90 89 40https://www.icanoMAB.cominfo@remove-this.icanoMAB.com")</f>
        <v> Telefon: +49 881 39 90 89 40https://www.icanoMAB.cominfo@remove-this.icanoMAB.com</v>
      </c>
    </row>
    <row r="173">
      <c r="A173" s="6" t="str">
        <f>IFERROR(__xludf.DUMMYFUNCTION("""COMPUTED_VALUE""")," Category: Biotech Therapeutics &amp; Diagnostics ")</f>
        <v> Category: Biotech Therapeutics &amp; Diagnostics </v>
      </c>
      <c r="B173" s="6" t="str">
        <f>IFERROR(__xludf.DUMMYFUNCTION("""COMPUTED_VALUE""")," Keywords: Infectious Diseases, Clinical Diagnostics, Industrial 
Biotechnology, In-Vitro-Diagnostics ")</f>
        <v> Keywords: Infectious Diseases, Clinical Diagnostics, Industrial 
Biotechnology, In-Vitro-Diagnostics </v>
      </c>
      <c r="C173" s="6" t="str">
        <f>IFERROR(__xludf.DUMMYFUNCTION("""COMPUTED_VALUE"""),"ImevaX GmbH")</f>
        <v>ImevaX GmbH</v>
      </c>
      <c r="D173" s="6" t="str">
        <f>IFERROR(__xludf.DUMMYFUNCTION("""COMPUTED_VALUE"""),"Sendlinger Str. 60 Deutschland-80331 München")</f>
        <v>Sendlinger Str. 60 Deutschland-80331 München</v>
      </c>
      <c r="E173" s="6" t="str">
        <f>IFERROR(__xludf.DUMMYFUNCTION("""COMPUTED_VALUE""")," Telefon: +49 89 4140 2477 Fax: +49 89 4140 4139http://www.imevax.cominfo@remove-this.imevax.com")</f>
        <v> Telefon: +49 89 4140 2477 Fax: +49 89 4140 4139http://www.imevax.cominfo@remove-this.imevax.com</v>
      </c>
    </row>
    <row r="174">
      <c r="A174" s="6" t="str">
        <f>IFERROR(__xludf.DUMMYFUNCTION("""COMPUTED_VALUE""")," Category: Biotech Therapeutics &amp; Diagnostics ")</f>
        <v> Category: Biotech Therapeutics &amp; Diagnostics </v>
      </c>
      <c r="B174" s="6" t="str">
        <f>IFERROR(__xludf.DUMMYFUNCTION("""COMPUTED_VALUE""")," Keywords: Genomics, Pharmacogenomics, Pharmacogenetics, PCR, Chip/Array 
Technology, Laboratory ")</f>
        <v> Keywords: Genomics, Pharmacogenomics, Pharmacogenetics, PCR, Chip/Array 
Technology, Laboratory </v>
      </c>
      <c r="C174" s="6" t="str">
        <f>IFERROR(__xludf.DUMMYFUNCTION("""COMPUTED_VALUE"""),"IMGM Laboratories GmbH")</f>
        <v>IMGM Laboratories GmbH</v>
      </c>
      <c r="D174" s="6" t="str">
        <f>IFERROR(__xludf.DUMMYFUNCTION("""COMPUTED_VALUE"""),"Lochhamer Str. 29a Deutschland-82152 Martinsried")</f>
        <v>Lochhamer Str. 29a Deutschland-82152 Martinsried</v>
      </c>
      <c r="E174" s="6" t="str">
        <f>IFERROR(__xludf.DUMMYFUNCTION("""COMPUTED_VALUE""")," Telefon: +49 (0) 89 452 4667-0 Fax: +49 (0) 89 452 4667-410http://www.imgm.cominfo@remove-this.imgm.com")</f>
        <v> Telefon: +49 (0) 89 452 4667-0 Fax: +49 (0) 89 452 4667-410http://www.imgm.cominfo@remove-this.imgm.com</v>
      </c>
    </row>
    <row r="175">
      <c r="A175" s="6" t="str">
        <f>IFERROR(__xludf.DUMMYFUNCTION("""COMPUTED_VALUE""")," Category: Biotech Therapeutics &amp; Diagnostics ")</f>
        <v> Category: Biotech Therapeutics &amp; Diagnostics </v>
      </c>
      <c r="B175" s="6" t="str">
        <f>IFERROR(__xludf.DUMMYFUNCTION("""COMPUTED_VALUE""")," Keywords: Genomics, Proteomics, Immune Therapy, Drug Development, Cell 
Therapy, Oncology, Personalized Medicine ")</f>
        <v> Keywords: Genomics, Proteomics, Immune Therapy, Drug Development, Cell 
Therapy, Oncology, Personalized Medicine </v>
      </c>
      <c r="C175" s="6" t="str">
        <f>IFERROR(__xludf.DUMMYFUNCTION("""COMPUTED_VALUE"""),"Immatics N.V.")</f>
        <v>Immatics N.V.</v>
      </c>
      <c r="D175" s="6" t="str">
        <f>IFERROR(__xludf.DUMMYFUNCTION("""COMPUTED_VALUE"""),"Machtlfinger Straße 11 Deutschland-81379 München")</f>
        <v>Machtlfinger Straße 11 Deutschland-81379 München</v>
      </c>
      <c r="E175" s="6" t="str">
        <f>IFERROR(__xludf.DUMMYFUNCTION("""COMPUTED_VALUE""")," Telefon: +49 (0) 89 540415-0 Fax: +49 (0) 89 540415-905http://www.immatics.cominfo@remove-this.immatics.com")</f>
        <v> Telefon: +49 (0) 89 540415-0 Fax: +49 (0) 89 540415-905http://www.immatics.cominfo@remove-this.immatics.com</v>
      </c>
    </row>
    <row r="176">
      <c r="A176" s="6" t="str">
        <f>IFERROR(__xludf.DUMMYFUNCTION("""COMPUTED_VALUE""")," Category: Biotech Preclinical Services ")</f>
        <v> Category: Biotech Preclinical Services </v>
      </c>
      <c r="B176" s="6" t="str">
        <f>IFERROR(__xludf.DUMMYFUNCTION("""COMPUTED_VALUE""")," Keywords: Clinical Diagnostics, Inflammation, ELISA/EIA, Laboratory ")</f>
        <v> Keywords: Clinical Diagnostics, Inflammation, ELISA/EIA, Laboratory </v>
      </c>
      <c r="C176" s="6" t="str">
        <f>IFERROR(__xludf.DUMMYFUNCTION("""COMPUTED_VALUE"""),"Immumed GmbH,Gesellschaft für angewandte ImmunologieImmumed GmbH ")</f>
        <v>Immumed GmbH,Gesellschaft für angewandte ImmunologieImmumed GmbH </v>
      </c>
      <c r="D176" s="6" t="str">
        <f>IFERROR(__xludf.DUMMYFUNCTION("""COMPUTED_VALUE"""),"Karlstr. 46 Deutschland-80333 München")</f>
        <v>Karlstr. 46 Deutschland-80333 München</v>
      </c>
      <c r="E176" s="6" t="str">
        <f>IFERROR(__xludf.DUMMYFUNCTION("""COMPUTED_VALUE""")," Telefon: +49 (0) 89 543 2177-89 Fax: +49 (0) 89 543 2177-92http://www.immumed.deinfo@remove-this.immumed.de")</f>
        <v> Telefon: +49 (0) 89 543 2177-89 Fax: +49 (0) 89 543 2177-92http://www.immumed.deinfo@remove-this.immumed.de</v>
      </c>
    </row>
    <row r="177">
      <c r="A177" s="6" t="str">
        <f>IFERROR(__xludf.DUMMYFUNCTION("""COMPUTED_VALUE""")," Category: Biotech Therapeutics &amp; Diagnostics ")</f>
        <v> Category: Biotech Therapeutics &amp; Diagnostics </v>
      </c>
      <c r="B177" s="6" t="str">
        <f>IFERROR(__xludf.DUMMYFUNCTION("""COMPUTED_VALUE""")," Keywords: Autoimmune Diseases, Immune Therapy, Drug Development, Small 
Molecules, Inflammation ")</f>
        <v> Keywords: Autoimmune Diseases, Immune Therapy, Drug Development, Small 
Molecules, Inflammation </v>
      </c>
      <c r="C177" s="6" t="str">
        <f>IFERROR(__xludf.DUMMYFUNCTION("""COMPUTED_VALUE"""),"Immunic AG")</f>
        <v>Immunic AG</v>
      </c>
      <c r="D177" s="6" t="str">
        <f>IFERROR(__xludf.DUMMYFUNCTION("""COMPUTED_VALUE"""),"Lochhamer Schlag 21 Deutschland-82166 Gräfelfing")</f>
        <v>Lochhamer Schlag 21 Deutschland-82166 Gräfelfing</v>
      </c>
      <c r="E177" s="6" t="str">
        <f>IFERROR(__xludf.DUMMYFUNCTION("""COMPUTED_VALUE""")," Telefon: +4989208047700 Fax: +49 89 250079466https://www.imux.cominfo@remove-this.imux.com")</f>
        <v> Telefon: +4989208047700 Fax: +49 89 250079466https://www.imux.cominfo@remove-this.imux.com</v>
      </c>
    </row>
    <row r="178">
      <c r="A178" s="6" t="str">
        <f>IFERROR(__xludf.DUMMYFUNCTION("""COMPUTED_VALUE""")," Category: Biotech Therapeutics &amp; Diagnostics ")</f>
        <v> Category: Biotech Therapeutics &amp; Diagnostics </v>
      </c>
      <c r="B178" s="6" t="str">
        <f>IFERROR(__xludf.DUMMYFUNCTION("""COMPUTED_VALUE"""),"ImmunoQure AG")</f>
        <v>ImmunoQure AG</v>
      </c>
      <c r="C178" s="6" t="str">
        <f>IFERROR(__xludf.DUMMYFUNCTION("""COMPUTED_VALUE"""),"Fraunhoferstr. 13 Deutschland-82152 Martinsried")</f>
        <v>Fraunhoferstr. 13 Deutschland-82152 Martinsried</v>
      </c>
      <c r="D178" s="6" t="str">
        <f>IFERROR(__xludf.DUMMYFUNCTION("""COMPUTED_VALUE""")," Telefon: +49 (0)89 416 1413-53 Fax: +49 (0)89 416 1413-90http://immunoqure.cominfo@remove-this.immunoqure.com")</f>
        <v> Telefon: +49 (0)89 416 1413-53 Fax: +49 (0)89 416 1413-90http://immunoqure.cominfo@remove-this.immunoqure.com</v>
      </c>
      <c r="E178" s="6"/>
    </row>
    <row r="179">
      <c r="A179" s="6" t="str">
        <f>IFERROR(__xludf.DUMMYFUNCTION("""COMPUTED_VALUE""")," Category: Biotech Devices &amp; Reagents ")</f>
        <v> Category: Biotech Devices &amp; Reagents </v>
      </c>
      <c r="B179" s="6" t="str">
        <f>IFERROR(__xludf.DUMMYFUNCTION("""COMPUTED_VALUE""")," Keywords: Genomics, Nanobiotechnology, Proteomics, Devices, Automation, 
Chip/Array Technology ")</f>
        <v> Keywords: Genomics, Nanobiotechnology, Proteomics, Devices, Automation, 
Chip/Array Technology </v>
      </c>
      <c r="C179" s="6" t="str">
        <f>IFERROR(__xludf.DUMMYFUNCTION("""COMPUTED_VALUE"""),"Implen GmbH")</f>
        <v>Implen GmbH</v>
      </c>
      <c r="D179" s="6" t="str">
        <f>IFERROR(__xludf.DUMMYFUNCTION("""COMPUTED_VALUE"""),"Schatzbogen 52 Deutschland-81829 München")</f>
        <v>Schatzbogen 52 Deutschland-81829 München</v>
      </c>
      <c r="E179" s="6" t="str">
        <f>IFERROR(__xludf.DUMMYFUNCTION("""COMPUTED_VALUE""")," Telefon: +49 (0) 89 726 3718-0 Fax: +49 (0) 89 726 3718-54http://www.implen.deinfo@remove-this.implen.de")</f>
        <v> Telefon: +49 (0) 89 726 3718-0 Fax: +49 (0) 89 726 3718-54http://www.implen.deinfo@remove-this.implen.de</v>
      </c>
    </row>
    <row r="180">
      <c r="A180" s="6" t="str">
        <f>IFERROR(__xludf.DUMMYFUNCTION("""COMPUTED_VALUE""")," Category: CRO ")</f>
        <v> Category: CRO </v>
      </c>
      <c r="B180" s="6" t="str">
        <f>IFERROR(__xludf.DUMMYFUNCTION("""COMPUTED_VALUE"""),"IMR Partner International GmbH")</f>
        <v>IMR Partner International GmbH</v>
      </c>
      <c r="C180" s="6" t="str">
        <f>IFERROR(__xludf.DUMMYFUNCTION("""COMPUTED_VALUE"""),"Lärchenstr. 3 Deutschland-82166 Gräfelfing")</f>
        <v>Lärchenstr. 3 Deutschland-82166 Gräfelfing</v>
      </c>
      <c r="D180" s="6" t="str">
        <f>IFERROR(__xludf.DUMMYFUNCTION("""COMPUTED_VALUE""")," Telefon: +49 (0) 89 89665425 Fax: +49 (0) 89 82084607http://www.imr-partner.deinfo@remove-this.imr-partner.de")</f>
        <v> Telefon: +49 (0) 89 89665425 Fax: +49 (0) 89 82084607http://www.imr-partner.deinfo@remove-this.imr-partner.de</v>
      </c>
      <c r="E180" s="6"/>
    </row>
    <row r="181">
      <c r="A181" s="6" t="str">
        <f>IFERROR(__xludf.DUMMYFUNCTION("""COMPUTED_VALUE""")," Category: CRO ")</f>
        <v> Category: CRO </v>
      </c>
      <c r="B181" s="6" t="str">
        <f>IFERROR(__xludf.DUMMYFUNCTION("""COMPUTED_VALUE""")," Keywords: Respiratory Diseases, Drug Delivery, Medical Writing ")</f>
        <v> Keywords: Respiratory Diseases, Drug Delivery, Medical Writing </v>
      </c>
      <c r="C181" s="6" t="str">
        <f>IFERROR(__xludf.DUMMYFUNCTION("""COMPUTED_VALUE"""),"Inamed GmbH")</f>
        <v>Inamed GmbH</v>
      </c>
      <c r="D181" s="6" t="str">
        <f>IFERROR(__xludf.DUMMYFUNCTION("""COMPUTED_VALUE"""),"Robert-Koch-Allee 29 Deutschland-82131 Gauting")</f>
        <v>Robert-Koch-Allee 29 Deutschland-82131 Gauting</v>
      </c>
      <c r="E181" s="6" t="str">
        <f>IFERROR(__xludf.DUMMYFUNCTION("""COMPUTED_VALUE""")," Telefon: +49 (0) 89 893569-0 Fax: +49 (0) 89 893569-22http://www.inamed-cro.comrequest@remove-this.inamed-cro.com")</f>
        <v> Telefon: +49 (0) 89 893569-0 Fax: +49 (0) 89 893569-22http://www.inamed-cro.comrequest@remove-this.inamed-cro.com</v>
      </c>
    </row>
    <row r="182">
      <c r="A182" s="6" t="str">
        <f>IFERROR(__xludf.DUMMYFUNCTION("""COMPUTED_VALUE""")," Category: Biotech Therapeutics &amp; Diagnostics ")</f>
        <v> Category: Biotech Therapeutics &amp; Diagnostics </v>
      </c>
      <c r="B182" s="6" t="str">
        <f>IFERROR(__xludf.DUMMYFUNCTION("""COMPUTED_VALUE"""),"Incyte Biosciences Germany GmbH")</f>
        <v>Incyte Biosciences Germany GmbH</v>
      </c>
      <c r="C182" s="6" t="str">
        <f>IFERROR(__xludf.DUMMYFUNCTION("""COMPUTED_VALUE"""),"Perchtinger Straße 8 Deutschland-81379 München")</f>
        <v>Perchtinger Straße 8 Deutschland-81379 München</v>
      </c>
      <c r="D182" s="6" t="str">
        <f>IFERROR(__xludf.DUMMYFUNCTION("""COMPUTED_VALUE""")," Telefon: +4989203010850https://www.incyte.commwach@remove-this.incyte.com")</f>
        <v> Telefon: +4989203010850https://www.incyte.commwach@remove-this.incyte.com</v>
      </c>
      <c r="E182" s="6"/>
    </row>
    <row r="183">
      <c r="A183" s="6" t="str">
        <f>IFERROR(__xludf.DUMMYFUNCTION("""COMPUTED_VALUE""")," Category: Biotech Devices &amp; Reagents ")</f>
        <v> Category: Biotech Devices &amp; Reagents </v>
      </c>
      <c r="B183" s="6" t="str">
        <f>IFERROR(__xludf.DUMMYFUNCTION("""COMPUTED_VALUE""")," Keywords: Drug Development, Oncology, Toxicology, Bioanalytics, Imaging, 
In-Vitro-Diagnostics ")</f>
        <v> Keywords: Drug Development, Oncology, Toxicology, Bioanalytics, Imaging, 
In-Vitro-Diagnostics </v>
      </c>
      <c r="C183" s="6" t="str">
        <f>IFERROR(__xludf.DUMMYFUNCTION("""COMPUTED_VALUE"""),"INCYTON GmbH")</f>
        <v>INCYTON GmbH</v>
      </c>
      <c r="D183" s="6" t="str">
        <f>IFERROR(__xludf.DUMMYFUNCTION("""COMPUTED_VALUE"""),"Am Klopferspitz 19a Deutschland-82152 Planegg-Martinsried")</f>
        <v>Am Klopferspitz 19a Deutschland-82152 Planegg-Martinsried</v>
      </c>
      <c r="E183" s="6" t="str">
        <f>IFERROR(__xludf.DUMMYFUNCTION("""COMPUTED_VALUE"""),"https://www.incyton.cominfo@remove-this.incyton.com")</f>
        <v>https://www.incyton.cominfo@remove-this.incyton.com</v>
      </c>
    </row>
    <row r="184">
      <c r="A184" s="6" t="str">
        <f>IFERROR(__xludf.DUMMYFUNCTION("IMPORTXML(J1,A2)")," Category: Biotech Bioinformatics ")</f>
        <v> Category: Biotech Bioinformatics </v>
      </c>
      <c r="B184" s="6" t="str">
        <f>IFERROR(__xludf.DUMMYFUNCTION("""COMPUTED_VALUE"""),"Independent Data Lab")</f>
        <v>Independent Data Lab</v>
      </c>
      <c r="C184" s="6" t="str">
        <f>IFERROR(__xludf.DUMMYFUNCTION("""COMPUTED_VALUE"""),"Josef-Frankl-Straße 5A Deutschland-80995 München")</f>
        <v>Josef-Frankl-Straße 5A Deutschland-80995 München</v>
      </c>
      <c r="D184" s="6" t="str">
        <f>IFERROR(__xludf.DUMMYFUNCTION("""COMPUTED_VALUE"""),"https://www.independentdatalab.cominfo@remove-this.independentdatalab.com")</f>
        <v>https://www.independentdatalab.cominfo@remove-this.independentdatalab.com</v>
      </c>
      <c r="E184" s="6"/>
    </row>
    <row r="185">
      <c r="A185" s="6" t="str">
        <f>IFERROR(__xludf.DUMMYFUNCTION("""COMPUTED_VALUE""")," Category: Biotech Devices &amp; Reagents ")</f>
        <v> Category: Biotech Devices &amp; Reagents </v>
      </c>
      <c r="B185" s="6" t="str">
        <f>IFERROR(__xludf.DUMMYFUNCTION("""COMPUTED_VALUE"""),"Infors GmbH")</f>
        <v>Infors GmbH</v>
      </c>
      <c r="C185" s="6" t="str">
        <f>IFERROR(__xludf.DUMMYFUNCTION("""COMPUTED_VALUE"""),"Dachauer Str. 6 Deutschland-85254 Einsbach")</f>
        <v>Dachauer Str. 6 Deutschland-85254 Einsbach</v>
      </c>
      <c r="D185" s="6" t="str">
        <f>IFERROR(__xludf.DUMMYFUNCTION("""COMPUTED_VALUE""")," Telefon: +49 (0) 8135 8333 Fax: +49 (0) 8135 8320http://www.infors-ht.cominfors.de@remove-this.infors-ht.com")</f>
        <v> Telefon: +49 (0) 8135 8333 Fax: +49 (0) 8135 8320http://www.infors-ht.cominfors.de@remove-this.infors-ht.com</v>
      </c>
      <c r="E185" s="6"/>
    </row>
    <row r="186">
      <c r="A186" s="6" t="str">
        <f>IFERROR(__xludf.DUMMYFUNCTION("""COMPUTED_VALUE""")," Category: Biotech Therapeutics &amp; Diagnostics ")</f>
        <v> Category: Biotech Therapeutics &amp; Diagnostics </v>
      </c>
      <c r="B186" s="6" t="str">
        <f>IFERROR(__xludf.DUMMYFUNCTION("""COMPUTED_VALUE""")," Keywords: Dermatology, Cell Therapy, Inflammation, Pain, Bone/Joint 
Diseases ")</f>
        <v> Keywords: Dermatology, Cell Therapy, Inflammation, Pain, Bone/Joint 
Diseases </v>
      </c>
      <c r="C186" s="6" t="str">
        <f>IFERROR(__xludf.DUMMYFUNCTION("""COMPUTED_VALUE"""),"InGeneron GmbH")</f>
        <v>InGeneron GmbH</v>
      </c>
      <c r="D186" s="6" t="str">
        <f>IFERROR(__xludf.DUMMYFUNCTION("""COMPUTED_VALUE"""),"Sonnenstraße 24-26 Deutschland-80331 München")</f>
        <v>Sonnenstraße 24-26 Deutschland-80331 München</v>
      </c>
      <c r="E186" s="6" t="str">
        <f>IFERROR(__xludf.DUMMYFUNCTION("""COMPUTED_VALUE"""),"http://www.ingeneron.comcontact@remove-this.ingeneron.com")</f>
        <v>http://www.ingeneron.comcontact@remove-this.ingeneron.com</v>
      </c>
    </row>
    <row r="187">
      <c r="A187" s="6" t="str">
        <f>IFERROR(__xludf.DUMMYFUNCTION("""COMPUTED_VALUE""")," Category: Biotech Bioinformatics ")</f>
        <v> Category: Biotech Bioinformatics </v>
      </c>
      <c r="B187" s="6" t="str">
        <f>IFERROR(__xludf.DUMMYFUNCTION("""COMPUTED_VALUE"""),"INGENIUM digital diagnostics GmbH")</f>
        <v>INGENIUM digital diagnostics GmbH</v>
      </c>
      <c r="C187" s="6" t="str">
        <f>IFERROR(__xludf.DUMMYFUNCTION("""COMPUTED_VALUE"""),"Helmishofener Str. 18 Deutschland-87662 Kaltental")</f>
        <v>Helmishofener Str. 18 Deutschland-87662 Kaltental</v>
      </c>
      <c r="D187" s="6" t="str">
        <f>IFERROR(__xludf.DUMMYFUNCTION("""COMPUTED_VALUE"""),"service@remove-this.ingeniumdx.com")</f>
        <v>service@remove-this.ingeniumdx.com</v>
      </c>
      <c r="E187" s="6"/>
    </row>
    <row r="188">
      <c r="A188" s="6" t="str">
        <f>IFERROR(__xludf.DUMMYFUNCTION("""COMPUTED_VALUE""")," Category: Biotech Devices &amp; Reagents ")</f>
        <v> Category: Biotech Devices &amp; Reagents </v>
      </c>
      <c r="B188" s="6" t="str">
        <f>IFERROR(__xludf.DUMMYFUNCTION("""COMPUTED_VALUE""")," Keywords: Antibody Production Service, Tissue Engineering/Cell Culture ")</f>
        <v> Keywords: Antibody Production Service, Tissue Engineering/Cell Culture </v>
      </c>
      <c r="C188" s="6" t="str">
        <f>IFERROR(__xludf.DUMMYFUNCTION("""COMPUTED_VALUE"""),"Institut für angewandte Zellkultur Dr. Toni Lindl GmbH")</f>
        <v>Institut für angewandte Zellkultur Dr. Toni Lindl GmbH</v>
      </c>
      <c r="D188" s="6" t="str">
        <f>IFERROR(__xludf.DUMMYFUNCTION("""COMPUTED_VALUE"""),"Balanstr. 6 Deutschland-81669 München")</f>
        <v>Balanstr. 6 Deutschland-81669 München</v>
      </c>
      <c r="E188" s="6" t="str">
        <f>IFERROR(__xludf.DUMMYFUNCTION("""COMPUTED_VALUE""")," Telefon: +49 (0) 89 48777-4 Fax: +49 (0) 89 48777-2http://www.I-A-Z-zellkultur.deinfo@remove-this.I-A-Z-zellkultur.de")</f>
        <v> Telefon: +49 (0) 89 48777-4 Fax: +49 (0) 89 48777-2http://www.I-A-Z-zellkultur.deinfo@remove-this.I-A-Z-zellkultur.de</v>
      </c>
    </row>
    <row r="189">
      <c r="A189" s="6" t="str">
        <f>IFERROR(__xludf.DUMMYFUNCTION("""COMPUTED_VALUE""")," Category: Biotech Preclinical Services ")</f>
        <v> Category: Biotech Preclinical Services </v>
      </c>
      <c r="B189" s="6" t="str">
        <f>IFERROR(__xludf.DUMMYFUNCTION("""COMPUTED_VALUE""")," Keywords: Drug Development ")</f>
        <v> Keywords: Drug Development </v>
      </c>
      <c r="C189" s="6" t="str">
        <f>IFERROR(__xludf.DUMMYFUNCTION("""COMPUTED_VALUE"""),"Intana Bioscience GmbH")</f>
        <v>Intana Bioscience GmbH</v>
      </c>
      <c r="D189" s="6" t="str">
        <f>IFERROR(__xludf.DUMMYFUNCTION("""COMPUTED_VALUE"""),"Lochhamer Str. 29 a Deutschland-82152 Martinsried")</f>
        <v>Lochhamer Str. 29 a Deutschland-82152 Martinsried</v>
      </c>
      <c r="E189" s="6" t="str">
        <f>IFERROR(__xludf.DUMMYFUNCTION("""COMPUTED_VALUE""")," Telefon: +49 (0) 89 895572-80 Fax: +49 (0) 89 895572-81http://www.intana-bioscience.deinfo@remove-this.intana.de")</f>
        <v> Telefon: +49 (0) 89 895572-80 Fax: +49 (0) 89 895572-81http://www.intana-bioscience.deinfo@remove-this.intana.de</v>
      </c>
    </row>
    <row r="190">
      <c r="A190" s="6" t="str">
        <f>IFERROR(__xludf.DUMMYFUNCTION("""COMPUTED_VALUE""")," Category: Other Services ")</f>
        <v> Category: Other Services </v>
      </c>
      <c r="B190" s="6" t="str">
        <f>IFERROR(__xludf.DUMMYFUNCTION("""COMPUTED_VALUE""")," Keywords: Clinical Diagnostics, Tissue Engineering/Cell Culture, Devices, 
Laboratory, Data Management, Other Diagnostics, Imaging ")</f>
        <v> Keywords: Clinical Diagnostics, Tissue Engineering/Cell Culture, Devices, 
Laboratory, Data Management, Other Diagnostics, Imaging </v>
      </c>
      <c r="C190" s="6" t="str">
        <f>IFERROR(__xludf.DUMMYFUNCTION("""COMPUTED_VALUE"""),"inveox GmbH")</f>
        <v>inveox GmbH</v>
      </c>
      <c r="D190" s="6" t="str">
        <f>IFERROR(__xludf.DUMMYFUNCTION("""COMPUTED_VALUE"""),"Lichtenbergstraße 8 Deutschland-85748 Garching bei München")</f>
        <v>Lichtenbergstraße 8 Deutschland-85748 Garching bei München</v>
      </c>
      <c r="E190" s="6" t="str">
        <f>IFERROR(__xludf.DUMMYFUNCTION("""COMPUTED_VALUE""")," Telefon: 089/57847601https://inveox.cominfo@remove-this.inveox.com")</f>
        <v> Telefon: 089/57847601https://inveox.cominfo@remove-this.inveox.com</v>
      </c>
    </row>
    <row r="191">
      <c r="A191" s="6" t="str">
        <f>IFERROR(__xludf.DUMMYFUNCTION("""COMPUTED_VALUE""")," Category: Biotech Therapeutics &amp; Diagnostics ")</f>
        <v> Category: Biotech Therapeutics &amp; Diagnostics </v>
      </c>
      <c r="B191" s="6" t="str">
        <f>IFERROR(__xludf.DUMMYFUNCTION("""COMPUTED_VALUE"""),"Invitris GmbHInvitris ")</f>
        <v>Invitris GmbHInvitris </v>
      </c>
      <c r="C191" s="6" t="str">
        <f>IFERROR(__xludf.DUMMYFUNCTION("""COMPUTED_VALUE"""),"Bahnhofstraße 6 Deutschland-82399 Raisting")</f>
        <v>Bahnhofstraße 6 Deutschland-82399 Raisting</v>
      </c>
      <c r="D191" s="7" t="str">
        <f>IFERROR(__xludf.DUMMYFUNCTION("""COMPUTED_VALUE"""),"https://www.invitris.com")</f>
        <v>https://www.invitris.com</v>
      </c>
      <c r="E191" s="6"/>
    </row>
    <row r="192">
      <c r="A192" s="6" t="str">
        <f>IFERROR(__xludf.DUMMYFUNCTION("""COMPUTED_VALUE""")," Category: Biotech Therapeutics &amp; Diagnostics ")</f>
        <v> Category: Biotech Therapeutics &amp; Diagnostics </v>
      </c>
      <c r="B192" s="6" t="str">
        <f>IFERROR(__xludf.DUMMYFUNCTION("""COMPUTED_VALUE""")," Keywords: 3D-Structural Analysis, Tissue Engineering/Cell Culture, 
Oncology, Laboratory, Other Diagnostics, Personalized Medicine ")</f>
        <v> Keywords: 3D-Structural Analysis, Tissue Engineering/Cell Culture, 
Oncology, Laboratory, Other Diagnostics, Personalized Medicine </v>
      </c>
      <c r="C192" s="6" t="str">
        <f>IFERROR(__xludf.DUMMYFUNCTION("""COMPUTED_VALUE"""),"Invitrocue Europe AG")</f>
        <v>Invitrocue Europe AG</v>
      </c>
      <c r="D192" s="6" t="str">
        <f>IFERROR(__xludf.DUMMYFUNCTION("""COMPUTED_VALUE"""),"Hildegardstr. 9 Deutschland-80539 München")</f>
        <v>Hildegardstr. 9 Deutschland-80539 München</v>
      </c>
      <c r="E192" s="6" t="str">
        <f>IFERROR(__xludf.DUMMYFUNCTION("""COMPUTED_VALUE""")," Telefon: +49 (0) 89-998209483 Fax: 089-998209489https://invitrocue.com/contact.de@remove-this.invitrocue.com")</f>
        <v> Telefon: +49 (0) 89-998209483 Fax: 089-998209489https://invitrocue.com/contact.de@remove-this.invitrocue.com</v>
      </c>
    </row>
    <row r="193">
      <c r="A193" s="6" t="str">
        <f>IFERROR(__xludf.DUMMYFUNCTION("""COMPUTED_VALUE""")," Category: Biotech Therapeutics &amp; Diagnostics ")</f>
        <v> Category: Biotech Therapeutics &amp; Diagnostics </v>
      </c>
      <c r="B193" s="6" t="str">
        <f>IFERROR(__xludf.DUMMYFUNCTION("""COMPUTED_VALUE""")," Keywords: Immune Therapy, Drug Development ")</f>
        <v> Keywords: Immune Therapy, Drug Development </v>
      </c>
      <c r="C193" s="6" t="str">
        <f>IFERROR(__xludf.DUMMYFUNCTION("""COMPUTED_VALUE"""),"iOmx Therapeutics AGiOmx Therapeutics GmbH ")</f>
        <v>iOmx Therapeutics AGiOmx Therapeutics GmbH </v>
      </c>
      <c r="D193" s="6" t="str">
        <f>IFERROR(__xludf.DUMMYFUNCTION("""COMPUTED_VALUE"""),"Fraunhoferstraße 13 Deutschland-82152 Planegg-Martinsried")</f>
        <v>Fraunhoferstraße 13 Deutschland-82152 Planegg-Martinsried</v>
      </c>
      <c r="E193" s="7" t="str">
        <f>IFERROR(__xludf.DUMMYFUNCTION("""COMPUTED_VALUE"""),"http://www.iomx.de")</f>
        <v>http://www.iomx.de</v>
      </c>
    </row>
    <row r="194">
      <c r="A194" s="6" t="str">
        <f>IFERROR(__xludf.DUMMYFUNCTION("""COMPUTED_VALUE""")," Category: Biotech Therapeutics &amp; Diagnostics ")</f>
        <v> Category: Biotech Therapeutics &amp; Diagnostics </v>
      </c>
      <c r="B194" s="6" t="str">
        <f>IFERROR(__xludf.DUMMYFUNCTION("""COMPUTED_VALUE"""),"Ipsen Pharma GmbH")</f>
        <v>Ipsen Pharma GmbH</v>
      </c>
      <c r="C194" s="6" t="str">
        <f>IFERROR(__xludf.DUMMYFUNCTION("""COMPUTED_VALUE"""),"Einsteinstraße 174 Deutschland-81677 München")</f>
        <v>Einsteinstraße 174 Deutschland-81677 München</v>
      </c>
      <c r="D194" s="6" t="str">
        <f>IFERROR(__xludf.DUMMYFUNCTION("""COMPUTED_VALUE""")," Telefon: +49 (0)89 262036100https://www.ipsen.com/germany/contact.ipsen.germany@remove-this.ipsen.com")</f>
        <v> Telefon: +49 (0)89 262036100https://www.ipsen.com/germany/contact.ipsen.germany@remove-this.ipsen.com</v>
      </c>
      <c r="E194" s="6"/>
    </row>
    <row r="195">
      <c r="A195" s="6" t="str">
        <f>IFERROR(__xludf.DUMMYFUNCTION("""COMPUTED_VALUE""")," Category: CRO ")</f>
        <v> Category: CRO </v>
      </c>
      <c r="B195" s="6" t="str">
        <f>IFERROR(__xludf.DUMMYFUNCTION("""COMPUTED_VALUE""")," Keywords: Drug Development, Oncology, Regulatory Affairs, Data Management 
and Biostatistics, Medical Writing ")</f>
        <v> Keywords: Drug Development, Oncology, Regulatory Affairs, Data Management 
and Biostatistics, Medical Writing </v>
      </c>
      <c r="C195" s="6" t="str">
        <f>IFERROR(__xludf.DUMMYFUNCTION("""COMPUTED_VALUE"""),"IQVIA Commercial GmbH &amp; Co. OHG")</f>
        <v>IQVIA Commercial GmbH &amp; Co. OHG</v>
      </c>
      <c r="D195" s="6" t="str">
        <f>IFERROR(__xludf.DUMMYFUNCTION("""COMPUTED_VALUE"""),"Landshuter Allee 10 Deutschland-80637 München")</f>
        <v>Landshuter Allee 10 Deutschland-80637 München</v>
      </c>
      <c r="E195" s="6" t="str">
        <f>IFERROR(__xludf.DUMMYFUNCTION("""COMPUTED_VALUE""")," Telefon: +49894579126400https://www.iqvia.com/de-de/locations/germanyinfo.germany@remove-this.iqvia.com")</f>
        <v> Telefon: +49894579126400https://www.iqvia.com/de-de/locations/germanyinfo.germany@remove-this.iqvia.com</v>
      </c>
    </row>
    <row r="196">
      <c r="A196" s="6" t="str">
        <f>IFERROR(__xludf.DUMMYFUNCTION("""COMPUTED_VALUE""")," Category: Pharma &amp; Chemical Industry ")</f>
        <v> Category: Pharma &amp; Chemical Industry </v>
      </c>
      <c r="B196" s="6" t="str">
        <f>IFERROR(__xludf.DUMMYFUNCTION("""COMPUTED_VALUE""")," Keywords: Drug Development, Drug Delivery, Combinatorial Chemistry, 
Medicinal Chemistry, Peptide/Protein, Fine Chemicals/Reagents, Natural 
Compounds ")</f>
        <v> Keywords: Drug Development, Drug Delivery, Combinatorial Chemistry, 
Medicinal Chemistry, Peptide/Protein, Fine Chemicals/Reagents, Natural 
Compounds </v>
      </c>
      <c r="C196" s="6" t="str">
        <f>IFERROR(__xludf.DUMMYFUNCTION("""COMPUTED_VALUE"""),"Iris Biotech GmbH")</f>
        <v>Iris Biotech GmbH</v>
      </c>
      <c r="D196" s="6" t="str">
        <f>IFERROR(__xludf.DUMMYFUNCTION("""COMPUTED_VALUE"""),"Adalbert-Zoellner-Straße 1 Deutschland-95615 Marktredwitz")</f>
        <v>Adalbert-Zoellner-Straße 1 Deutschland-95615 Marktredwitz</v>
      </c>
      <c r="E196" s="6" t="str">
        <f>IFERROR(__xludf.DUMMYFUNCTION("""COMPUTED_VALUE""")," Telefon: +49 (0) 9231 97121-0http://www.iris-biotech.deinfo@remove-this.iris-biotech.de")</f>
        <v> Telefon: +49 (0) 9231 97121-0http://www.iris-biotech.deinfo@remove-this.iris-biotech.de</v>
      </c>
    </row>
    <row r="197">
      <c r="A197" s="6" t="str">
        <f>IFERROR(__xludf.DUMMYFUNCTION("""COMPUTED_VALUE""")," Category: Biotech Preclinical Services ")</f>
        <v> Category: Biotech Preclinical Services </v>
      </c>
      <c r="B197" s="6" t="str">
        <f>IFERROR(__xludf.DUMMYFUNCTION("""COMPUTED_VALUE""")," Keywords: Drug Development, Tissue Engineering/Cell Culture, Cell Therapy, 
Nutraceuticals, Neuro-Degeneration, Industrial Biotechnology ")</f>
        <v> Keywords: Drug Development, Tissue Engineering/Cell Culture, Cell Therapy, 
Nutraceuticals, Neuro-Degeneration, Industrial Biotechnology </v>
      </c>
      <c r="C197" s="6" t="str">
        <f>IFERROR(__xludf.DUMMYFUNCTION("""COMPUTED_VALUE"""),"ISAR Bioscience GmbH,Institute for Stem Cell &amp; Applied Regenerative 
Medicine ResearchISAR Bioscience GmbH ")</f>
        <v>ISAR Bioscience GmbH,Institute for Stem Cell &amp; Applied Regenerative 
Medicine ResearchISAR Bioscience GmbH </v>
      </c>
      <c r="D197" s="6" t="str">
        <f>IFERROR(__xludf.DUMMYFUNCTION("""COMPUTED_VALUE"""),"Semmelweisstr. 5 Deutschland-82152 Planegg")</f>
        <v>Semmelweisstr. 5 Deutschland-82152 Planegg</v>
      </c>
      <c r="E197" s="6" t="str">
        <f>IFERROR(__xludf.DUMMYFUNCTION("""COMPUTED_VALUE""")," Telefon: +49 (0) 89 3564 754-00 Fax: +49 (89) 3564 754-10https://isarbioscience.deinfo@remove-this.isarbioscience.de")</f>
        <v> Telefon: +49 (0) 89 3564 754-00 Fax: +49 (89) 3564 754-10https://isarbioscience.deinfo@remove-this.isarbioscience.de</v>
      </c>
    </row>
    <row r="198">
      <c r="A198" s="6" t="str">
        <f>IFERROR(__xludf.DUMMYFUNCTION("""COMPUTED_VALUE""")," Category: Biotech Devices &amp; Reagents ")</f>
        <v> Category: Biotech Devices &amp; Reagents </v>
      </c>
      <c r="B198" s="6" t="str">
        <f>IFERROR(__xludf.DUMMYFUNCTION("""COMPUTED_VALUE""")," Keywords: Nanobiotechnology, Cardiovascular Diseases, Drug Development, 
Inflammation, Devices, Oncology ")</f>
        <v> Keywords: Nanobiotechnology, Cardiovascular Diseases, Drug Development, 
Inflammation, Devices, Oncology </v>
      </c>
      <c r="C198" s="6" t="str">
        <f>IFERROR(__xludf.DUMMYFUNCTION("""COMPUTED_VALUE"""),"iThera Medical GmbH")</f>
        <v>iThera Medical GmbH</v>
      </c>
      <c r="D198" s="6" t="str">
        <f>IFERROR(__xludf.DUMMYFUNCTION("""COMPUTED_VALUE"""),"Zielstattstr. 13 Deutschland-81379 München")</f>
        <v>Zielstattstr. 13 Deutschland-81379 München</v>
      </c>
      <c r="E198" s="6" t="str">
        <f>IFERROR(__xludf.DUMMYFUNCTION("""COMPUTED_VALUE""")," Telefon: +49 (0) 89 700 7449-0 Fax: +49 (0) 89 700 7449-90http://www.ithera-medical.cominfo@remove-this.ithera-medical.com")</f>
        <v> Telefon: +49 (0) 89 700 7449-0 Fax: +49 (0) 89 700 7449-90http://www.ithera-medical.cominfo@remove-this.ithera-medical.com</v>
      </c>
    </row>
    <row r="199">
      <c r="A199" s="6" t="str">
        <f>IFERROR(__xludf.DUMMYFUNCTION("""COMPUTED_VALUE""")," Category: Biotech Therapeutics &amp; Diagnostics ")</f>
        <v> Category: Biotech Therapeutics &amp; Diagnostics </v>
      </c>
      <c r="B199" s="6" t="str">
        <f>IFERROR(__xludf.DUMMYFUNCTION("""COMPUTED_VALUE""")," Keywords: Drug Development, Drug Delivery, Oncology, Personalized 
Medicine, Industrial Biotechnology ")</f>
        <v> Keywords: Drug Development, Drug Delivery, Oncology, Personalized 
Medicine, Industrial Biotechnology </v>
      </c>
      <c r="C199" s="6" t="str">
        <f>IFERROR(__xludf.DUMMYFUNCTION("""COMPUTED_VALUE"""),"ITM Isotope Technologies Munich SEITM Isotopen Technologien München AG ")</f>
        <v>ITM Isotope Technologies Munich SEITM Isotopen Technologien München AG </v>
      </c>
      <c r="D199" s="6" t="str">
        <f>IFERROR(__xludf.DUMMYFUNCTION("""COMPUTED_VALUE"""),"Lichtenbergstr. 1 Deutschland-85748 Garching")</f>
        <v>Lichtenbergstr. 1 Deutschland-85748 Garching</v>
      </c>
      <c r="E199" s="6" t="str">
        <f>IFERROR(__xludf.DUMMYFUNCTION("""COMPUTED_VALUE""")," Telefon: +49 89 329 8986 600 Fax: +49 89 329 8986 650https://itm-radiopharma.com/homeinfo@remove-this.itm-radiopharma.com")</f>
        <v> Telefon: +49 89 329 8986 600 Fax: +49 89 329 8986 650https://itm-radiopharma.com/homeinfo@remove-this.itm-radiopharma.com</v>
      </c>
    </row>
    <row r="200">
      <c r="A200" s="6" t="str">
        <f>IFERROR(__xludf.DUMMYFUNCTION("""COMPUTED_VALUE""")," Category: Biotech Therapeutics &amp; Diagnostics ")</f>
        <v> Category: Biotech Therapeutics &amp; Diagnostics </v>
      </c>
      <c r="B200" s="6" t="str">
        <f>IFERROR(__xludf.DUMMYFUNCTION("""COMPUTED_VALUE"""),"ITM Medical Isotopes GmbH")</f>
        <v>ITM Medical Isotopes GmbH</v>
      </c>
      <c r="C200" s="6" t="str">
        <f>IFERROR(__xludf.DUMMYFUNCTION("""COMPUTED_VALUE"""),"Walther-von-Dyck-Strasse 4 Deutschland-85748 Garching")</f>
        <v>Walther-von-Dyck-Strasse 4 Deutschland-85748 Garching</v>
      </c>
      <c r="D200" s="6" t="str">
        <f>IFERROR(__xludf.DUMMYFUNCTION("""COMPUTED_VALUE""")," Telefon: +49 89 329 8986 -1705 Fax: +49 89 329 8986 -650https://isotope-technologies-munich.com/homecareer@remove-this.itm.ag")</f>
        <v> Telefon: +49 89 329 8986 -1705 Fax: +49 89 329 8986 -650https://isotope-technologies-munich.com/homecareer@remove-this.itm.ag</v>
      </c>
      <c r="E200" s="6"/>
    </row>
    <row r="201">
      <c r="A201" s="6" t="str">
        <f>IFERROR(__xludf.DUMMYFUNCTION("""COMPUTED_VALUE""")," Category: Biotech Therapeutics &amp; Diagnostics ")</f>
        <v> Category: Biotech Therapeutics &amp; Diagnostics </v>
      </c>
      <c r="B201" s="6" t="str">
        <f>IFERROR(__xludf.DUMMYFUNCTION("""COMPUTED_VALUE"""),"Jazz Pharmaceuticals GmbH")</f>
        <v>Jazz Pharmaceuticals GmbH</v>
      </c>
      <c r="C201" s="6" t="str">
        <f>IFERROR(__xludf.DUMMYFUNCTION("""COMPUTED_VALUE"""),"Grillparzerstr.18 Deutschland-81675 München")</f>
        <v>Grillparzerstr.18 Deutschland-81675 München</v>
      </c>
      <c r="D201" s="6" t="str">
        <f>IFERROR(__xludf.DUMMYFUNCTION("""COMPUTED_VALUE""")," Fax: +49 (089) 41109661http://www.jazzpharma.cominfo@remove-this.jazzpharma.com")</f>
        <v> Fax: +49 (089) 41109661http://www.jazzpharma.cominfo@remove-this.jazzpharma.com</v>
      </c>
      <c r="E201" s="6"/>
    </row>
    <row r="202">
      <c r="A202" s="6" t="str">
        <f>IFERROR(__xludf.DUMMYFUNCTION("""COMPUTED_VALUE""")," Category: Biotech Therapeutics &amp; Diagnostics ")</f>
        <v> Category: Biotech Therapeutics &amp; Diagnostics </v>
      </c>
      <c r="B202" s="6" t="str">
        <f>IFERROR(__xludf.DUMMYFUNCTION("""COMPUTED_VALUE"""),"JunctuCell Biomed Manufacturing GmbH")</f>
        <v>JunctuCell Biomed Manufacturing GmbH</v>
      </c>
      <c r="C202" s="6" t="str">
        <f>IFERROR(__xludf.DUMMYFUNCTION("""COMPUTED_VALUE"""),"Brunnengasse 27 Deutschland-85662 Hohenbrunn")</f>
        <v>Brunnengasse 27 Deutschland-85662 Hohenbrunn</v>
      </c>
      <c r="D202" s="6" t="str">
        <f>IFERROR(__xludf.DUMMYFUNCTION("""COMPUTED_VALUE""")," Telefon: 4981027278490 Fax: 4981027278499https://www.junctucell.cominfo@remove-this.junctucell.com")</f>
        <v> Telefon: 4981027278490 Fax: 4981027278499https://www.junctucell.cominfo@remove-this.junctucell.com</v>
      </c>
      <c r="E202" s="6"/>
    </row>
    <row r="203">
      <c r="A203" s="6" t="str">
        <f>IFERROR(__xludf.DUMMYFUNCTION("""COMPUTED_VALUE""")," Category: Biotech Therapeutics &amp; Diagnostics ")</f>
        <v> Category: Biotech Therapeutics &amp; Diagnostics </v>
      </c>
      <c r="B203" s="6" t="str">
        <f>IFERROR(__xludf.DUMMYFUNCTION("""COMPUTED_VALUE"""),"Juno Therapeutics GmbH")</f>
        <v>Juno Therapeutics GmbH</v>
      </c>
      <c r="C203" s="6" t="str">
        <f>IFERROR(__xludf.DUMMYFUNCTION("""COMPUTED_VALUE"""),"Grillparzerstr 10 Deutschland-81675 München")</f>
        <v>Grillparzerstr 10 Deutschland-81675 München</v>
      </c>
      <c r="D203" s="7" t="str">
        <f>IFERROR(__xludf.DUMMYFUNCTION("""COMPUTED_VALUE"""),"https://www.junotherapeutics.com/about-us/contact/")</f>
        <v>https://www.junotherapeutics.com/about-us/contact/</v>
      </c>
      <c r="E203" s="6"/>
    </row>
    <row r="204">
      <c r="A204" s="6" t="str">
        <f>IFERROR(__xludf.DUMMYFUNCTION("IMPORTXML(K1,A2)")," Category: Biotech DNA/Protein Analytics ")</f>
        <v> Category: Biotech DNA/Protein Analytics </v>
      </c>
      <c r="B204" s="6" t="str">
        <f>IFERROR(__xludf.DUMMYFUNCTION("""COMPUTED_VALUE""")," Keywords: 3D-Structural Analysis, Drug Development, Oncology, 
Bioanalytics, Bioinformatics ")</f>
        <v> Keywords: 3D-Structural Analysis, Drug Development, Oncology, 
Bioanalytics, Bioinformatics </v>
      </c>
      <c r="C204" s="6" t="str">
        <f>IFERROR(__xludf.DUMMYFUNCTION("""COMPUTED_VALUE"""),"Kalbitzer Innovations UG")</f>
        <v>Kalbitzer Innovations UG</v>
      </c>
      <c r="D204" s="6" t="str">
        <f>IFERROR(__xludf.DUMMYFUNCTION("""COMPUTED_VALUE"""),"Am BioPark 9 BioPark II Deutschland-93055 Regensburg")</f>
        <v>Am BioPark 9 BioPark II Deutschland-93055 Regensburg</v>
      </c>
      <c r="E204" s="6" t="str">
        <f>IFERROR(__xludf.DUMMYFUNCTION("""COMPUTED_VALUE""")," Telefon: +49 941 30798265http://www.kalbitzer-innovations.dekalbitzer-innovations@remove-this.t-online.de")</f>
        <v> Telefon: +49 941 30798265http://www.kalbitzer-innovations.dekalbitzer-innovations@remove-this.t-online.de</v>
      </c>
    </row>
    <row r="205">
      <c r="A205" s="6" t="str">
        <f>IFERROR(__xludf.DUMMYFUNCTION("""COMPUTED_VALUE""")," Category: CRO ")</f>
        <v> Category: CRO </v>
      </c>
      <c r="B205" s="6" t="str">
        <f>IFERROR(__xludf.DUMMYFUNCTION("""COMPUTED_VALUE""")," Keywords: Oncology, Logistics, Pharmacovigiliance, Regulatory Affairs, 
Clinical Trial Management and Monitoring, Data Management and 
Biostatistics, Medical Writing ")</f>
        <v> Keywords: Oncology, Logistics, Pharmacovigiliance, Regulatory Affairs, 
Clinical Trial Management and Monitoring, Data Management and 
Biostatistics, Medical Writing </v>
      </c>
      <c r="C205" s="6" t="str">
        <f>IFERROR(__xludf.DUMMYFUNCTION("""COMPUTED_VALUE"""),"Kantar GmbH")</f>
        <v>Kantar GmbH</v>
      </c>
      <c r="D205" s="6" t="str">
        <f>IFERROR(__xludf.DUMMYFUNCTION("""COMPUTED_VALUE"""),"Landsberger Str. 284 Deutschland-80687 München")</f>
        <v>Landsberger Str. 284 Deutschland-80687 München</v>
      </c>
      <c r="E205" s="6" t="str">
        <f>IFERROR(__xludf.DUMMYFUNCTION("""COMPUTED_VALUE""")," Telefon: +49 (0) 89 5600 1005 Fax: +49 (0) 89 5600 1400http://www.kantarhealth.cominfo@remove-this.kantarhealth.com")</f>
        <v> Telefon: +49 (0) 89 5600 1005 Fax: +49 (0) 89 5600 1400http://www.kantarhealth.cominfo@remove-this.kantarhealth.com</v>
      </c>
    </row>
    <row r="206">
      <c r="A206" s="6" t="str">
        <f>IFERROR(__xludf.DUMMYFUNCTION("""COMPUTED_VALUE""")," Category: CRO ")</f>
        <v> Category: CRO </v>
      </c>
      <c r="B206" s="6" t="str">
        <f>IFERROR(__xludf.DUMMYFUNCTION("""COMPUTED_VALUE"""),"KantarHealth GmbH")</f>
        <v>KantarHealth GmbH</v>
      </c>
      <c r="C206" s="6" t="str">
        <f>IFERROR(__xludf.DUMMYFUNCTION("""COMPUTED_VALUE"""),"Landsberger Str. 338 Deutschland-80687 München")</f>
        <v>Landsberger Str. 338 Deutschland-80687 München</v>
      </c>
      <c r="D206" s="7" t="str">
        <f>IFERROR(__xludf.DUMMYFUNCTION("""COMPUTED_VALUE"""),"http://www.kantartns.de")</f>
        <v>http://www.kantartns.de</v>
      </c>
      <c r="E206" s="6"/>
    </row>
    <row r="207">
      <c r="A207" s="6" t="str">
        <f>IFERROR(__xludf.DUMMYFUNCTION("""COMPUTED_VALUE""")," Category: Pharma &amp; Chemical Industry ")</f>
        <v> Category: Pharma &amp; Chemical Industry </v>
      </c>
      <c r="B207" s="6" t="str">
        <f>IFERROR(__xludf.DUMMYFUNCTION("""COMPUTED_VALUE"""),"Karyopharm Europe GmbH")</f>
        <v>Karyopharm Europe GmbH</v>
      </c>
      <c r="C207" s="6" t="str">
        <f>IFERROR(__xludf.DUMMYFUNCTION("""COMPUTED_VALUE"""),"Franziska-Bilek-Weg 9 Deutschland-80339 München")</f>
        <v>Franziska-Bilek-Weg 9 Deutschland-80339 München</v>
      </c>
      <c r="D207" s="6" t="str">
        <f>IFERROR(__xludf.DUMMYFUNCTION("""COMPUTED_VALUE""")," Telefon: +49 (0) 89 54 84 86-101 Fax: +49 (0) 89 54 84 86-200http://karyopharm.comregine@remove-this.karyopharm.com")</f>
        <v> Telefon: +49 (0) 89 54 84 86-101 Fax: +49 (0) 89 54 84 86-200http://karyopharm.comregine@remove-this.karyopharm.com</v>
      </c>
      <c r="E207" s="6"/>
    </row>
    <row r="208">
      <c r="A208" s="6" t="str">
        <f>IFERROR(__xludf.DUMMYFUNCTION("""COMPUTED_VALUE""")," Category: Biotech Therapeutics &amp; Diagnostics ")</f>
        <v> Category: Biotech Therapeutics &amp; Diagnostics </v>
      </c>
      <c r="B208" s="6" t="str">
        <f>IFERROR(__xludf.DUMMYFUNCTION("""COMPUTED_VALUE"""),"Kiadis Pharma Germany GmbH")</f>
        <v>Kiadis Pharma Germany GmbH</v>
      </c>
      <c r="C208" s="6" t="str">
        <f>IFERROR(__xludf.DUMMYFUNCTION("""COMPUTED_VALUE"""),"Dachauerstr.65 Deutschland-80335 München")</f>
        <v>Dachauerstr.65 Deutschland-80335 München</v>
      </c>
      <c r="D208" s="6"/>
      <c r="E208" s="6"/>
    </row>
    <row r="209">
      <c r="A209" s="6" t="str">
        <f>IFERROR(__xludf.DUMMYFUNCTION("""COMPUTED_VALUE""")," Category: CRO ")</f>
        <v> Category: CRO </v>
      </c>
      <c r="B209" s="6" t="str">
        <f>IFERROR(__xludf.DUMMYFUNCTION("""COMPUTED_VALUE""")," Keywords: Drug Development, Devices, Data Management, Regulatory Affairs, 
Pharmacovigilance, Clinical Trial Management and Monitoring, Medical 
Writing ")</f>
        <v> Keywords: Drug Development, Devices, Data Management, Regulatory Affairs, 
Pharmacovigilance, Clinical Trial Management and Monitoring, Medical 
Writing </v>
      </c>
      <c r="C209" s="6" t="str">
        <f>IFERROR(__xludf.DUMMYFUNCTION("""COMPUTED_VALUE"""),"KLIFO GmbH")</f>
        <v>KLIFO GmbH</v>
      </c>
      <c r="D209" s="6" t="str">
        <f>IFERROR(__xludf.DUMMYFUNCTION("""COMPUTED_VALUE"""),"Heimeranstrasse 35 Deutschland-80339 München")</f>
        <v>Heimeranstrasse 35 Deutschland-80339 München</v>
      </c>
      <c r="E209" s="6" t="str">
        <f>IFERROR(__xludf.DUMMYFUNCTION("""COMPUTED_VALUE""")," Telefon: +49 (0) 89 895286-0 Fax: +49 (0) 89 895286-66https://klifo.com/info-de@remove-this.klifo.com")</f>
        <v> Telefon: +49 (0) 89 895286-0 Fax: +49 (0) 89 895286-66https://klifo.com/info-de@remove-this.klifo.com</v>
      </c>
    </row>
    <row r="210">
      <c r="A210" s="6" t="str">
        <f>IFERROR(__xludf.DUMMYFUNCTION("""COMPUTED_VALUE""")," Category: CRO ")</f>
        <v> Category: CRO </v>
      </c>
      <c r="B210" s="6" t="str">
        <f>IFERROR(__xludf.DUMMYFUNCTION("""COMPUTED_VALUE""")," Keywords: Drug Development, Pharmacovigiliance, Regulatory Affairs, 
Clinical Trial Management and Monitoring, Data Management and Biostatistics ")</f>
        <v> Keywords: Drug Development, Pharmacovigiliance, Regulatory Affairs, 
Clinical Trial Management and Monitoring, Data Management and Biostatistics </v>
      </c>
      <c r="C210" s="6" t="str">
        <f>IFERROR(__xludf.DUMMYFUNCTION("""COMPUTED_VALUE"""),"KLIFOVET GmbH")</f>
        <v>KLIFOVET GmbH</v>
      </c>
      <c r="D210" s="6" t="str">
        <f>IFERROR(__xludf.DUMMYFUNCTION("""COMPUTED_VALUE"""),"Geyerspergerstr. 27 Deutschland-80689 München")</f>
        <v>Geyerspergerstr. 27 Deutschland-80689 München</v>
      </c>
      <c r="E210" s="6" t="str">
        <f>IFERROR(__xludf.DUMMYFUNCTION("""COMPUTED_VALUE""")," Telefon: +49 (0) 89 580082-0 Fax: +49 (0) 89 580082-7777http://www.klifovet.cominfo@remove-this.klifovet.com")</f>
        <v> Telefon: +49 (0) 89 580082-0 Fax: +49 (0) 89 580082-7777http://www.klifovet.cominfo@remove-this.klifovet.com</v>
      </c>
    </row>
    <row r="211">
      <c r="A211" s="6" t="str">
        <f>IFERROR(__xludf.DUMMYFUNCTION("""COMPUTED_VALUE""")," Category: Biotech DNA/Protein Analytics ")</f>
        <v> Category: Biotech DNA/Protein Analytics </v>
      </c>
      <c r="B211" s="6" t="str">
        <f>IFERROR(__xludf.DUMMYFUNCTION("""COMPUTED_VALUE""")," Keywords: Genomics, PCR ")</f>
        <v> Keywords: Genomics, PCR </v>
      </c>
      <c r="C211" s="6" t="str">
        <f>IFERROR(__xludf.DUMMYFUNCTION("""COMPUTED_VALUE"""),"kmbs")</f>
        <v>kmbs</v>
      </c>
      <c r="D211" s="6" t="str">
        <f>IFERROR(__xludf.DUMMYFUNCTION("""COMPUTED_VALUE"""),"Ferdinand-Zwack-Str. 39 Deutschland-85354 Freising")</f>
        <v>Ferdinand-Zwack-Str. 39 Deutschland-85354 Freising</v>
      </c>
      <c r="E211" s="6" t="str">
        <f>IFERROR(__xludf.DUMMYFUNCTION("""COMPUTED_VALUE""")," Telefon: +49 (0) 8161 205957http://www.kmbioservices.deinfo@remove-this.kmbioservices.de")</f>
        <v> Telefon: +49 (0) 8161 205957http://www.kmbioservices.deinfo@remove-this.kmbioservices.de</v>
      </c>
    </row>
    <row r="212">
      <c r="A212" s="6" t="str">
        <f>IFERROR(__xludf.DUMMYFUNCTION("""COMPUTED_VALUE""")," Category: IHK Sonstige ")</f>
        <v> Category: IHK Sonstige </v>
      </c>
      <c r="B212" s="6" t="str">
        <f>IFERROR(__xludf.DUMMYFUNCTION("""COMPUTED_VALUE"""),"Lab4more,BAVARIAHAUSLab4more ")</f>
        <v>Lab4more,BAVARIAHAUSLab4more </v>
      </c>
      <c r="C212" s="6" t="str">
        <f>IFERROR(__xludf.DUMMYFUNCTION("""COMPUTED_VALUE"""),"Augustenstraße 10 Deutschland-80333 München")</f>
        <v>Augustenstraße 10 Deutschland-80333 München</v>
      </c>
      <c r="D212" s="6" t="str">
        <f>IFERROR(__xludf.DUMMYFUNCTION("""COMPUTED_VALUE""")," Telefon: +49 (0) 89 54 32 17 0 Fax: +49 (0) 89 54 32 17 55http://www.lab4more-online.de/schmitten@remove-this.lab4more.de")</f>
        <v> Telefon: +49 (0) 89 54 32 17 0 Fax: +49 (0) 89 54 32 17 55http://www.lab4more-online.de/schmitten@remove-this.lab4more.de</v>
      </c>
      <c r="E212" s="6"/>
    </row>
    <row r="213">
      <c r="A213" s="6" t="str">
        <f>IFERROR(__xludf.DUMMYFUNCTION("""COMPUTED_VALUE""")," Category: Biotech Therapeutics &amp; Diagnostics ")</f>
        <v> Category: Biotech Therapeutics &amp; Diagnostics </v>
      </c>
      <c r="B213" s="6" t="str">
        <f>IFERROR(__xludf.DUMMYFUNCTION("""COMPUTED_VALUE""")," Keywords: Allergy, Clinical Diagnostics, Medicinal Chemistry ")</f>
        <v> Keywords: Allergy, Clinical Diagnostics, Medicinal Chemistry </v>
      </c>
      <c r="C213" s="6" t="str">
        <f>IFERROR(__xludf.DUMMYFUNCTION("""COMPUTED_VALUE"""),"Labor Friedle GmbH")</f>
        <v>Labor Friedle GmbH</v>
      </c>
      <c r="D213" s="6" t="str">
        <f>IFERROR(__xludf.DUMMYFUNCTION("""COMPUTED_VALUE"""),"Von-Heyden-Str. 11 Deutschland-93105 Tegernheim")</f>
        <v>Von-Heyden-Str. 11 Deutschland-93105 Tegernheim</v>
      </c>
      <c r="E213" s="6" t="str">
        <f>IFERROR(__xludf.DUMMYFUNCTION("""COMPUTED_VALUE""")," Telefon: +49 (0) 9403 96798-0 Fax: +49 (0) 9403 96798-20http://www.labor-friedle.deinfo@remove-this.labor-friedle.de")</f>
        <v> Telefon: +49 (0) 9403 96798-0 Fax: +49 (0) 9403 96798-20http://www.labor-friedle.deinfo@remove-this.labor-friedle.de</v>
      </c>
    </row>
    <row r="214">
      <c r="A214" s="6" t="str">
        <f>IFERROR(__xludf.DUMMYFUNCTION("""COMPUTED_VALUE""")," Category: Biotech Therapeutics &amp; Diagnostics ")</f>
        <v> Category: Biotech Therapeutics &amp; Diagnostics </v>
      </c>
      <c r="B214" s="6" t="str">
        <f>IFERROR(__xludf.DUMMYFUNCTION("""COMPUTED_VALUE""")," Keywords: Clinical Diagnostics, Molecular Diagnostics ")</f>
        <v> Keywords: Clinical Diagnostics, Molecular Diagnostics </v>
      </c>
      <c r="C214" s="6" t="str">
        <f>IFERROR(__xludf.DUMMYFUNCTION("""COMPUTED_VALUE"""),"LabPMM GmbH")</f>
        <v>LabPMM GmbH</v>
      </c>
      <c r="D214" s="6" t="str">
        <f>IFERROR(__xludf.DUMMYFUNCTION("""COMPUTED_VALUE"""),"Zeppelinstr. 1 Deutschland-85399 Halbergmoos")</f>
        <v>Zeppelinstr. 1 Deutschland-85399 Halbergmoos</v>
      </c>
      <c r="E214" s="6" t="str">
        <f>IFERROR(__xludf.DUMMYFUNCTION("""COMPUTED_VALUE""")," Telefon: +49 (0) 89 8994 80780https://invivoscribe.com/clinical-servicesszorbas-seifried@remove-this.labpmm.de")</f>
        <v> Telefon: +49 (0) 89 8994 80780https://invivoscribe.com/clinical-servicesszorbas-seifried@remove-this.labpmm.de</v>
      </c>
    </row>
    <row r="215">
      <c r="A215" s="6" t="str">
        <f>IFERROR(__xludf.DUMMYFUNCTION("""COMPUTED_VALUE""")," Category: Biotech Bioinformatics ")</f>
        <v> Category: Biotech Bioinformatics </v>
      </c>
      <c r="B215" s="6" t="str">
        <f>IFERROR(__xludf.DUMMYFUNCTION("""COMPUTED_VALUE""")," Keywords: Agrobiotechnology, Data Management, Data Management and 
Biostatistics, Informatics, Personalized Medicine, Industrial 
Biotechnology, Bioinformatics ")</f>
        <v> Keywords: Agrobiotechnology, Data Management, Data Management and 
Biostatistics, Informatics, Personalized Medicine, Industrial 
Biotechnology, Bioinformatics </v>
      </c>
      <c r="C215" s="6" t="str">
        <f>IFERROR(__xludf.DUMMYFUNCTION("""COMPUTED_VALUE"""),"Labvantage-Biomax GmbH")</f>
        <v>Labvantage-Biomax GmbH</v>
      </c>
      <c r="D215" s="6" t="str">
        <f>IFERROR(__xludf.DUMMYFUNCTION("""COMPUTED_VALUE"""),"Robert-Koch-Str. 2 Deutschland-82152 Planegg")</f>
        <v>Robert-Koch-Str. 2 Deutschland-82152 Planegg</v>
      </c>
      <c r="E215" s="6" t="str">
        <f>IFERROR(__xludf.DUMMYFUNCTION("""COMPUTED_VALUE""")," Telefon: +49 (0) 89 895574-0 Fax: +49 (0) 89 895574-825http://www.biomax.cominfo@remove-this.biomax.com")</f>
        <v> Telefon: +49 (0) 89 895574-0 Fax: +49 (0) 89 895574-825http://www.biomax.cominfo@remove-this.biomax.com</v>
      </c>
    </row>
    <row r="216">
      <c r="A216" s="6" t="str">
        <f>IFERROR(__xludf.DUMMYFUNCTION("""COMPUTED_VALUE""")," Category: Biotech Preclinical Services ")</f>
        <v> Category: Biotech Preclinical Services </v>
      </c>
      <c r="B216" s="6" t="str">
        <f>IFERROR(__xludf.DUMMYFUNCTION("""COMPUTED_VALUE"""),"Lead Discovery Center GmbH ,LDC - Abteilung AntikörperLead Discovery Center GmbH ")</f>
        <v>Lead Discovery Center GmbH ,LDC - Abteilung AntikörperLead Discovery Center GmbH </v>
      </c>
      <c r="C216" s="6" t="str">
        <f>IFERROR(__xludf.DUMMYFUNCTION("""COMPUTED_VALUE"""),"Semmelweisstr. 5 Deutschland-82152 Planegg")</f>
        <v>Semmelweisstr. 5 Deutschland-82152 Planegg</v>
      </c>
      <c r="D216" s="6" t="str">
        <f>IFERROR(__xludf.DUMMYFUNCTION("""COMPUTED_VALUE""")," Telefon: +49 (0) 231 97 42 70 00 Fax: +49 (0) 231 97 42 70 39http://www.lead-discovery.deinfo@remove-this.lead-discovery.de")</f>
        <v> Telefon: +49 (0) 231 97 42 70 00 Fax: +49 (0) 231 97 42 70 39http://www.lead-discovery.deinfo@remove-this.lead-discovery.de</v>
      </c>
      <c r="E216" s="6"/>
    </row>
    <row r="217">
      <c r="A217" s="6" t="str">
        <f>IFERROR(__xludf.DUMMYFUNCTION("""COMPUTED_VALUE""")," Category: Pharma &amp; Chemical Industry ")</f>
        <v> Category: Pharma &amp; Chemical Industry </v>
      </c>
      <c r="B217" s="6" t="str">
        <f>IFERROR(__xludf.DUMMYFUNCTION("""COMPUTED_VALUE""")," Keywords: Drug Development, Drug Delivery, Liposomes, Peptide/Protein, 
Small Molecules ")</f>
        <v> Keywords: Drug Development, Drug Delivery, Liposomes, Peptide/Protein, 
Small Molecules </v>
      </c>
      <c r="C217" s="6" t="str">
        <f>IFERROR(__xludf.DUMMYFUNCTION("""COMPUTED_VALUE"""),"leon-nanodrugs GmbH")</f>
        <v>leon-nanodrugs GmbH</v>
      </c>
      <c r="D217" s="6" t="str">
        <f>IFERROR(__xludf.DUMMYFUNCTION("""COMPUTED_VALUE"""),"Kopernikusstr. 9 Deutschland-81679 München")</f>
        <v>Kopernikusstr. 9 Deutschland-81679 München</v>
      </c>
      <c r="E217" s="6" t="str">
        <f>IFERROR(__xludf.DUMMYFUNCTION("""COMPUTED_VALUE""")," Telefon: +49 (0) 89 4142 4889-0 Fax: +49 (0) 89 4142 4889-88http://www.leon-nanodrugs.cominfo@remove-this.leon-nanodrugs.com")</f>
        <v> Telefon: +49 (0) 89 4142 4889-0 Fax: +49 (0) 89 4142 4889-88http://www.leon-nanodrugs.cominfo@remove-this.leon-nanodrugs.com</v>
      </c>
    </row>
    <row r="218">
      <c r="A218" s="6" t="str">
        <f>IFERROR(__xludf.DUMMYFUNCTION("""COMPUTED_VALUE""")," Category: Biotech Devices &amp; Reagents ")</f>
        <v> Category: Biotech Devices &amp; Reagents </v>
      </c>
      <c r="B218" s="6" t="str">
        <f>IFERROR(__xludf.DUMMYFUNCTION("""COMPUTED_VALUE"""),"LEUKOCARE AG")</f>
        <v>LEUKOCARE AG</v>
      </c>
      <c r="C218" s="6" t="str">
        <f>IFERROR(__xludf.DUMMYFUNCTION("""COMPUTED_VALUE"""),"Am Klopferspitz 19 Deutschland-82152 Martinsried")</f>
        <v>Am Klopferspitz 19 Deutschland-82152 Martinsried</v>
      </c>
      <c r="D218" s="6" t="str">
        <f>IFERROR(__xludf.DUMMYFUNCTION("""COMPUTED_VALUE""")," Telefon: +49 (0) 89 780 1665-0 Fax: +49 (0) 89 780 1665-11http://www.leukocare.cominfo@remove-this.leukocare.com")</f>
        <v> Telefon: +49 (0) 89 780 1665-0 Fax: +49 (0) 89 780 1665-11http://www.leukocare.cominfo@remove-this.leukocare.com</v>
      </c>
      <c r="E218" s="6"/>
    </row>
    <row r="219">
      <c r="A219" s="6" t="str">
        <f>IFERROR(__xludf.DUMMYFUNCTION("""COMPUTED_VALUE""")," Category: Other Services ")</f>
        <v> Category: Other Services </v>
      </c>
      <c r="B219" s="6" t="str">
        <f>IFERROR(__xludf.DUMMYFUNCTION("""COMPUTED_VALUE""")," Keywords: Drug Development, Tissue Engineering/Cell Culture, Cell Therapy, 
Nutraceuticals, Biomarker Discovery &amp; Development, Neuro-Degeneration, 
Industrial Biotechnology ")</f>
        <v> Keywords: Drug Development, Tissue Engineering/Cell Culture, Cell Therapy, 
Nutraceuticals, Biomarker Discovery &amp; Development, Neuro-Degeneration, 
Industrial Biotechnology </v>
      </c>
      <c r="C219" s="6" t="str">
        <f>IFERROR(__xludf.DUMMYFUNCTION("""COMPUTED_VALUE"""),"Life Science Factory Management GmbH")</f>
        <v>Life Science Factory Management GmbH</v>
      </c>
      <c r="D219" s="6" t="str">
        <f>IFERROR(__xludf.DUMMYFUNCTION("""COMPUTED_VALUE"""),"Annastraße 27 Deutschland-37075 Göttingen")</f>
        <v>Annastraße 27 Deutschland-37075 Göttingen</v>
      </c>
      <c r="E219" s="6" t="str">
        <f>IFERROR(__xludf.DUMMYFUNCTION("""COMPUTED_VALUE""")," Telefon: +49 (0) 171 2624634https://lifescience-factory.com/de/info@remove-this.lifescience-factory.com")</f>
        <v> Telefon: +49 (0) 171 2624634https://lifescience-factory.com/de/info@remove-this.lifescience-factory.com</v>
      </c>
    </row>
    <row r="220">
      <c r="A220" s="6" t="str">
        <f>IFERROR(__xludf.DUMMYFUNCTION("""COMPUTED_VALUE""")," Category: Biotech Therapeutics &amp; Diagnostics ")</f>
        <v> Category: Biotech Therapeutics &amp; Diagnostics </v>
      </c>
      <c r="B220" s="6" t="str">
        <f>IFERROR(__xludf.DUMMYFUNCTION("""COMPUTED_VALUE""")," Keywords: Drug Development, Antibody ")</f>
        <v> Keywords: Drug Development, Antibody </v>
      </c>
      <c r="C220" s="6" t="str">
        <f>IFERROR(__xludf.DUMMYFUNCTION("""COMPUTED_VALUE"""),"LINDIS Biotech GmbH")</f>
        <v>LINDIS Biotech GmbH</v>
      </c>
      <c r="D220" s="6" t="str">
        <f>IFERROR(__xludf.DUMMYFUNCTION("""COMPUTED_VALUE"""),"Am Klopferspitz 19 a Deutschland-82152 Martinsried")</f>
        <v>Am Klopferspitz 19 a Deutschland-82152 Martinsried</v>
      </c>
      <c r="E220" s="6" t="str">
        <f>IFERROR(__xludf.DUMMYFUNCTION("""COMPUTED_VALUE""")," Telefon: +49 (0) 89 700 766 24http://www.lindisbiotech.comhorst.lindhofer@remove-this.lindisbiotech.com")</f>
        <v> Telefon: +49 (0) 89 700 766 24http://www.lindisbiotech.comhorst.lindhofer@remove-this.lindisbiotech.com</v>
      </c>
    </row>
    <row r="221">
      <c r="A221" s="6" t="str">
        <f>IFERROR(__xludf.DUMMYFUNCTION("""COMPUTED_VALUE""")," Category: Biotech Therapeutics &amp; Diagnostics ")</f>
        <v> Category: Biotech Therapeutics &amp; Diagnostics </v>
      </c>
      <c r="B221" s="6" t="str">
        <f>IFERROR(__xludf.DUMMYFUNCTION("""COMPUTED_VALUE"""),"LMU - NanoCapture i.Gr.,Department PharmazieLMU - NanoCapture i.Gr. ")</f>
        <v>LMU - NanoCapture i.Gr.,Department PharmazieLMU - NanoCapture i.Gr. </v>
      </c>
      <c r="C221" s="6" t="str">
        <f>IFERROR(__xludf.DUMMYFUNCTION("""COMPUTED_VALUE"""),"Butenandtstr. 5-13 Deutschland-81377 München")</f>
        <v>Butenandtstr. 5-13 Deutschland-81377 München</v>
      </c>
      <c r="D221" s="7" t="str">
        <f>IFERROR(__xludf.DUMMYFUNCTION("""COMPUTED_VALUE"""),"https://www.nanocapture.de")</f>
        <v>https://www.nanocapture.de</v>
      </c>
      <c r="E221" s="6"/>
    </row>
    <row r="222">
      <c r="A222" s="6" t="str">
        <f>IFERROR(__xludf.DUMMYFUNCTION("""COMPUTED_VALUE""")," Category: Biotech Devices &amp; Reagents ")</f>
        <v> Category: Biotech Devices &amp; Reagents </v>
      </c>
      <c r="B222" s="6" t="str">
        <f>IFERROR(__xludf.DUMMYFUNCTION("""COMPUTED_VALUE""")," Keywords: Agrobiotechnology, ELISA/EIA ")</f>
        <v> Keywords: Agrobiotechnology, ELISA/EIA </v>
      </c>
      <c r="C222" s="6" t="str">
        <f>IFERROR(__xludf.DUMMYFUNCTION("""COMPUTED_VALUE"""),"Loewe® Biochemica GmbH")</f>
        <v>Loewe® Biochemica GmbH</v>
      </c>
      <c r="D222" s="6" t="str">
        <f>IFERROR(__xludf.DUMMYFUNCTION("""COMPUTED_VALUE"""),"Mühlweg 2 a Deutschland-82054 Sauerlach")</f>
        <v>Mühlweg 2 a Deutschland-82054 Sauerlach</v>
      </c>
      <c r="E222" s="6" t="str">
        <f>IFERROR(__xludf.DUMMYFUNCTION("""COMPUTED_VALUE""")," Telefon: +49 (0) 8104 616-20 Fax: +49 (0) 8104 616-48http://www.loewe-info.comservice@remove-this.loewe-info.com")</f>
        <v> Telefon: +49 (0) 8104 616-20 Fax: +49 (0) 8104 616-48http://www.loewe-info.comservice@remove-this.loewe-info.com</v>
      </c>
    </row>
    <row r="223">
      <c r="A223" s="6" t="str">
        <f>IFERROR(__xludf.DUMMYFUNCTION("""COMPUTED_VALUE""")," Category: Biotech Therapeutics &amp; Diagnostics ")</f>
        <v> Category: Biotech Therapeutics &amp; Diagnostics </v>
      </c>
      <c r="B223" s="6" t="str">
        <f>IFERROR(__xludf.DUMMYFUNCTION("""COMPUTED_VALUE"""),"Loewi GmbH")</f>
        <v>Loewi GmbH</v>
      </c>
      <c r="C223" s="6" t="str">
        <f>IFERROR(__xludf.DUMMYFUNCTION("""COMPUTED_VALUE"""),"Agnes-Pockels-Bogen 1 Deutschland-80992 München")</f>
        <v>Agnes-Pockels-Bogen 1 Deutschland-80992 München</v>
      </c>
      <c r="D223" s="7" t="str">
        <f>IFERROR(__xludf.DUMMYFUNCTION("""COMPUTED_VALUE"""),"https://loewi.com")</f>
        <v>https://loewi.com</v>
      </c>
      <c r="E223" s="6"/>
    </row>
    <row r="224">
      <c r="A224" s="6" t="str">
        <f>IFERROR(__xludf.DUMMYFUNCTION("IMPORTXML(L1,A2)")," Category: Medtech ")</f>
        <v> Category: Medtech </v>
      </c>
      <c r="B224" s="6" t="str">
        <f>IFERROR(__xludf.DUMMYFUNCTION("""COMPUTED_VALUE""")," Keywords: Devices, Automation, Molecular Diagnostics, Other Diagnostics, 
In-Vitro-Diagnostics ")</f>
        <v> Keywords: Devices, Automation, Molecular Diagnostics, Other Diagnostics, 
In-Vitro-Diagnostics </v>
      </c>
      <c r="C224" s="6" t="str">
        <f>IFERROR(__xludf.DUMMYFUNCTION("""COMPUTED_VALUE"""),"LRE Medical GmbH")</f>
        <v>LRE Medical GmbH</v>
      </c>
      <c r="D224" s="6" t="str">
        <f>IFERROR(__xludf.DUMMYFUNCTION("""COMPUTED_VALUE"""),"Georg-Brauchle-Ring 89 Deutschland-80992 München")</f>
        <v>Georg-Brauchle-Ring 89 Deutschland-80992 München</v>
      </c>
      <c r="E224" s="6" t="str">
        <f>IFERROR(__xludf.DUMMYFUNCTION("""COMPUTED_VALUE""")," Telefon: +49 89 354803-47 Fax: +49 89 354803-67https://www.lre.de/info@remove-this.lre.de")</f>
        <v> Telefon: +49 89 354803-47 Fax: +49 89 354803-67https://www.lre.de/info@remove-this.lre.de</v>
      </c>
    </row>
    <row r="225">
      <c r="A225" s="6" t="str">
        <f>IFERROR(__xludf.DUMMYFUNCTION("""COMPUTED_VALUE""")," Category: Pharma &amp; Chemical Industry ")</f>
        <v> Category: Pharma &amp; Chemical Industry </v>
      </c>
      <c r="B225" s="6" t="str">
        <f>IFERROR(__xludf.DUMMYFUNCTION("""COMPUTED_VALUE""")," Keywords: Drug Delivery, Medicinal Chemistry, Pharmacology ")</f>
        <v> Keywords: Drug Delivery, Medicinal Chemistry, Pharmacology </v>
      </c>
      <c r="C225" s="6" t="str">
        <f>IFERROR(__xludf.DUMMYFUNCTION("""COMPUTED_VALUE"""),"Luye Pharma AG")</f>
        <v>Luye Pharma AG</v>
      </c>
      <c r="D225" s="6" t="str">
        <f>IFERROR(__xludf.DUMMYFUNCTION("""COMPUTED_VALUE"""),"Am Windfeld 35 Deutschland-83714 Miesbach")</f>
        <v>Am Windfeld 35 Deutschland-83714 Miesbach</v>
      </c>
      <c r="E225" s="6" t="str">
        <f>IFERROR(__xludf.DUMMYFUNCTION("""COMPUTED_VALUE""")," Telefon: +49 (0) 8025 2867-0 Fax: +49 (0) 8025 2867-28http://www.luyepharma.euinfo@remove-this.luyepharma.eu")</f>
        <v> Telefon: +49 (0) 8025 2867-0 Fax: +49 (0) 8025 2867-28http://www.luyepharma.euinfo@remove-this.luyepharma.eu</v>
      </c>
    </row>
    <row r="226">
      <c r="A226" s="6" t="str">
        <f>IFERROR(__xludf.DUMMYFUNCTION("""COMPUTED_VALUE""")," Category: Biotech Therapeutics &amp; Diagnostics ")</f>
        <v> Category: Biotech Therapeutics &amp; Diagnostics </v>
      </c>
      <c r="B226" s="6" t="str">
        <f>IFERROR(__xludf.DUMMYFUNCTION("""COMPUTED_VALUE""")," Keywords: Drug Development, Antibody ")</f>
        <v> Keywords: Drug Development, Antibody </v>
      </c>
      <c r="C226" s="6" t="str">
        <f>IFERROR(__xludf.DUMMYFUNCTION("""COMPUTED_VALUE"""),"MAB Discovery GmbH")</f>
        <v>MAB Discovery GmbH</v>
      </c>
      <c r="D226" s="6" t="str">
        <f>IFERROR(__xludf.DUMMYFUNCTION("""COMPUTED_VALUE"""),"Tassilostraße 2 Deutschland-82398 Polling")</f>
        <v>Tassilostraße 2 Deutschland-82398 Polling</v>
      </c>
      <c r="E226" s="6" t="str">
        <f>IFERROR(__xludf.DUMMYFUNCTION("""COMPUTED_VALUE""")," Telefon: +49 (0) 881 3990 8939 Fax: +49 (0) 881 3990 8941http://www.mabdiscovery.com")</f>
        <v> Telefon: +49 (0) 881 3990 8939 Fax: +49 (0) 881 3990 8941http://www.mabdiscovery.com</v>
      </c>
    </row>
    <row r="227">
      <c r="A227" s="6" t="str">
        <f>IFERROR(__xludf.DUMMYFUNCTION("""COMPUTED_VALUE""")," Category: Pharma Animal Health ")</f>
        <v> Category: Pharma Animal Health </v>
      </c>
      <c r="B227" s="6" t="str">
        <f>IFERROR(__xludf.DUMMYFUNCTION("""COMPUTED_VALUE"""),"Manuel Pescher IP Services")</f>
        <v>Manuel Pescher IP Services</v>
      </c>
      <c r="C227" s="6" t="str">
        <f>IFERROR(__xludf.DUMMYFUNCTION("""COMPUTED_VALUE"""),"Watzmannring 71 Deutschland-85748 Garching")</f>
        <v>Watzmannring 71 Deutschland-85748 Garching</v>
      </c>
      <c r="D227" s="7" t="str">
        <f>IFERROR(__xludf.DUMMYFUNCTION("""COMPUTED_VALUE"""),"http://www.manuelpescher.com")</f>
        <v>http://www.manuelpescher.com</v>
      </c>
      <c r="E227" s="6"/>
    </row>
    <row r="228">
      <c r="A228" s="6" t="str">
        <f>IFERROR(__xludf.DUMMYFUNCTION("""COMPUTED_VALUE""")," Category: CRO ")</f>
        <v> Category: CRO </v>
      </c>
      <c r="B228" s="6" t="str">
        <f>IFERROR(__xludf.DUMMYFUNCTION("""COMPUTED_VALUE"""),"Mapi Life Sciences (Germany) GmbH")</f>
        <v>Mapi Life Sciences (Germany) GmbH</v>
      </c>
      <c r="C228" s="6" t="str">
        <f>IFERROR(__xludf.DUMMYFUNCTION("""COMPUTED_VALUE"""),"Konrad Zuse Platz 11 Deutschland-81829 München")</f>
        <v>Konrad Zuse Platz 11 Deutschland-81829 München</v>
      </c>
      <c r="D228" s="7" t="str">
        <f>IFERROR(__xludf.DUMMYFUNCTION("""COMPUTED_VALUE"""),"http://www.mapigroup.com")</f>
        <v>http://www.mapigroup.com</v>
      </c>
      <c r="E228" s="6"/>
    </row>
    <row r="229">
      <c r="A229" s="6" t="str">
        <f>IFERROR(__xludf.DUMMYFUNCTION("""COMPUTED_VALUE""")," Category: Biotech Therapeutics &amp; Diagnostics ")</f>
        <v> Category: Biotech Therapeutics &amp; Diagnostics </v>
      </c>
      <c r="B229" s="6" t="str">
        <f>IFERROR(__xludf.DUMMYFUNCTION("""COMPUTED_VALUE"""),"Max-Planck-Institut für Plasmaphysik")</f>
        <v>Max-Planck-Institut für Plasmaphysik</v>
      </c>
      <c r="C229" s="6" t="str">
        <f>IFERROR(__xludf.DUMMYFUNCTION("""COMPUTED_VALUE"""),"Boltzmannstraße 2 Deutschland-85748 Garching bei München")</f>
        <v>Boltzmannstraße 2 Deutschland-85748 Garching bei München</v>
      </c>
      <c r="D229" s="6" t="str">
        <f>IFERROR(__xludf.DUMMYFUNCTION("""COMPUTED_VALUE""")," Telefon: +4989329901http://www.ipp.mpg.deinfo@remove-this.ipp.mpg.de")</f>
        <v> Telefon: +4989329901http://www.ipp.mpg.deinfo@remove-this.ipp.mpg.de</v>
      </c>
      <c r="E229" s="6"/>
    </row>
    <row r="230">
      <c r="A230" s="6" t="str">
        <f>IFERROR(__xludf.DUMMYFUNCTION("""COMPUTED_VALUE""")," Category: Medtech ")</f>
        <v> Category: Medtech </v>
      </c>
      <c r="B230" s="6" t="str">
        <f>IFERROR(__xludf.DUMMYFUNCTION("""COMPUTED_VALUE"""),"Medical Device Services GmbH")</f>
        <v>Medical Device Services GmbH</v>
      </c>
      <c r="C230" s="6" t="str">
        <f>IFERROR(__xludf.DUMMYFUNCTION("""COMPUTED_VALUE"""),"Lilienthalstrasse 4 Deutschland-82205 Gilching")</f>
        <v>Lilienthalstrasse 4 Deutschland-82205 Gilching</v>
      </c>
      <c r="D230" s="6" t="str">
        <f>IFERROR(__xludf.DUMMYFUNCTION("""COMPUTED_VALUE""")," Telefon: +4981057783530 Fax: +49 (0) 8105 26152http://www.mdservices.depr@remove-this.mdservices.de")</f>
        <v> Telefon: +4981057783530 Fax: +49 (0) 8105 26152http://www.mdservices.depr@remove-this.mdservices.de</v>
      </c>
      <c r="E230" s="6"/>
    </row>
    <row r="231">
      <c r="A231" s="6" t="str">
        <f>IFERROR(__xludf.DUMMYFUNCTION("""COMPUTED_VALUE""")," Category: Biotech Therapeutics &amp; Diagnostics ")</f>
        <v> Category: Biotech Therapeutics &amp; Diagnostics </v>
      </c>
      <c r="B231" s="6" t="str">
        <f>IFERROR(__xludf.DUMMYFUNCTION("""COMPUTED_VALUE""")," Keywords: Hematology, Immune Therapy, Cell Therapy, Gene Therapy, 
Vaccines, Oncology, Personalized Medicine ")</f>
        <v> Keywords: Hematology, Immune Therapy, Cell Therapy, Gene Therapy, 
Vaccines, Oncology, Personalized Medicine </v>
      </c>
      <c r="C231" s="6" t="str">
        <f>IFERROR(__xludf.DUMMYFUNCTION("""COMPUTED_VALUE"""),"Medigene AG")</f>
        <v>Medigene AG</v>
      </c>
      <c r="D231" s="6" t="str">
        <f>IFERROR(__xludf.DUMMYFUNCTION("""COMPUTED_VALUE"""),"Lochhamer Str. 11 Deutschland-82152 Martinsried")</f>
        <v>Lochhamer Str. 11 Deutschland-82152 Martinsried</v>
      </c>
      <c r="E231" s="6" t="str">
        <f>IFERROR(__xludf.DUMMYFUNCTION("""COMPUTED_VALUE""")," Telefon: +49 (0) 89 200033-0 Fax: +49 (0) 89 200033-2920http://www.medigene.commedigene@remove-this.medigene.com")</f>
        <v> Telefon: +49 (0) 89 200033-0 Fax: +49 (0) 89 200033-2920http://www.medigene.commedigene@remove-this.medigene.com</v>
      </c>
    </row>
    <row r="232">
      <c r="A232" s="6" t="str">
        <f>IFERROR(__xludf.DUMMYFUNCTION("""COMPUTED_VALUE""")," Category: CRO ")</f>
        <v> Category: CRO </v>
      </c>
      <c r="B232" s="6" t="str">
        <f>IFERROR(__xludf.DUMMYFUNCTION("""COMPUTED_VALUE"""),"Medizinisches Wirtschaftsinstitut GmbH")</f>
        <v>Medizinisches Wirtschaftsinstitut GmbH</v>
      </c>
      <c r="C232" s="6" t="str">
        <f>IFERROR(__xludf.DUMMYFUNCTION("""COMPUTED_VALUE"""),"Zieblandstraße 9 Deutschland-80799 München")</f>
        <v>Zieblandstraße 9 Deutschland-80799 München</v>
      </c>
      <c r="D232" s="6" t="str">
        <f>IFERROR(__xludf.DUMMYFUNCTION("""COMPUTED_VALUE""")," Telefon: +49 (89) 5589 29600http://www.mw-institut.de")</f>
        <v> Telefon: +49 (89) 5589 29600http://www.mw-institut.de</v>
      </c>
      <c r="E232" s="6"/>
    </row>
    <row r="233">
      <c r="A233" s="6" t="str">
        <f>IFERROR(__xludf.DUMMYFUNCTION("""COMPUTED_VALUE""")," Category: Pharma &amp; Chemical Industry ")</f>
        <v> Category: Pharma &amp; Chemical Industry </v>
      </c>
      <c r="B233" s="6" t="str">
        <f>IFERROR(__xludf.DUMMYFUNCTION("""COMPUTED_VALUE""")," Keywords: Logistics, Clinical Trial Management and Monitoring ")</f>
        <v> Keywords: Logistics, Clinical Trial Management and Monitoring </v>
      </c>
      <c r="C233" s="6" t="str">
        <f>IFERROR(__xludf.DUMMYFUNCTION("""COMPUTED_VALUE"""),"Medizone Germany GmbH")</f>
        <v>Medizone Germany GmbH</v>
      </c>
      <c r="D233" s="6" t="str">
        <f>IFERROR(__xludf.DUMMYFUNCTION("""COMPUTED_VALUE"""),"Keltenring 15 Deutschland-82041 Oberhaching")</f>
        <v>Keltenring 15 Deutschland-82041 Oberhaching</v>
      </c>
      <c r="E233" s="6" t="str">
        <f>IFERROR(__xludf.DUMMYFUNCTION("""COMPUTED_VALUE""")," Telefon: +49 (0) 89 12 11 26 36 Fax: +49 (0) 89 12 11 26 37http://www.medizone.cominfo@remove-this.medizone.com")</f>
        <v> Telefon: +49 (0) 89 12 11 26 36 Fax: +49 (0) 89 12 11 26 37http://www.medizone.cominfo@remove-this.medizone.com</v>
      </c>
    </row>
    <row r="234">
      <c r="A234" s="6" t="str">
        <f>IFERROR(__xludf.DUMMYFUNCTION("""COMPUTED_VALUE""")," Category: CRO ")</f>
        <v> Category: CRO </v>
      </c>
      <c r="B234" s="6" t="str">
        <f>IFERROR(__xludf.DUMMYFUNCTION("""COMPUTED_VALUE""")," Keywords: Cardiovascular Diseases, Metabolic Diseases, Drug Development, 
Oncology, Pharmacovigiliance, Regulatory Affairs, Imaging ")</f>
        <v> Keywords: Cardiovascular Diseases, Metabolic Diseases, Drug Development, 
Oncology, Pharmacovigiliance, Regulatory Affairs, Imaging </v>
      </c>
      <c r="C234" s="6" t="str">
        <f>IFERROR(__xludf.DUMMYFUNCTION("""COMPUTED_VALUE"""),"Medpace Germany GmbH")</f>
        <v>Medpace Germany GmbH</v>
      </c>
      <c r="D234" s="6" t="str">
        <f>IFERROR(__xludf.DUMMYFUNCTION("""COMPUTED_VALUE"""),"Theresienhöhe 30 Deutschland-80339 München")</f>
        <v>Theresienhöhe 30 Deutschland-80339 München</v>
      </c>
      <c r="E234" s="6" t="str">
        <f>IFERROR(__xludf.DUMMYFUNCTION("""COMPUTED_VALUE""")," Telefon: +49 (0) 89 895 5718-0 Fax: +49 (0) 89 895 5718-100http://www.medpace.cominfo.de@remove-this.medpace.com")</f>
        <v> Telefon: +49 (0) 89 895 5718-0 Fax: +49 (0) 89 895 5718-100http://www.medpace.cominfo.de@remove-this.medpace.com</v>
      </c>
    </row>
    <row r="235">
      <c r="A235" s="6" t="str">
        <f>IFERROR(__xludf.DUMMYFUNCTION("""COMPUTED_VALUE""")," Category: CRO ")</f>
        <v> Category: CRO </v>
      </c>
      <c r="B235" s="6" t="str">
        <f>IFERROR(__xludf.DUMMYFUNCTION("""COMPUTED_VALUE""")," Keywords: Regulatory Affairs, Pharmacovigilance, Medical Writing ")</f>
        <v> Keywords: Regulatory Affairs, Pharmacovigilance, Medical Writing </v>
      </c>
      <c r="C235" s="6" t="str">
        <f>IFERROR(__xludf.DUMMYFUNCTION("""COMPUTED_VALUE"""),"MedPharmTec GmbH")</f>
        <v>MedPharmTec GmbH</v>
      </c>
      <c r="D235" s="6" t="str">
        <f>IFERROR(__xludf.DUMMYFUNCTION("""COMPUTED_VALUE"""),"Neuhauser Str. 47 / IV Deutschland-80331 München")</f>
        <v>Neuhauser Str. 47 / IV Deutschland-80331 München</v>
      </c>
      <c r="E235" s="6" t="str">
        <f>IFERROR(__xludf.DUMMYFUNCTION("""COMPUTED_VALUE""")," Telefon: +49 (0) 89 354998-0 Fax: +49 (0) 89 354998-195http://www.MedPharmTec.deoffice@remove-this.medpharmtec.de")</f>
        <v> Telefon: +49 (0) 89 354998-0 Fax: +49 (0) 89 354998-195http://www.MedPharmTec.deoffice@remove-this.medpharmtec.de</v>
      </c>
    </row>
    <row r="236">
      <c r="A236" s="6" t="str">
        <f>IFERROR(__xludf.DUMMYFUNCTION("""COMPUTED_VALUE""")," Category: Biotech Devices &amp; Reagents ")</f>
        <v> Category: Biotech Devices &amp; Reagents </v>
      </c>
      <c r="B236" s="6" t="str">
        <f>IFERROR(__xludf.DUMMYFUNCTION("""COMPUTED_VALUE""")," Keywords: Genomics, Proteomics, Antibody Production Service, 
Antisense/Nucleotides, PCR, Other Diagnostics, NGS ")</f>
        <v> Keywords: Genomics, Proteomics, Antibody Production Service, 
Antisense/Nucleotides, PCR, Other Diagnostics, NGS </v>
      </c>
      <c r="C236" s="6" t="str">
        <f>IFERROR(__xludf.DUMMYFUNCTION("""COMPUTED_VALUE"""),"metabion GmbH")</f>
        <v>metabion GmbH</v>
      </c>
      <c r="D236" s="6" t="str">
        <f>IFERROR(__xludf.DUMMYFUNCTION("""COMPUTED_VALUE"""),"Semmelweissstr. 3 Deutschland-82152 Martinsried")</f>
        <v>Semmelweissstr. 3 Deutschland-82152 Martinsried</v>
      </c>
      <c r="E236" s="6" t="str">
        <f>IFERROR(__xludf.DUMMYFUNCTION("""COMPUTED_VALUE""")," Telefon: +49 (0) 89 899363-0 Fax: +49 (0) 89 899363-11http://www.metabion.cominfo@remove-this.mymetabion.com")</f>
        <v> Telefon: +49 (0) 89 899363-0 Fax: +49 (0) 89 899363-11http://www.metabion.cominfo@remove-this.mymetabion.com</v>
      </c>
    </row>
    <row r="237">
      <c r="A237" s="6" t="str">
        <f>IFERROR(__xludf.DUMMYFUNCTION("""COMPUTED_VALUE""")," Category: Biotech DNA/Protein Analytics ")</f>
        <v> Category: Biotech DNA/Protein Analytics </v>
      </c>
      <c r="B237" s="6" t="str">
        <f>IFERROR(__xludf.DUMMYFUNCTION("""COMPUTED_VALUE""")," Keywords: Drug Development, Agrobiotechnology, Nutraceuticals, 
Metabolomics ")</f>
        <v> Keywords: Drug Development, Agrobiotechnology, Nutraceuticals, 
Metabolomics </v>
      </c>
      <c r="C237" s="6" t="str">
        <f>IFERROR(__xludf.DUMMYFUNCTION("""COMPUTED_VALUE"""),"Metabolon GmbH")</f>
        <v>Metabolon GmbH</v>
      </c>
      <c r="D237" s="6" t="str">
        <f>IFERROR(__xludf.DUMMYFUNCTION("""COMPUTED_VALUE"""),"Zeppelinstraße 3 85399 Hallbergmoos")</f>
        <v>Zeppelinstraße 3 85399 Hallbergmoos</v>
      </c>
      <c r="E237" s="6" t="str">
        <f>IFERROR(__xludf.DUMMYFUNCTION("""COMPUTED_VALUE""")," Telefon: +49 89 99017752https://www.metabolon.comrpfister@remove-this.metabolon.com")</f>
        <v> Telefon: +49 89 99017752https://www.metabolon.comrpfister@remove-this.metabolon.com</v>
      </c>
    </row>
    <row r="238">
      <c r="A238" s="6" t="str">
        <f>IFERROR(__xludf.DUMMYFUNCTION("""COMPUTED_VALUE""")," Category: Biotech Preclinical Services ")</f>
        <v> Category: Biotech Preclinical Services </v>
      </c>
      <c r="B238" s="6" t="str">
        <f>IFERROR(__xludf.DUMMYFUNCTION("""COMPUTED_VALUE""")," Keywords: Drug Development, Toxicology ")</f>
        <v> Keywords: Drug Development, Toxicology </v>
      </c>
      <c r="C238" s="6" t="str">
        <f>IFERROR(__xludf.DUMMYFUNCTION("""COMPUTED_VALUE"""),"MetaHeps GmbH")</f>
        <v>MetaHeps GmbH</v>
      </c>
      <c r="D238" s="6" t="str">
        <f>IFERROR(__xludf.DUMMYFUNCTION("""COMPUTED_VALUE"""),"Am Klopferspitz 19 IZB Deutschland-82152 Martinsried")</f>
        <v>Am Klopferspitz 19 IZB Deutschland-82152 Martinsried</v>
      </c>
      <c r="E238" s="6" t="str">
        <f>IFERROR(__xludf.DUMMYFUNCTION("""COMPUTED_VALUE""")," Telefon: +49 89 7007 6614http://www.metaheps.cominfo@remove-this.metaheps.com")</f>
        <v> Telefon: +49 89 7007 6614http://www.metaheps.cominfo@remove-this.metaheps.com</v>
      </c>
    </row>
    <row r="239">
      <c r="A239" s="6" t="str">
        <f>IFERROR(__xludf.DUMMYFUNCTION("""COMPUTED_VALUE""")," Category: CRO ")</f>
        <v> Category: CRO </v>
      </c>
      <c r="B239" s="6" t="str">
        <f>IFERROR(__xludf.DUMMYFUNCTION("""COMPUTED_VALUE""")," Keywords: Clinical Trial Management and Monitoring, Data Management and 
Biostatistics, Medical Writing, R&amp;D Service ")</f>
        <v> Keywords: Clinical Trial Management and Monitoring, Data Management and 
Biostatistics, Medical Writing, R&amp;D Service </v>
      </c>
      <c r="C239" s="6" t="str">
        <f>IFERROR(__xludf.DUMMYFUNCTION("""COMPUTED_VALUE"""),"Metronomia Clinical Research GmbH")</f>
        <v>Metronomia Clinical Research GmbH</v>
      </c>
      <c r="D239" s="6" t="str">
        <f>IFERROR(__xludf.DUMMYFUNCTION("""COMPUTED_VALUE"""),"Paul-Gerhardt-Allee 42 Deutschland-81245 München")</f>
        <v>Paul-Gerhardt-Allee 42 Deutschland-81245 München</v>
      </c>
      <c r="E239" s="6" t="str">
        <f>IFERROR(__xludf.DUMMYFUNCTION("""COMPUTED_VALUE""")," Telefon: +49 (0) 89 829265-100 Fax: +49 (0) 89 829265-099http://www.metronomia.netinfo@remove-this.metronomia.net")</f>
        <v> Telefon: +49 (0) 89 829265-100 Fax: +49 (0) 89 829265-099http://www.metronomia.netinfo@remove-this.metronomia.net</v>
      </c>
    </row>
    <row r="240">
      <c r="A240" s="6" t="str">
        <f>IFERROR(__xludf.DUMMYFUNCTION("""COMPUTED_VALUE""")," Category: Other Services ")</f>
        <v> Category: Other Services </v>
      </c>
      <c r="B240" s="6" t="str">
        <f>IFERROR(__xludf.DUMMYFUNCTION("""COMPUTED_VALUE""")," Keywords: Genomics, Clinical Diagnostics, Oncology, Laboratory, 
Personalized Medicine, Bioinformatics ")</f>
        <v> Keywords: Genomics, Clinical Diagnostics, Oncology, Laboratory, 
Personalized Medicine, Bioinformatics </v>
      </c>
      <c r="C240" s="6" t="str">
        <f>IFERROR(__xludf.DUMMYFUNCTION("""COMPUTED_VALUE"""),"MGZ - Medizinisch Genetisches Zentrum MVZPartnerschaft von Fachärztinnen für Humangenetik mbB ")</f>
        <v>MGZ - Medizinisch Genetisches Zentrum MVZPartnerschaft von Fachärztinnen für Humangenetik mbB </v>
      </c>
      <c r="D240" s="6" t="str">
        <f>IFERROR(__xludf.DUMMYFUNCTION("""COMPUTED_VALUE"""),"Bayerstraße 3-5 Deutschland-80335 München")</f>
        <v>Bayerstraße 3-5 Deutschland-80335 München</v>
      </c>
      <c r="E240" s="6" t="str">
        <f>IFERROR(__xludf.DUMMYFUNCTION("""COMPUTED_VALUE""")," Telefon: +49 (0)89/30 90 886-0 Fax: 49 (0)89/30 90 886-66http://www.mgz-muenchen.de/info@remove-this.mgz-muenchen.de")</f>
        <v> Telefon: +49 (0)89/30 90 886-0 Fax: 49 (0)89/30 90 886-66http://www.mgz-muenchen.de/info@remove-this.mgz-muenchen.de</v>
      </c>
    </row>
    <row r="241">
      <c r="A241" s="6" t="str">
        <f>IFERROR(__xludf.DUMMYFUNCTION("""COMPUTED_VALUE""")," Category: Biotech Devices &amp; Reagents ")</f>
        <v> Category: Biotech Devices &amp; Reagents </v>
      </c>
      <c r="B241" s="6" t="str">
        <f>IFERROR(__xludf.DUMMYFUNCTION("""COMPUTED_VALUE""")," Keywords: Pharmacokinetics, ELISA/EIA, PCR, Laboratory, Bioanalytics, 
In-Vitro-Diagnostics ")</f>
        <v> Keywords: Pharmacokinetics, ELISA/EIA, PCR, Laboratory, Bioanalytics, 
In-Vitro-Diagnostics </v>
      </c>
      <c r="C241" s="6" t="str">
        <f>IFERROR(__xludf.DUMMYFUNCTION("""COMPUTED_VALUE"""),"Microcoat Biotechnologie GmbH")</f>
        <v>Microcoat Biotechnologie GmbH</v>
      </c>
      <c r="D241" s="6" t="str">
        <f>IFERROR(__xludf.DUMMYFUNCTION("""COMPUTED_VALUE"""),"Am Neuland 3 Deutschland-82347 Bernried")</f>
        <v>Am Neuland 3 Deutschland-82347 Bernried</v>
      </c>
      <c r="E241" s="6" t="str">
        <f>IFERROR(__xludf.DUMMYFUNCTION("""COMPUTED_VALUE""")," Telefon: +49 (0) 8158 9981-0 Fax: +49 (0) 8158 9981-10http://www.microcoat.deinfo@remove-this.microcoat.de")</f>
        <v> Telefon: +49 (0) 8158 9981-0 Fax: +49 (0) 8158 9981-10http://www.microcoat.deinfo@remove-this.microcoat.de</v>
      </c>
    </row>
    <row r="242">
      <c r="A242" s="6" t="str">
        <f>IFERROR(__xludf.DUMMYFUNCTION("""COMPUTED_VALUE""")," Category: Biotech Therapeutics &amp; Diagnostics ")</f>
        <v> Category: Biotech Therapeutics &amp; Diagnostics </v>
      </c>
      <c r="B242" s="6" t="str">
        <f>IFERROR(__xludf.DUMMYFUNCTION("""COMPUTED_VALUE""")," Keywords: 3D-Structural Analysis, Automation, Microscopy, Molecular 
Diagnostics, Informatics ")</f>
        <v> Keywords: 3D-Structural Analysis, Automation, Microscopy, Molecular 
Diagnostics, Informatics </v>
      </c>
      <c r="C242" s="6" t="str">
        <f>IFERROR(__xludf.DUMMYFUNCTION("""COMPUTED_VALUE"""),"microDimensions GmbH i.L.")</f>
        <v>microDimensions GmbH i.L.</v>
      </c>
      <c r="D242" s="6" t="str">
        <f>IFERROR(__xludf.DUMMYFUNCTION("""COMPUTED_VALUE"""),"Rupert-Mayer-Str. 44 Building 64.07 Deutschland-81379 München")</f>
        <v>Rupert-Mayer-Str. 44 Building 64.07 Deutschland-81379 München</v>
      </c>
      <c r="E242" s="6" t="str">
        <f>IFERROR(__xludf.DUMMYFUNCTION("""COMPUTED_VALUE""")," Telefon: +49 (0) 89 189 4253-30 Fax: +49 (0) 89 189 4253-31http://micro-dimensions.cominfo@remove-this.micro-dimensions.com")</f>
        <v> Telefon: +49 (0) 89 189 4253-30 Fax: +49 (0) 89 189 4253-31http://micro-dimensions.cominfo@remove-this.micro-dimensions.com</v>
      </c>
    </row>
    <row r="243">
      <c r="A243" s="6" t="str">
        <f>IFERROR(__xludf.DUMMYFUNCTION("""COMPUTED_VALUE""")," Category: Biotech Therapeutics &amp; Diagnostics ")</f>
        <v> Category: Biotech Therapeutics &amp; Diagnostics </v>
      </c>
      <c r="B243" s="6" t="str">
        <f>IFERROR(__xludf.DUMMYFUNCTION("""COMPUTED_VALUE""")," Keywords: Autoimmune Diseases, Infectious Diseases, Clinical Diagnostics, 
ELISA/EIA, Automation, PCR, Chip/Array Technology ")</f>
        <v> Keywords: Autoimmune Diseases, Infectious Diseases, Clinical Diagnostics, 
ELISA/EIA, Automation, PCR, Chip/Array Technology </v>
      </c>
      <c r="C243" s="6" t="str">
        <f>IFERROR(__xludf.DUMMYFUNCTION("""COMPUTED_VALUE"""),"MIKROGEN GmbH")</f>
        <v>MIKROGEN GmbH</v>
      </c>
      <c r="D243" s="6" t="str">
        <f>IFERROR(__xludf.DUMMYFUNCTION("""COMPUTED_VALUE"""),"Anna-Sigmund-Strasse 10 Deutschland-82061 Neuried")</f>
        <v>Anna-Sigmund-Strasse 10 Deutschland-82061 Neuried</v>
      </c>
      <c r="E243" s="6" t="str">
        <f>IFERROR(__xludf.DUMMYFUNCTION("""COMPUTED_VALUE""")," Telefon: +49 (0) 89 54801-0 Fax: +49 (0) 89 54801-100http://www.mikrogen.demeyer@remove-this.mikrogen.de")</f>
        <v> Telefon: +49 (0) 89 54801-0 Fax: +49 (0) 89 54801-100http://www.mikrogen.demeyer@remove-this.mikrogen.de</v>
      </c>
    </row>
    <row r="244">
      <c r="A244" s="6" t="str">
        <f>IFERROR(__xludf.DUMMYFUNCTION("IMPORTXML(M1,A2)")," Category: Biotech Therapeutics &amp; Diagnostics ")</f>
        <v> Category: Biotech Therapeutics &amp; Diagnostics </v>
      </c>
      <c r="B244" s="6" t="str">
        <f>IFERROR(__xludf.DUMMYFUNCTION("""COMPUTED_VALUE""")," Keywords: Gene Transfer, Cell Therapy, Gene Therapy ")</f>
        <v> Keywords: Gene Transfer, Cell Therapy, Gene Therapy </v>
      </c>
      <c r="C244" s="6" t="str">
        <f>IFERROR(__xludf.DUMMYFUNCTION("""COMPUTED_VALUE"""),"Minaris Regenerative Medicine GmbH")</f>
        <v>Minaris Regenerative Medicine GmbH</v>
      </c>
      <c r="D244" s="6" t="str">
        <f>IFERROR(__xludf.DUMMYFUNCTION("""COMPUTED_VALUE"""),"Haidgraben 5 Deutschland-85521 Ottobrunn")</f>
        <v>Haidgraben 5 Deutschland-85521 Ottobrunn</v>
      </c>
      <c r="E244" s="6" t="str">
        <f>IFERROR(__xludf.DUMMYFUNCTION("""COMPUTED_VALUE""")," Telefon: +49 (0) 89 700 9608-0 Fax: +49 (0) 89 700 9608-130http://www.rm.minaris.com")</f>
        <v> Telefon: +49 (0) 89 700 9608-0 Fax: +49 (0) 89 700 9608-130http://www.rm.minaris.com</v>
      </c>
    </row>
    <row r="245">
      <c r="A245" s="6" t="str">
        <f>IFERROR(__xludf.DUMMYFUNCTION("""COMPUTED_VALUE""")," Category: Biotech DNA/Protein Analytics ")</f>
        <v> Category: Biotech DNA/Protein Analytics </v>
      </c>
      <c r="B245" s="6" t="str">
        <f>IFERROR(__xludf.DUMMYFUNCTION("""COMPUTED_VALUE""")," Keywords: Bioanalytics, Industrial Biotechnology ")</f>
        <v> Keywords: Bioanalytics, Industrial Biotechnology </v>
      </c>
      <c r="C245" s="6" t="str">
        <f>IFERROR(__xludf.DUMMYFUNCTION("""COMPUTED_VALUE"""),"mk2 Biotechnologies GmbHmk2 Biotechnologies ")</f>
        <v>mk2 Biotechnologies GmbHmk2 Biotechnologies </v>
      </c>
      <c r="D245" s="6" t="str">
        <f>IFERROR(__xludf.DUMMYFUNCTION("""COMPUTED_VALUE"""),"Am Klopferspitz 19 Deutschland-82152 München")</f>
        <v>Am Klopferspitz 19 Deutschland-82152 München</v>
      </c>
      <c r="E245" s="6" t="str">
        <f>IFERROR(__xludf.DUMMYFUNCTION("""COMPUTED_VALUE""")," Telefon: +49 160 777 0880https://www.mk2.bioinfo@remove-this.mk2.bio")</f>
        <v> Telefon: +49 160 777 0880https://www.mk2.bioinfo@remove-this.mk2.bio</v>
      </c>
    </row>
    <row r="246">
      <c r="A246" s="6" t="str">
        <f>IFERROR(__xludf.DUMMYFUNCTION("""COMPUTED_VALUE""")," Category: Biotech Therapeutics &amp; Diagnostics ")</f>
        <v> Category: Biotech Therapeutics &amp; Diagnostics </v>
      </c>
      <c r="B246" s="6" t="str">
        <f>IFERROR(__xludf.DUMMYFUNCTION("""COMPUTED_VALUE""")," Keywords: Genomics, Hematology, Clinical Diagnostics, Oncology, PCR, 
Laboratory, NGS ")</f>
        <v> Keywords: Genomics, Hematology, Clinical Diagnostics, Oncology, PCR, 
Laboratory, NGS </v>
      </c>
      <c r="C246" s="6" t="str">
        <f>IFERROR(__xludf.DUMMYFUNCTION("""COMPUTED_VALUE"""),"MLL Münchner Leukämielabor GmbH")</f>
        <v>MLL Münchner Leukämielabor GmbH</v>
      </c>
      <c r="D246" s="6" t="str">
        <f>IFERROR(__xludf.DUMMYFUNCTION("""COMPUTED_VALUE"""),"Max-Lebsche-Platz 31 Deutschland-81377 München")</f>
        <v>Max-Lebsche-Platz 31 Deutschland-81377 München</v>
      </c>
      <c r="E246" s="6" t="str">
        <f>IFERROR(__xludf.DUMMYFUNCTION("""COMPUTED_VALUE""")," Telefon: +49 (0) 89 99017-0 Fax: +49 (0) 89 99017-111http://www.mll.cominfo@remove-this.mll.com")</f>
        <v> Telefon: +49 (0) 89 99017-0 Fax: +49 (0) 89 99017-111http://www.mll.cominfo@remove-this.mll.com</v>
      </c>
    </row>
    <row r="247">
      <c r="A247" s="6" t="str">
        <f>IFERROR(__xludf.DUMMYFUNCTION("""COMPUTED_VALUE""")," Category: Biotech Devices &amp; Reagents ")</f>
        <v> Category: Biotech Devices &amp; Reagents </v>
      </c>
      <c r="B247" s="6" t="str">
        <f>IFERROR(__xludf.DUMMYFUNCTION("""COMPUTED_VALUE""")," Keywords: Devices, Microscopy, Molecular Diagnostics ")</f>
        <v> Keywords: Devices, Microscopy, Molecular Diagnostics </v>
      </c>
      <c r="C247" s="6" t="str">
        <f>IFERROR(__xludf.DUMMYFUNCTION("""COMPUTED_VALUE"""),"Molecular Machines &amp; Industries GmbH")</f>
        <v>Molecular Machines &amp; Industries GmbH</v>
      </c>
      <c r="D247" s="6" t="str">
        <f>IFERROR(__xludf.DUMMYFUNCTION("""COMPUTED_VALUE"""),"Breslauer Str. 2 Deutschland-85386 Eching")</f>
        <v>Breslauer Str. 2 Deutschland-85386 Eching</v>
      </c>
      <c r="E247" s="6" t="str">
        <f>IFERROR(__xludf.DUMMYFUNCTION("""COMPUTED_VALUE""")," Telefon: +49 (0) 89 319048-40 Fax: +49 (0) 89 319048-59http://www.molecular-machines.cominfo@remove-this.molecular-machines.com")</f>
        <v> Telefon: +49 (0) 89 319048-40 Fax: +49 (0) 89 319048-59http://www.molecular-machines.cominfo@remove-this.molecular-machines.com</v>
      </c>
    </row>
    <row r="248">
      <c r="A248" s="6" t="str">
        <f>IFERROR(__xludf.DUMMYFUNCTION("""COMPUTED_VALUE""")," Category: Biotech Devices &amp; Reagents ")</f>
        <v> Category: Biotech Devices &amp; Reagents </v>
      </c>
      <c r="B248" s="6" t="str">
        <f>IFERROR(__xludf.DUMMYFUNCTION("""COMPUTED_VALUE""")," Keywords: Medicinal Chemistry, Antibiotics, Peptide/Protein, Fine 
Chemicals/Reagents, Analytical Chemistry, New Materials ")</f>
        <v> Keywords: Medicinal Chemistry, Antibiotics, Peptide/Protein, Fine 
Chemicals/Reagents, Analytical Chemistry, New Materials </v>
      </c>
      <c r="C248" s="6" t="str">
        <f>IFERROR(__xludf.DUMMYFUNCTION("""COMPUTED_VALUE"""),"Molekula GmbH")</f>
        <v>Molekula GmbH</v>
      </c>
      <c r="D248" s="6" t="str">
        <f>IFERROR(__xludf.DUMMYFUNCTION("""COMPUTED_VALUE"""),"Landshuter Allee 12 Deutschland-80637 München")</f>
        <v>Landshuter Allee 12 Deutschland-80637 München</v>
      </c>
      <c r="E248" s="6" t="str">
        <f>IFERROR(__xludf.DUMMYFUNCTION("""COMPUTED_VALUE""")," Telefon: +49 (0) 89 360900-900 Fax: +49 (0) 89 360900-901http://www.molekula.comdinfo@remove-this.molekula.com")</f>
        <v> Telefon: +49 (0) 89 360900-900 Fax: +49 (0) 89 360900-901http://www.molekula.comdinfo@remove-this.molekula.com</v>
      </c>
    </row>
    <row r="249">
      <c r="A249" s="6" t="str">
        <f>IFERROR(__xludf.DUMMYFUNCTION("""COMPUTED_VALUE""")," Category: Biotech DNA/Protein Analytics ")</f>
        <v> Category: Biotech DNA/Protein Analytics </v>
      </c>
      <c r="B249" s="6" t="str">
        <f>IFERROR(__xludf.DUMMYFUNCTION("""COMPUTED_VALUE""")," Keywords: Proteomics, Clinical Diagnostics, Molecular Diagnostics, 
Personalized Medicine ")</f>
        <v> Keywords: Proteomics, Clinical Diagnostics, Molecular Diagnostics, 
Personalized Medicine </v>
      </c>
      <c r="C249" s="6" t="str">
        <f>IFERROR(__xludf.DUMMYFUNCTION("""COMPUTED_VALUE"""),"MOLEQLAR Analytics GmbH")</f>
        <v>MOLEQLAR Analytics GmbH</v>
      </c>
      <c r="D249" s="6" t="str">
        <f>IFERROR(__xludf.DUMMYFUNCTION("""COMPUTED_VALUE"""),"Am Klopferspitz 19 Deutschland-82152 Planegg-Martinsried")</f>
        <v>Am Klopferspitz 19 Deutschland-82152 Planegg-Martinsried</v>
      </c>
      <c r="E249" s="6" t="str">
        <f>IFERROR(__xludf.DUMMYFUNCTION("""COMPUTED_VALUE""")," Telefon: +49 (0) 89 2153 5730http://www.moleqlar.de")</f>
        <v> Telefon: +49 (0) 89 2153 5730http://www.moleqlar.de</v>
      </c>
    </row>
    <row r="250">
      <c r="A250" s="6" t="str">
        <f>IFERROR(__xludf.DUMMYFUNCTION("""COMPUTED_VALUE""")," Category: Biotech Devices &amp; Reagents ")</f>
        <v> Category: Biotech Devices &amp; Reagents </v>
      </c>
      <c r="B250" s="6" t="str">
        <f>IFERROR(__xludf.DUMMYFUNCTION("""COMPUTED_VALUE"""),"Moregate Biotech")</f>
        <v>Moregate Biotech</v>
      </c>
      <c r="C250" s="6" t="str">
        <f>IFERROR(__xludf.DUMMYFUNCTION("""COMPUTED_VALUE"""),"Roesselerstr. 17 Deutschland-81927 München")</f>
        <v>Roesselerstr. 17 Deutschland-81927 München</v>
      </c>
      <c r="D250" s="7" t="str">
        <f>IFERROR(__xludf.DUMMYFUNCTION("""COMPUTED_VALUE"""),"http://www.moregatebiotech.com/")</f>
        <v>http://www.moregatebiotech.com/</v>
      </c>
      <c r="E250" s="6"/>
    </row>
    <row r="251">
      <c r="A251" s="6" t="str">
        <f>IFERROR(__xludf.DUMMYFUNCTION("""COMPUTED_VALUE""")," Category: Biotech Therapeutics &amp; Diagnostics ")</f>
        <v> Category: Biotech Therapeutics &amp; Diagnostics </v>
      </c>
      <c r="B251" s="6" t="str">
        <f>IFERROR(__xludf.DUMMYFUNCTION("""COMPUTED_VALUE""")," Keywords: Autoimmune Diseases, Antibody, Small Molecules, Nephrology, 
Oncology ")</f>
        <v> Keywords: Autoimmune Diseases, Antibody, Small Molecules, Nephrology, 
Oncology </v>
      </c>
      <c r="C251" s="6" t="str">
        <f>IFERROR(__xludf.DUMMYFUNCTION("""COMPUTED_VALUE"""),"MorphoSys AG")</f>
        <v>MorphoSys AG</v>
      </c>
      <c r="D251" s="6" t="str">
        <f>IFERROR(__xludf.DUMMYFUNCTION("""COMPUTED_VALUE"""),"Semmelweisstraße 7 Deutschland-82152 Planegg")</f>
        <v>Semmelweisstraße 7 Deutschland-82152 Planegg</v>
      </c>
      <c r="E251" s="6" t="str">
        <f>IFERROR(__xludf.DUMMYFUNCTION("""COMPUTED_VALUE""")," Telefon: +49 (0) 89 89927-0 Fax: +49 (0) 89 89927-222http://www.morphosys.cominfo@remove-this.morphosys.com")</f>
        <v> Telefon: +49 (0) 89 89927-0 Fax: +49 (0) 89 89927-222http://www.morphosys.cominfo@remove-this.morphosys.com</v>
      </c>
    </row>
    <row r="252">
      <c r="A252" s="6" t="str">
        <f>IFERROR(__xludf.DUMMYFUNCTION("""COMPUTED_VALUE""")," Category: Pharma &amp; Chemical Industry ")</f>
        <v> Category: Pharma &amp; Chemical Industry </v>
      </c>
      <c r="B252" s="6" t="str">
        <f>IFERROR(__xludf.DUMMYFUNCTION("""COMPUTED_VALUE""")," Keywords: Cardiovascular Diseases, Diabetics, Infectious Diseases, 
Antibiotics, Vaccines, Oncology ")</f>
        <v> Keywords: Cardiovascular Diseases, Diabetics, Infectious Diseases, 
Antibiotics, Vaccines, Oncology </v>
      </c>
      <c r="C252" s="6" t="str">
        <f>IFERROR(__xludf.DUMMYFUNCTION("""COMPUTED_VALUE"""),"MSD SHARP &amp; DOHME GMBH")</f>
        <v>MSD SHARP &amp; DOHME GMBH</v>
      </c>
      <c r="D252" s="6" t="str">
        <f>IFERROR(__xludf.DUMMYFUNCTION("""COMPUTED_VALUE"""),"Levelingstraße 4a Deutschland-81673 München")</f>
        <v>Levelingstraße 4a Deutschland-81673 München</v>
      </c>
      <c r="E252" s="6" t="str">
        <f>IFERROR(__xludf.DUMMYFUNCTION("""COMPUTED_VALUE""")," Telefon: 0800 673 673 673 Fax: 0800 673 673 329http://www.msd.deinfocenter@remove-this.msd.de")</f>
        <v> Telefon: 0800 673 673 673 Fax: 0800 673 673 329http://www.msd.deinfocenter@remove-this.msd.de</v>
      </c>
    </row>
    <row r="253">
      <c r="A253" s="6" t="str">
        <f>IFERROR(__xludf.DUMMYFUNCTION("""COMPUTED_VALUE""")," Category: Consultants ")</f>
        <v> Category: Consultants </v>
      </c>
      <c r="B253" s="6" t="str">
        <f>IFERROR(__xludf.DUMMYFUNCTION("""COMPUTED_VALUE""")," Keywords: Devices, ---CRO/CMO---, Other Diagnostics, Regulatory Affairs, 
Clinical Trial Management and Monitoring, Medical Writing ")</f>
        <v> Keywords: Devices, ---CRO/CMO---, Other Diagnostics, Regulatory Affairs, 
Clinical Trial Management and Monitoring, Medical Writing </v>
      </c>
      <c r="C253" s="6" t="str">
        <f>IFERROR(__xludf.DUMMYFUNCTION("""COMPUTED_VALUE"""),"MTC Medical Technology Consultants GmbH")</f>
        <v>MTC Medical Technology Consultants GmbH</v>
      </c>
      <c r="D253" s="6" t="str">
        <f>IFERROR(__xludf.DUMMYFUNCTION("""COMPUTED_VALUE"""),"Zuccalistr. 19 Deutschland-80639 München")</f>
        <v>Zuccalistr. 19 Deutschland-80639 München</v>
      </c>
      <c r="E253" s="6" t="str">
        <f>IFERROR(__xludf.DUMMYFUNCTION("""COMPUTED_VALUE""")," Telefon: +49 (0) 89 176782http://www.mtc-consultants.comkvmartius@remove-this.t-online.de")</f>
        <v> Telefon: +49 (0) 89 176782http://www.mtc-consultants.comkvmartius@remove-this.t-online.de</v>
      </c>
    </row>
    <row r="254">
      <c r="A254" s="6" t="str">
        <f>IFERROR(__xludf.DUMMYFUNCTION("""COMPUTED_VALUE""")," Category: CRO ")</f>
        <v> Category: CRO </v>
      </c>
      <c r="B254" s="6" t="str">
        <f>IFERROR(__xludf.DUMMYFUNCTION("""COMPUTED_VALUE""")," Keywords: Hepatology, Infectious Diseases, Logistics, Regulatory Affairs, 
Clinical Trial Management and Monitoring, Data Management and 
Biostatistics, Medical Writing ")</f>
        <v> Keywords: Hepatology, Infectious Diseases, Logistics, Regulatory Affairs, 
Clinical Trial Management and Monitoring, Data Management and 
Biostatistics, Medical Writing </v>
      </c>
      <c r="C254" s="6" t="str">
        <f>IFERROR(__xludf.DUMMYFUNCTION("""COMPUTED_VALUE"""),"MUC Research GmbH")</f>
        <v>MUC Research GmbH</v>
      </c>
      <c r="D254" s="6" t="str">
        <f>IFERROR(__xludf.DUMMYFUNCTION("""COMPUTED_VALUE"""),"Karlsplatz 8 Deutschland-80335 München")</f>
        <v>Karlsplatz 8 Deutschland-80335 München</v>
      </c>
      <c r="E254" s="6" t="str">
        <f>IFERROR(__xludf.DUMMYFUNCTION("""COMPUTED_VALUE""")," Telefon: +49 (89) 558703630 Fax: +49 (89) 5998 9353http://www.mucresearch.deinfo@remove-this.mucresearch.de")</f>
        <v> Telefon: +49 (89) 558703630 Fax: +49 (89) 5998 9353http://www.mucresearch.deinfo@remove-this.mucresearch.de</v>
      </c>
    </row>
    <row r="255">
      <c r="A255" s="6" t="str">
        <f>IFERROR(__xludf.DUMMYFUNCTION("""COMPUTED_VALUE""")," Category: CRO ")</f>
        <v> Category: CRO </v>
      </c>
      <c r="B255" s="6" t="str">
        <f>IFERROR(__xludf.DUMMYFUNCTION("""COMPUTED_VALUE""")," Keywords: Autoimmune Diseases, Drug Development, Devices, Oncology, 
Regulatory Affairs, Clinical Trial Management and Monitoring ")</f>
        <v> Keywords: Autoimmune Diseases, Drug Development, Devices, Oncology, 
Regulatory Affairs, Clinical Trial Management and Monitoring </v>
      </c>
      <c r="C255" s="6" t="str">
        <f>IFERROR(__xludf.DUMMYFUNCTION("""COMPUTED_VALUE"""),"multi service monitoring")</f>
        <v>multi service monitoring</v>
      </c>
      <c r="D255" s="6" t="str">
        <f>IFERROR(__xludf.DUMMYFUNCTION("""COMPUTED_VALUE"""),"Ahornweg 8 Deutschland-93176 Beratzhausen")</f>
        <v>Ahornweg 8 Deutschland-93176 Beratzhausen</v>
      </c>
      <c r="E255" s="6" t="str">
        <f>IFERROR(__xludf.DUMMYFUNCTION("""COMPUTED_VALUE""")," Telefon: +49 (0) 9493 95 92 966 Fax: +49 (0) 9493 95 92 966http://www.multi-service-monitoring.deinfo@remove-this.multi-service-monitoring.de")</f>
        <v> Telefon: +49 (0) 9493 95 92 966 Fax: +49 (0) 9493 95 92 966http://www.multi-service-monitoring.deinfo@remove-this.multi-service-monitoring.de</v>
      </c>
    </row>
    <row r="256">
      <c r="A256" s="6" t="str">
        <f>IFERROR(__xludf.DUMMYFUNCTION("""COMPUTED_VALUE""")," Category: Biotech Therapeutics &amp; Diagnostics ")</f>
        <v> Category: Biotech Therapeutics &amp; Diagnostics </v>
      </c>
      <c r="B256" s="6" t="str">
        <f>IFERROR(__xludf.DUMMYFUNCTION("""COMPUTED_VALUE""")," Keywords: Immune Therapy, Drug Development, Antibody, Cell Therapy, 
Oncology, Personalized Medicine, Imaging ")</f>
        <v> Keywords: Immune Therapy, Drug Development, Antibody, Cell Therapy, 
Oncology, Personalized Medicine, Imaging </v>
      </c>
      <c r="C256" s="6" t="str">
        <f>IFERROR(__xludf.DUMMYFUNCTION("""COMPUTED_VALUE"""),"multimmune GmbH,c/o Multhoffmultimmune GmbH ")</f>
        <v>multimmune GmbH,c/o Multhoffmultimmune GmbH </v>
      </c>
      <c r="D256" s="6" t="str">
        <f>IFERROR(__xludf.DUMMYFUNCTION("""COMPUTED_VALUE"""),"Kirchenstrasse 82 Deutschland-81675 München")</f>
        <v>Kirchenstrasse 82 Deutschland-81675 München</v>
      </c>
      <c r="E256" s="6" t="str">
        <f>IFERROR(__xludf.DUMMYFUNCTION("""COMPUTED_VALUE"""),"http://www.multimmune.comgraham.pockley@remove-this.multimmune.com")</f>
        <v>http://www.multimmune.comgraham.pockley@remove-this.multimmune.com</v>
      </c>
    </row>
    <row r="257">
      <c r="A257" s="6" t="str">
        <f>IFERROR(__xludf.DUMMYFUNCTION("""COMPUTED_VALUE""")," Category: Biotech Therapeutics &amp; Diagnostics ")</f>
        <v> Category: Biotech Therapeutics &amp; Diagnostics </v>
      </c>
      <c r="B257" s="6" t="str">
        <f>IFERROR(__xludf.DUMMYFUNCTION("""COMPUTED_VALUE"""),"Mundipharma Biologics GmbH")</f>
        <v>Mundipharma Biologics GmbH</v>
      </c>
      <c r="C257" s="6" t="str">
        <f>IFERROR(__xludf.DUMMYFUNCTION("""COMPUTED_VALUE"""),"Nymphenburger Strasse 3c Deutschland-80335 München")</f>
        <v>Nymphenburger Strasse 3c Deutschland-80335 München</v>
      </c>
      <c r="D257" s="6" t="str">
        <f>IFERROR(__xludf.DUMMYFUNCTION("""COMPUTED_VALUE""")," Telefon: +49 89 54 54 62-0https://www.mundipharma-biologics.cominfo@remove-this.mundipharma-biologics.com")</f>
        <v> Telefon: +49 89 54 54 62-0https://www.mundipharma-biologics.cominfo@remove-this.mundipharma-biologics.com</v>
      </c>
      <c r="E257" s="6"/>
    </row>
    <row r="258">
      <c r="A258" s="6" t="str">
        <f>IFERROR(__xludf.DUMMYFUNCTION("""COMPUTED_VALUE""")," Category: Biotech Therapeutics &amp; Diagnostics ")</f>
        <v> Category: Biotech Therapeutics &amp; Diagnostics </v>
      </c>
      <c r="B258" s="6" t="str">
        <f>IFERROR(__xludf.DUMMYFUNCTION("""COMPUTED_VALUE""")," Keywords: Genomics, Clinical Diagnostics, Oncology, Laboratory, NGS, 
Personalized Medicine, Bioinformatics ")</f>
        <v> Keywords: Genomics, Clinical Diagnostics, Oncology, Laboratory, NGS, 
Personalized Medicine, Bioinformatics </v>
      </c>
      <c r="C258" s="6" t="str">
        <f>IFERROR(__xludf.DUMMYFUNCTION("""COMPUTED_VALUE"""),"MVZ Martinsried GmbH")</f>
        <v>MVZ Martinsried GmbH</v>
      </c>
      <c r="D258" s="6" t="str">
        <f>IFERROR(__xludf.DUMMYFUNCTION("""COMPUTED_VALUE"""),"Lochhamer Str. 29 Deutschland-82152 Martinsried")</f>
        <v>Lochhamer Str. 29 Deutschland-82152 Martinsried</v>
      </c>
      <c r="E258" s="6" t="str">
        <f>IFERROR(__xludf.DUMMYFUNCTION("""COMPUTED_VALUE""")," Telefon: +49 (0) 89 895578-0 Fax: +49 (0) 89 895578-780http://www.medizinische-genetik.deinfo@remove-this.medizinische-genetik.de")</f>
        <v> Telefon: +49 (0) 89 895578-0 Fax: +49 (0) 89 895578-780http://www.medizinische-genetik.deinfo@remove-this.medizinische-genetik.de</v>
      </c>
    </row>
    <row r="259">
      <c r="A259" s="6" t="str">
        <f>IFERROR(__xludf.DUMMYFUNCTION("""COMPUTED_VALUE""")," Category: Biotech Preclinical Services ")</f>
        <v> Category: Biotech Preclinical Services </v>
      </c>
      <c r="B259" s="6" t="str">
        <f>IFERROR(__xludf.DUMMYFUNCTION("""COMPUTED_VALUE""")," Keywords: Cardiovascular Diseases, Diabetics, Respiratory Diseases, Drug 
Development, Pharmacokinetics, Transgenic Animals ")</f>
        <v> Keywords: Cardiovascular Diseases, Diabetics, Respiratory Diseases, Drug 
Development, Pharmacokinetics, Transgenic Animals </v>
      </c>
      <c r="C259" s="6" t="str">
        <f>IFERROR(__xludf.DUMMYFUNCTION("""COMPUTED_VALUE"""),"MWM Biomodels GmbH")</f>
        <v>MWM Biomodels GmbH</v>
      </c>
      <c r="D259" s="6" t="str">
        <f>IFERROR(__xludf.DUMMYFUNCTION("""COMPUTED_VALUE"""),"Hauptstr. 41 Deutschland-84184 Tiefenbach")</f>
        <v>Hauptstr. 41 Deutschland-84184 Tiefenbach</v>
      </c>
      <c r="E259" s="6" t="str">
        <f>IFERROR(__xludf.DUMMYFUNCTION("""COMPUTED_VALUE""")," Telefon: +49 (0) 8709 9229-0 Fax: +49 (0) 8709 9229-39http://www.mwm-biomodels.comcsimmet@remove-this.minitube.de")</f>
        <v> Telefon: +49 (0) 8709 9229-0 Fax: +49 (0) 8709 9229-39http://www.mwm-biomodels.comcsimmet@remove-this.minitube.de</v>
      </c>
    </row>
    <row r="260">
      <c r="A260" s="6" t="str">
        <f>IFERROR(__xludf.DUMMYFUNCTION("""COMPUTED_VALUE""")," Category: Biotech Therapeutics &amp; Diagnostics ")</f>
        <v> Category: Biotech Therapeutics &amp; Diagnostics </v>
      </c>
      <c r="B260" s="6" t="str">
        <f>IFERROR(__xludf.DUMMYFUNCTION("""COMPUTED_VALUE"""),"Myriad GmbH")</f>
        <v>Myriad GmbH</v>
      </c>
      <c r="C260" s="6" t="str">
        <f>IFERROR(__xludf.DUMMYFUNCTION("""COMPUTED_VALUE"""),"Fraunhoferstrasse 18a Deutschland-82152 Planegg-Martinsried")</f>
        <v>Fraunhoferstrasse 18a Deutschland-82152 Planegg-Martinsried</v>
      </c>
      <c r="D260" s="7" t="str">
        <f>IFERROR(__xludf.DUMMYFUNCTION("""COMPUTED_VALUE"""),"https://www.myriad.com")</f>
        <v>https://www.myriad.com</v>
      </c>
      <c r="E260" s="6"/>
    </row>
    <row r="261">
      <c r="A261" s="6" t="str">
        <f>IFERROR(__xludf.DUMMYFUNCTION("""COMPUTED_VALUE""")," Category: Biotech Therapeutics &amp; Diagnostics ")</f>
        <v> Category: Biotech Therapeutics &amp; Diagnostics </v>
      </c>
      <c r="B261" s="6" t="str">
        <f>IFERROR(__xludf.DUMMYFUNCTION("""COMPUTED_VALUE""")," Keywords: Genomics, Clinical Diagnostics, Oncology, Molecular Diagnostics, 
Personalized Medicine ")</f>
        <v> Keywords: Genomics, Clinical Diagnostics, Oncology, Molecular Diagnostics, 
Personalized Medicine </v>
      </c>
      <c r="C261" s="6" t="str">
        <f>IFERROR(__xludf.DUMMYFUNCTION("""COMPUTED_VALUE"""),"Myriad Service GmbH")</f>
        <v>Myriad Service GmbH</v>
      </c>
      <c r="D261" s="6" t="str">
        <f>IFERROR(__xludf.DUMMYFUNCTION("""COMPUTED_VALUE"""),"Staffelseestraße 6 Deutschland-81477 München")</f>
        <v>Staffelseestraße 6 Deutschland-81477 München</v>
      </c>
      <c r="E261" s="6" t="str">
        <f>IFERROR(__xludf.DUMMYFUNCTION("""COMPUTED_VALUE""")," Telefon: +49 (0) 89 414 1424-00 Fax: +49 (0) 89 8757 8170http://www.myriad.cominfo@remove-this.myriadgenetics.de")</f>
        <v> Telefon: +49 (0) 89 414 1424-00 Fax: +49 (0) 89 8757 8170http://www.myriad.cominfo@remove-this.myriadgenetics.de</v>
      </c>
    </row>
    <row r="262">
      <c r="A262" s="6" t="str">
        <f>IFERROR(__xludf.DUMMYFUNCTION("""COMPUTED_VALUE""")," Category: Biotech Devices &amp; Reagents ")</f>
        <v> Category: Biotech Devices &amp; Reagents </v>
      </c>
      <c r="B262" s="6" t="str">
        <f>IFERROR(__xludf.DUMMYFUNCTION("""COMPUTED_VALUE""")," Keywords: Nanobiotechnology, Devices ")</f>
        <v> Keywords: Nanobiotechnology, Devices </v>
      </c>
      <c r="C262" s="6" t="str">
        <f>IFERROR(__xludf.DUMMYFUNCTION("""COMPUTED_VALUE"""),"Nanion Technologies GmbH")</f>
        <v>Nanion Technologies GmbH</v>
      </c>
      <c r="D262" s="6" t="str">
        <f>IFERROR(__xludf.DUMMYFUNCTION("""COMPUTED_VALUE"""),"Ganghoferstraße 70a Deutschland-80339 München")</f>
        <v>Ganghoferstraße 70a Deutschland-80339 München</v>
      </c>
      <c r="E262" s="6" t="str">
        <f>IFERROR(__xludf.DUMMYFUNCTION("""COMPUTED_VALUE""")," Telefon: +49 (0) 89 2190 95-0 Fax: +49 (0) 89 2189 97-960http://www.nanion.deinfo@remove-this.nanion.de")</f>
        <v> Telefon: +49 (0) 89 2190 95-0 Fax: +49 (0) 89 2189 97-960http://www.nanion.deinfo@remove-this.nanion.de</v>
      </c>
    </row>
    <row r="263">
      <c r="A263" s="6" t="str">
        <f>IFERROR(__xludf.DUMMYFUNCTION("""COMPUTED_VALUE""")," Category: Biotech Therapeutics &amp; Diagnostics ")</f>
        <v> Category: Biotech Therapeutics &amp; Diagnostics </v>
      </c>
      <c r="B263" s="6" t="str">
        <f>IFERROR(__xludf.DUMMYFUNCTION("""COMPUTED_VALUE"""),"Nanohale GmbH")</f>
        <v>Nanohale GmbH</v>
      </c>
      <c r="C263" s="6" t="str">
        <f>IFERROR(__xludf.DUMMYFUNCTION("""COMPUTED_VALUE"""),"Fraunhoferstr. 15 Deutschland-82152 Martinsried")</f>
        <v>Fraunhoferstr. 15 Deutschland-82152 Martinsried</v>
      </c>
      <c r="D263" s="6"/>
      <c r="E263" s="6"/>
    </row>
    <row r="264">
      <c r="A264" s="6" t="str">
        <f>IFERROR(__xludf.DUMMYFUNCTION("IMPORTXML(N1,A2)")," Category: Biotech Devices &amp; Reagents ")</f>
        <v> Category: Biotech Devices &amp; Reagents </v>
      </c>
      <c r="B264" s="6" t="str">
        <f>IFERROR(__xludf.DUMMYFUNCTION("""COMPUTED_VALUE""")," Keywords: Drug Development, Vaccines, Devices, Automation, Bioanalytics, 
Bioprocessing ")</f>
        <v> Keywords: Drug Development, Vaccines, Devices, Automation, Bioanalytics, 
Bioprocessing </v>
      </c>
      <c r="C264" s="6" t="str">
        <f>IFERROR(__xludf.DUMMYFUNCTION("""COMPUTED_VALUE"""),"NanoTemper Technologies GmbH")</f>
        <v>NanoTemper Technologies GmbH</v>
      </c>
      <c r="D264" s="6" t="str">
        <f>IFERROR(__xludf.DUMMYFUNCTION("""COMPUTED_VALUE"""),"Flößergasse 4 Deutschland-81369 München")</f>
        <v>Flößergasse 4 Deutschland-81369 München</v>
      </c>
      <c r="E264" s="6" t="str">
        <f>IFERROR(__xludf.DUMMYFUNCTION("""COMPUTED_VALUE""")," Telefon: +49 (0) 89 452 2895-0 Fax: +49 (0) 89 452 2895-60http://www.nanotempertech.cominfo@remove-this.nanotempertech.com")</f>
        <v> Telefon: +49 (0) 89 452 2895-0 Fax: +49 (0) 89 452 2895-60http://www.nanotempertech.cominfo@remove-this.nanotempertech.com</v>
      </c>
    </row>
    <row r="265">
      <c r="A265" s="6" t="str">
        <f>IFERROR(__xludf.DUMMYFUNCTION("""COMPUTED_VALUE""")," Category: Pharma &amp; Chemical Industry ")</f>
        <v> Category: Pharma &amp; Chemical Industry </v>
      </c>
      <c r="B265" s="6" t="str">
        <f>IFERROR(__xludf.DUMMYFUNCTION("""COMPUTED_VALUE"""),"NAWA HEILMITTEL GmbH")</f>
        <v>NAWA HEILMITTEL GmbH</v>
      </c>
      <c r="C265" s="6" t="str">
        <f>IFERROR(__xludf.DUMMYFUNCTION("""COMPUTED_VALUE"""),"Ostendstrasse 100 Deutschland-90482 Nürnberg")</f>
        <v>Ostendstrasse 100 Deutschland-90482 Nürnberg</v>
      </c>
      <c r="D265" s="6" t="str">
        <f>IFERROR(__xludf.DUMMYFUNCTION("""COMPUTED_VALUE""")," Telefon: +49 (0) 911-544 41-10 Fax: +49 (0) 911-544 41-11http://www.nawa.cominfo@remove-this.nawa.com")</f>
        <v> Telefon: +49 (0) 911-544 41-10 Fax: +49 (0) 911-544 41-11http://www.nawa.cominfo@remove-this.nawa.com</v>
      </c>
      <c r="E265" s="6"/>
    </row>
    <row r="266">
      <c r="A266" s="6" t="str">
        <f>IFERROR(__xludf.DUMMYFUNCTION("""COMPUTED_VALUE""")," Category: CRO ")</f>
        <v> Category: CRO </v>
      </c>
      <c r="B266" s="6" t="str">
        <f>IFERROR(__xludf.DUMMYFUNCTION("""COMPUTED_VALUE""")," Keywords: Drug Development, Pharmacovigiliance, Regulatory Affairs, 
Medical Writing ")</f>
        <v> Keywords: Drug Development, Pharmacovigiliance, Regulatory Affairs, 
Medical Writing </v>
      </c>
      <c r="C266" s="6" t="str">
        <f>IFERROR(__xludf.DUMMYFUNCTION("""COMPUTED_VALUE"""),"NDA Regulatory Service GmbH")</f>
        <v>NDA Regulatory Service GmbH</v>
      </c>
      <c r="D266" s="6" t="str">
        <f>IFERROR(__xludf.DUMMYFUNCTION("""COMPUTED_VALUE"""),"Neumarkter Straße 18 Deutschland-81673 München")</f>
        <v>Neumarkter Straße 18 Deutschland-81673 München</v>
      </c>
      <c r="E266" s="6" t="str">
        <f>IFERROR(__xludf.DUMMYFUNCTION("""COMPUTED_VALUE""")," Telefon: +49 (0) 89 3585 4000 Fax: +49 (0) 89 3585 4010http://www.ndareg.communich@remove-this.ndareg.com")</f>
        <v> Telefon: +49 (0) 89 3585 4000 Fax: +49 (0) 89 3585 4010http://www.ndareg.communich@remove-this.ndareg.com</v>
      </c>
    </row>
    <row r="267">
      <c r="A267" s="6" t="str">
        <f>IFERROR(__xludf.DUMMYFUNCTION("""COMPUTED_VALUE""")," Category: Biotech Therapeutics &amp; Diagnostics ")</f>
        <v> Category: Biotech Therapeutics &amp; Diagnostics </v>
      </c>
      <c r="B267" s="6" t="str">
        <f>IFERROR(__xludf.DUMMYFUNCTION("""COMPUTED_VALUE""")," Keywords: Hematology, Immune Therapy, Drug Development, Antibody, Oncology ")</f>
        <v> Keywords: Hematology, Immune Therapy, Drug Development, Antibody, Oncology </v>
      </c>
      <c r="C267" s="6" t="str">
        <f>IFERROR(__xludf.DUMMYFUNCTION("""COMPUTED_VALUE"""),"Neovii Biotech GmbH")</f>
        <v>Neovii Biotech GmbH</v>
      </c>
      <c r="D267" s="6" t="str">
        <f>IFERROR(__xludf.DUMMYFUNCTION("""COMPUTED_VALUE"""),"Am Haag 6+7 Deutschland-82166 Gräfelfing")</f>
        <v>Am Haag 6+7 Deutschland-82166 Gräfelfing</v>
      </c>
      <c r="E267" s="6" t="str">
        <f>IFERROR(__xludf.DUMMYFUNCTION("""COMPUTED_VALUE""")," Telefon: +49 (0) 89 898888-0 Fax: +49 (0) 89 89 8888-619http://www.neovii.cominfo.germany@remove-this.neovii.com")</f>
        <v> Telefon: +49 (0) 89 898888-0 Fax: +49 (0) 89 89 8888-619http://www.neovii.cominfo.germany@remove-this.neovii.com</v>
      </c>
    </row>
    <row r="268">
      <c r="A268" s="6" t="str">
        <f>IFERROR(__xludf.DUMMYFUNCTION("""COMPUTED_VALUE""")," Category: Biotech Agro, Food, Environment ")</f>
        <v> Category: Biotech Agro, Food, Environment </v>
      </c>
      <c r="B268" s="6" t="str">
        <f>IFERROR(__xludf.DUMMYFUNCTION("""COMPUTED_VALUE""")," Keywords: Endocrinology, Toxicology, Bioanalytics, In-Vitro-Diagnostics ")</f>
        <v> Keywords: Endocrinology, Toxicology, Bioanalytics, In-Vitro-Diagnostics </v>
      </c>
      <c r="C268" s="6" t="str">
        <f>IFERROR(__xludf.DUMMYFUNCTION("""COMPUTED_VALUE"""),"new_diagnostics GmbH")</f>
        <v>new_diagnostics GmbH</v>
      </c>
      <c r="D268" s="6" t="str">
        <f>IFERROR(__xludf.DUMMYFUNCTION("""COMPUTED_VALUE"""),"Moosstr. 92 c Deutschland-85356 Freising")</f>
        <v>Moosstr. 92 c Deutschland-85356 Freising</v>
      </c>
      <c r="E268" s="6" t="str">
        <f>IFERROR(__xludf.DUMMYFUNCTION("""COMPUTED_VALUE""")," Telefon: +49 8161 8870979 Fax: +49 8161 8878332http://www.new-diagnostics.commena.eidens@remove-this.new-diagnostics.com")</f>
        <v> Telefon: +49 8161 8870979 Fax: +49 8161 8878332http://www.new-diagnostics.commena.eidens@remove-this.new-diagnostics.com</v>
      </c>
    </row>
    <row r="269">
      <c r="A269" s="6" t="str">
        <f>IFERROR(__xludf.DUMMYFUNCTION("""COMPUTED_VALUE""")," Category: Biotech Devices &amp; Reagents ")</f>
        <v> Category: Biotech Devices &amp; Reagents </v>
      </c>
      <c r="B269" s="6" t="str">
        <f>IFERROR(__xludf.DUMMYFUNCTION("""COMPUTED_VALUE""")," Keywords: Genomics, Devices, Automation, Laboratory ")</f>
        <v> Keywords: Genomics, Devices, Automation, Laboratory </v>
      </c>
      <c r="C269" s="6" t="str">
        <f>IFERROR(__xludf.DUMMYFUNCTION("""COMPUTED_VALUE"""),"nexttec GmbH")</f>
        <v>nexttec GmbH</v>
      </c>
      <c r="D269" s="6" t="str">
        <f>IFERROR(__xludf.DUMMYFUNCTION("""COMPUTED_VALUE"""),"Larezhausen 2 Deutschland-86567 Hilgertshausen")</f>
        <v>Larezhausen 2 Deutschland-86567 Hilgertshausen</v>
      </c>
      <c r="E269" s="6" t="str">
        <f>IFERROR(__xludf.DUMMYFUNCTION("""COMPUTED_VALUE""")," Telefon: +49 (0) 8250-92 790 32 Fax: +49 (0) 8250-92 790 99http://www.nexttec.bizservice@remove-this.nexttec.biz")</f>
        <v> Telefon: +49 (0) 8250-92 790 32 Fax: +49 (0) 8250-92 790 99http://www.nexttec.bizservice@remove-this.nexttec.biz</v>
      </c>
    </row>
    <row r="270">
      <c r="A270" s="6" t="str">
        <f>IFERROR(__xludf.DUMMYFUNCTION("""COMPUTED_VALUE""")," Category: Biotech Bioinformatics ")</f>
        <v> Category: Biotech Bioinformatics </v>
      </c>
      <c r="B270" s="6" t="str">
        <f>IFERROR(__xludf.DUMMYFUNCTION("""COMPUTED_VALUE"""),"Noona Healthcare")</f>
        <v>Noona Healthcare</v>
      </c>
      <c r="C270" s="6" t="str">
        <f>IFERROR(__xludf.DUMMYFUNCTION("""COMPUTED_VALUE"""),"Herzogstrasse 60 Deutschland-80803 München")</f>
        <v>Herzogstrasse 60 Deutschland-80803 München</v>
      </c>
      <c r="D270" s="6" t="str">
        <f>IFERROR(__xludf.DUMMYFUNCTION("""COMPUTED_VALUE""")," Telefon: +49 89 809135749https://www.noona.comcareers-europe@remove-this.noona.com")</f>
        <v> Telefon: +49 89 809135749https://www.noona.comcareers-europe@remove-this.noona.com</v>
      </c>
      <c r="E270" s="6"/>
    </row>
    <row r="271">
      <c r="A271" s="6" t="str">
        <f>IFERROR(__xludf.DUMMYFUNCTION("""COMPUTED_VALUE""")," Category: Biotech Therapeutics &amp; Diagnostics ")</f>
        <v> Category: Biotech Therapeutics &amp; Diagnostics </v>
      </c>
      <c r="B271" s="6" t="str">
        <f>IFERROR(__xludf.DUMMYFUNCTION("""COMPUTED_VALUE"""),"Novartis Pharma GmbH")</f>
        <v>Novartis Pharma GmbH</v>
      </c>
      <c r="C271" s="6" t="str">
        <f>IFERROR(__xludf.DUMMYFUNCTION("""COMPUTED_VALUE"""),"Roonstr. 25 Deutschland-90429 Nürnberg")</f>
        <v>Roonstr. 25 Deutschland-90429 Nürnberg</v>
      </c>
      <c r="D271" s="6" t="str">
        <f>IFERROR(__xludf.DUMMYFUNCTION("""COMPUTED_VALUE""")," Telefon: +49 (0) 911 273-0 Fax: +49 (0) 911 273-12653http://www.novartis.deangelika.gaufer@remove-this.novartis.com")</f>
        <v> Telefon: +49 (0) 911 273-0 Fax: +49 (0) 911 273-12653http://www.novartis.deangelika.gaufer@remove-this.novartis.com</v>
      </c>
      <c r="E271" s="6"/>
    </row>
    <row r="272">
      <c r="A272" s="6" t="str">
        <f>IFERROR(__xludf.DUMMYFUNCTION("""COMPUTED_VALUE""")," Category: Biotech ")</f>
        <v> Category: Biotech </v>
      </c>
      <c r="B272" s="6" t="str">
        <f>IFERROR(__xludf.DUMMYFUNCTION("""COMPUTED_VALUE"""),"Nucleus Medical GmbH")</f>
        <v>Nucleus Medical GmbH</v>
      </c>
      <c r="C272" s="6" t="str">
        <f>IFERROR(__xludf.DUMMYFUNCTION("""COMPUTED_VALUE"""),"Am Wildwechsel 7a Deutschland-82031 Grünwald")</f>
        <v>Am Wildwechsel 7a Deutschland-82031 Grünwald</v>
      </c>
      <c r="D272" s="7" t="str">
        <f>IFERROR(__xludf.DUMMYFUNCTION("""COMPUTED_VALUE"""),"http://www.nucleusmed.eu/")</f>
        <v>http://www.nucleusmed.eu/</v>
      </c>
      <c r="E272" s="6"/>
    </row>
    <row r="273">
      <c r="A273" s="6" t="str">
        <f>IFERROR(__xludf.DUMMYFUNCTION("""COMPUTED_VALUE""")," Category: Pharma &amp; Chemical Industry ")</f>
        <v> Category: Pharma &amp; Chemical Industry </v>
      </c>
      <c r="B273" s="6" t="str">
        <f>IFERROR(__xludf.DUMMYFUNCTION("""COMPUTED_VALUE""")," Keywords: Drug Development, Pharmacokinetics, Antibody, Small Molecules, 
ELISA/EIA ")</f>
        <v> Keywords: Drug Development, Pharmacokinetics, Antibody, Small Molecules, 
ELISA/EIA </v>
      </c>
      <c r="C273" s="6" t="str">
        <f>IFERROR(__xludf.DUMMYFUNCTION("""COMPUTED_VALUE"""),"Nuvisan GmbH")</f>
        <v>Nuvisan GmbH</v>
      </c>
      <c r="D273" s="6" t="str">
        <f>IFERROR(__xludf.DUMMYFUNCTION("""COMPUTED_VALUE"""),"Am Feld 30-32 Deutschland-85567 Grafing")</f>
        <v>Am Feld 30-32 Deutschland-85567 Grafing</v>
      </c>
      <c r="E273" s="6" t="str">
        <f>IFERROR(__xludf.DUMMYFUNCTION("""COMPUTED_VALUE""")," Telefon: +49 (0) 8092 7008-0 Fax: +49 (0) 8092 7008-99http://www.nuvisan.combdinfo@remove-this.nuvisan.com")</f>
        <v> Telefon: +49 (0) 8092 7008-0 Fax: +49 (0) 8092 7008-99http://www.nuvisan.combdinfo@remove-this.nuvisan.com</v>
      </c>
    </row>
    <row r="274">
      <c r="A274" s="6" t="str">
        <f>IFERROR(__xludf.DUMMYFUNCTION("""COMPUTED_VALUE""")," Category: CRO ")</f>
        <v> Category: CRO </v>
      </c>
      <c r="B274" s="6" t="str">
        <f>IFERROR(__xludf.DUMMYFUNCTION("""COMPUTED_VALUE""")," Keywords: Pharmacology, Toxicology ")</f>
        <v> Keywords: Pharmacology, Toxicology </v>
      </c>
      <c r="C274" s="6" t="str">
        <f>IFERROR(__xludf.DUMMYFUNCTION("""COMPUTED_VALUE"""),"OligoPep Technology e.K.")</f>
        <v>OligoPep Technology e.K.</v>
      </c>
      <c r="D274" s="6" t="str">
        <f>IFERROR(__xludf.DUMMYFUNCTION("""COMPUTED_VALUE"""),"Am Kirchfeld 4 Deutschland-94094 Rotthalmuenster")</f>
        <v>Am Kirchfeld 4 Deutschland-94094 Rotthalmuenster</v>
      </c>
      <c r="E274" s="6"/>
    </row>
    <row r="275">
      <c r="A275" s="6" t="str">
        <f>IFERROR(__xludf.DUMMYFUNCTION("""COMPUTED_VALUE""")," Category: Biotech Therapeutics &amp; Diagnostics ")</f>
        <v> Category: Biotech Therapeutics &amp; Diagnostics </v>
      </c>
      <c r="B275" s="6" t="str">
        <f>IFERROR(__xludf.DUMMYFUNCTION("""COMPUTED_VALUE"""),"Omegametrix GmbH")</f>
        <v>Omegametrix GmbH</v>
      </c>
      <c r="C275" s="6" t="str">
        <f>IFERROR(__xludf.DUMMYFUNCTION("""COMPUTED_VALUE"""),"Am Klopferspitz 19 Deutschland-82152 Martinsried")</f>
        <v>Am Klopferspitz 19 Deutschland-82152 Martinsried</v>
      </c>
      <c r="D275" s="6" t="str">
        <f>IFERROR(__xludf.DUMMYFUNCTION("""COMPUTED_VALUE""")," Telefon: +49 (0) 89 5506 3007 Fax: +49 (0) 89 5506 3008http://www.omegametrix.euinfo@remove-this.omegametrix.eu")</f>
        <v> Telefon: +49 (0) 89 5506 3007 Fax: +49 (0) 89 5506 3008http://www.omegametrix.euinfo@remove-this.omegametrix.eu</v>
      </c>
      <c r="E275" s="6"/>
    </row>
    <row r="276">
      <c r="A276" s="6" t="str">
        <f>IFERROR(__xludf.DUMMYFUNCTION("""COMPUTED_VALUE""")," Category: Biotech DNA/Protein Analytics ")</f>
        <v> Category: Biotech DNA/Protein Analytics </v>
      </c>
      <c r="B276" s="6" t="str">
        <f>IFERROR(__xludf.DUMMYFUNCTION("""COMPUTED_VALUE"""),"OmicEra Diagnostics GmbH")</f>
        <v>OmicEra Diagnostics GmbH</v>
      </c>
      <c r="C276" s="6" t="str">
        <f>IFERROR(__xludf.DUMMYFUNCTION("""COMPUTED_VALUE"""),"Behringstr. 6 Deutschland-82152 Planegg")</f>
        <v>Behringstr. 6 Deutschland-82152 Planegg</v>
      </c>
      <c r="D276" s="6" t="str">
        <f>IFERROR(__xludf.DUMMYFUNCTION("""COMPUTED_VALUE"""),"https://www.omicera.cominfo@remove-this.omicera.com")</f>
        <v>https://www.omicera.cominfo@remove-this.omicera.com</v>
      </c>
      <c r="E276" s="6"/>
    </row>
    <row r="277">
      <c r="A277" s="6" t="str">
        <f>IFERROR(__xludf.DUMMYFUNCTION("""COMPUTED_VALUE""")," Category: Biotech Bioinformatics ")</f>
        <v> Category: Biotech Bioinformatics </v>
      </c>
      <c r="B277" s="6" t="str">
        <f>IFERROR(__xludf.DUMMYFUNCTION("""COMPUTED_VALUE""")," Keywords: Proteomics, Drug Development, Pharmacogenomics, Bioinformatics ")</f>
        <v> Keywords: Proteomics, Drug Development, Pharmacogenomics, Bioinformatics </v>
      </c>
      <c r="C277" s="6" t="str">
        <f>IFERROR(__xludf.DUMMYFUNCTION("""COMPUTED_VALUE"""),"OmicScouts GmbH")</f>
        <v>OmicScouts GmbH</v>
      </c>
      <c r="D277" s="6" t="str">
        <f>IFERROR(__xludf.DUMMYFUNCTION("""COMPUTED_VALUE"""),"Lise-Meitner-Str. 30 Deutschland-85354 Freising")</f>
        <v>Lise-Meitner-Str. 30 Deutschland-85354 Freising</v>
      </c>
      <c r="E277" s="6" t="str">
        <f>IFERROR(__xludf.DUMMYFUNCTION("""COMPUTED_VALUE""")," Telefon: +49-8161-976289-0http://www.omicscouts.cominfo@remove-this.omicScouts.com")</f>
        <v> Telefon: +49-8161-976289-0http://www.omicscouts.cominfo@remove-this.omicScouts.com</v>
      </c>
    </row>
    <row r="278">
      <c r="A278" s="6" t="str">
        <f>IFERROR(__xludf.DUMMYFUNCTION("""COMPUTED_VALUE""")," Category: Biotech Therapeutics &amp; Diagnostics ")</f>
        <v> Category: Biotech Therapeutics &amp; Diagnostics </v>
      </c>
      <c r="B278" s="6" t="str">
        <f>IFERROR(__xludf.DUMMYFUNCTION("""COMPUTED_VALUE""")," Keywords: Drug Development, Clinical Diagnostics, Oncology ")</f>
        <v> Keywords: Drug Development, Clinical Diagnostics, Oncology </v>
      </c>
      <c r="C278" s="6" t="str">
        <f>IFERROR(__xludf.DUMMYFUNCTION("""COMPUTED_VALUE"""),"OncoLead GmbH &amp; Co. KG")</f>
        <v>OncoLead GmbH &amp; Co. KG</v>
      </c>
      <c r="D278" s="6" t="str">
        <f>IFERROR(__xludf.DUMMYFUNCTION("""COMPUTED_VALUE"""),"Zugspitzstr. 5 Deutschland-85757 München-Karlsfeld")</f>
        <v>Zugspitzstr. 5 Deutschland-85757 München-Karlsfeld</v>
      </c>
      <c r="E278" s="6" t="str">
        <f>IFERROR(__xludf.DUMMYFUNCTION("""COMPUTED_VALUE""")," Telefon: +49 (0) 151 2062 1612 Fax: +49 (0) 89 3801 22159http://www.oncolead.comrequest4more@remove-this.oncolead.com")</f>
        <v> Telefon: +49 (0) 151 2062 1612 Fax: +49 (0) 89 3801 22159http://www.oncolead.comrequest4more@remove-this.oncolead.com</v>
      </c>
    </row>
    <row r="279">
      <c r="A279" s="6" t="str">
        <f>IFERROR(__xludf.DUMMYFUNCTION("""COMPUTED_VALUE""")," Category: Biotech Therapeutics &amp; Diagnostics ")</f>
        <v> Category: Biotech Therapeutics &amp; Diagnostics </v>
      </c>
      <c r="B279" s="6" t="str">
        <f>IFERROR(__xludf.DUMMYFUNCTION("""COMPUTED_VALUE""")," Keywords: Genomics, NGS, Bioinformatics ")</f>
        <v> Keywords: Genomics, NGS, Bioinformatics </v>
      </c>
      <c r="C279" s="6" t="str">
        <f>IFERROR(__xludf.DUMMYFUNCTION("""COMPUTED_VALUE"""),"Oncompass Medicine GmbH")</f>
        <v>Oncompass Medicine GmbH</v>
      </c>
      <c r="D279" s="6" t="str">
        <f>IFERROR(__xludf.DUMMYFUNCTION("""COMPUTED_VALUE"""),"Bodenseestr. 3a Deutschland-81241 München")</f>
        <v>Bodenseestr. 3a Deutschland-81241 München</v>
      </c>
      <c r="E279" s="6" t="str">
        <f>IFERROR(__xludf.DUMMYFUNCTION("""COMPUTED_VALUE""")," Telefon: +49 89 820 75300http://www.oncompassdx.deinfo@remove-this.oncompassdx.de")</f>
        <v> Telefon: +49 89 820 75300http://www.oncompassdx.deinfo@remove-this.oncompassdx.de</v>
      </c>
    </row>
    <row r="280">
      <c r="A280" s="6" t="str">
        <f>IFERROR(__xludf.DUMMYFUNCTION("""COMPUTED_VALUE""")," Category: CRO ")</f>
        <v> Category: CRO </v>
      </c>
      <c r="B280" s="6" t="str">
        <f>IFERROR(__xludf.DUMMYFUNCTION("""COMPUTED_VALUE""")," Keywords: Regulatory Affairs, Pharmacovigilance, Clinical Trial Management 
and Monitoring, Data Management and Biostatistics, Medical Writing ")</f>
        <v> Keywords: Regulatory Affairs, Pharmacovigilance, Clinical Trial Management 
and Monitoring, Data Management and Biostatistics, Medical Writing </v>
      </c>
      <c r="C280" s="6" t="str">
        <f>IFERROR(__xludf.DUMMYFUNCTION("""COMPUTED_VALUE"""),"OPIS Germany GmbH")</f>
        <v>OPIS Germany GmbH</v>
      </c>
      <c r="D280" s="6" t="str">
        <f>IFERROR(__xludf.DUMMYFUNCTION("""COMPUTED_VALUE"""),"Theatinerstraße 11 8. Stock Deutschland-80333 München")</f>
        <v>Theatinerstraße 11 8. Stock Deutschland-80333 München</v>
      </c>
      <c r="E280" s="6" t="str">
        <f>IFERROR(__xludf.DUMMYFUNCTION("""COMPUTED_VALUE""")," Telefon: +49 89 7104 220 45 Fax: +49 89 9439 923 18http://www.opis-europe.comgermany@remove-this.opiseurope.com")</f>
        <v> Telefon: +49 89 7104 220 45 Fax: +49 89 9439 923 18http://www.opis-europe.comgermany@remove-this.opiseurope.com</v>
      </c>
    </row>
    <row r="281">
      <c r="A281" s="6" t="str">
        <f>IFERROR(__xludf.DUMMYFUNCTION("""COMPUTED_VALUE""")," Category: CRO ")</f>
        <v> Category: CRO </v>
      </c>
      <c r="B281" s="6" t="str">
        <f>IFERROR(__xludf.DUMMYFUNCTION("""COMPUTED_VALUE""")," Keywords: Autoimmune Diseases, Cardiovascular Diseases, Hematology, 
Respiratory Diseases, Ophtalmology, Oncology ")</f>
        <v> Keywords: Autoimmune Diseases, Cardiovascular Diseases, Hematology, 
Respiratory Diseases, Ophtalmology, Oncology </v>
      </c>
      <c r="C281" s="6" t="str">
        <f>IFERROR(__xludf.DUMMYFUNCTION("""COMPUTED_VALUE"""),"Optimapharm Deutschland GmbH")</f>
        <v>Optimapharm Deutschland GmbH</v>
      </c>
      <c r="D281" s="6" t="str">
        <f>IFERROR(__xludf.DUMMYFUNCTION("""COMPUTED_VALUE"""),"Landsberger Str. 23/25 Deutschland-82110 Germering")</f>
        <v>Landsberger Str. 23/25 Deutschland-82110 Germering</v>
      </c>
      <c r="E281" s="6" t="str">
        <f>IFERROR(__xludf.DUMMYFUNCTION("""COMPUTED_VALUE""")," Telefon: +49 (0) 89 800650-0 Fax: +49 (0) 89 800650-555http://www.cro-sss.euinfo@remove-this.cro-sss.de")</f>
        <v> Telefon: +49 (0) 89 800650-0 Fax: +49 (0) 89 800650-555http://www.cro-sss.euinfo@remove-this.cro-sss.de</v>
      </c>
    </row>
    <row r="282">
      <c r="A282" s="6" t="str">
        <f>IFERROR(__xludf.DUMMYFUNCTION("""COMPUTED_VALUE""")," Category: Biotech Therapeutics &amp; Diagnostics ")</f>
        <v> Category: Biotech Therapeutics &amp; Diagnostics </v>
      </c>
      <c r="B282" s="6" t="str">
        <f>IFERROR(__xludf.DUMMYFUNCTION("""COMPUTED_VALUE""")," Keywords: Combinatorics, Combinatorial Chemistry, Medicinal Chemistry, 
Automation, Molecular Modelling ")</f>
        <v> Keywords: Combinatorics, Combinatorial Chemistry, Medicinal Chemistry, 
Automation, Molecular Modelling </v>
      </c>
      <c r="C282" s="6" t="str">
        <f>IFERROR(__xludf.DUMMYFUNCTION("""COMPUTED_VALUE"""),"origenis GmbH")</f>
        <v>origenis GmbH</v>
      </c>
      <c r="D282" s="6" t="str">
        <f>IFERROR(__xludf.DUMMYFUNCTION("""COMPUTED_VALUE"""),"Am Klopferspitz 19 a Deutschland-82152 Martinsried")</f>
        <v>Am Klopferspitz 19 a Deutschland-82152 Martinsried</v>
      </c>
      <c r="E282" s="6" t="str">
        <f>IFERROR(__xludf.DUMMYFUNCTION("""COMPUTED_VALUE""")," Telefon: +49 (0) 89 780 1676-0 Fax: +49 (0) 89 780 1676-777http://www.origenis.deinfo@remove-this.origenis.de")</f>
        <v> Telefon: +49 (0) 89 780 1676-0 Fax: +49 (0) 89 780 1676-777http://www.origenis.deinfo@remove-this.origenis.de</v>
      </c>
    </row>
    <row r="283">
      <c r="A283" s="6" t="str">
        <f>IFERROR(__xludf.DUMMYFUNCTION("""COMPUTED_VALUE""")," Category: Biotech Therapeutics &amp; Diagnostics ")</f>
        <v> Category: Biotech Therapeutics &amp; Diagnostics </v>
      </c>
      <c r="B283" s="6" t="str">
        <f>IFERROR(__xludf.DUMMYFUNCTION("""COMPUTED_VALUE"""),"ORYX GmbH &amp; Co. KG")</f>
        <v>ORYX GmbH &amp; Co. KG</v>
      </c>
      <c r="C283" s="6" t="str">
        <f>IFERROR(__xludf.DUMMYFUNCTION("""COMPUTED_VALUE"""),"Marktplatz 1 Deutschland-85598 Baldham")</f>
        <v>Marktplatz 1 Deutschland-85598 Baldham</v>
      </c>
      <c r="D283" s="6" t="str">
        <f>IFERROR(__xludf.DUMMYFUNCTION("""COMPUTED_VALUE""")," Telefon: +49-8106-21 311-0 Fax: +49-8106-21 311-66http://www.oryx-medicine.com/info@remove-this.oryx-medicine.com")</f>
        <v> Telefon: +49-8106-21 311-0 Fax: +49-8106-21 311-66http://www.oryx-medicine.com/info@remove-this.oryx-medicine.com</v>
      </c>
      <c r="E283" s="6"/>
    </row>
    <row r="284">
      <c r="A284" s="6" t="str">
        <f>IFERROR(__xludf.DUMMYFUNCTION("IMPORTXML(O1,A2)")," Category: Pharma &amp; Chemical Industry ")</f>
        <v> Category: Pharma &amp; Chemical Industry </v>
      </c>
      <c r="B284" s="6" t="str">
        <f>IFERROR(__xludf.DUMMYFUNCTION("""COMPUTED_VALUE""")," Keywords: Infectious Diseases, Drug Development, Clinical Diagnostics, 
Antibiotics ")</f>
        <v> Keywords: Infectious Diseases, Drug Development, Clinical Diagnostics, 
Antibiotics </v>
      </c>
      <c r="C284" s="6" t="str">
        <f>IFERROR(__xludf.DUMMYFUNCTION("""COMPUTED_VALUE"""),"Otsuka Novel Products GmbH")</f>
        <v>Otsuka Novel Products GmbH</v>
      </c>
      <c r="D284" s="6" t="str">
        <f>IFERROR(__xludf.DUMMYFUNCTION("""COMPUTED_VALUE"""),"Erika-Mann-Str. 21 Deutschland-80636 München")</f>
        <v>Erika-Mann-Str. 21 Deutschland-80636 München</v>
      </c>
      <c r="E284" s="6" t="str">
        <f>IFERROR(__xludf.DUMMYFUNCTION("""COMPUTED_VALUE""")," Telefon: +49 (0) 89 2060205 50 Fax: +49 (0) 89 2060205 55http://otsuka-onpg.comreception@remove-this.otsuka-onpg.com")</f>
        <v> Telefon: +49 (0) 89 2060205 50 Fax: +49 (0) 89 2060205 55http://otsuka-onpg.comreception@remove-this.otsuka-onpg.com</v>
      </c>
    </row>
    <row r="285">
      <c r="A285" s="6" t="str">
        <f>IFERROR(__xludf.DUMMYFUNCTION("""COMPUTED_VALUE""")," Category: Biotech Devices &amp; Reagents ")</f>
        <v> Category: Biotech Devices &amp; Reagents </v>
      </c>
      <c r="B285" s="6" t="str">
        <f>IFERROR(__xludf.DUMMYFUNCTION("""COMPUTED_VALUE"""),"Oxford BioLabs Ltd.")</f>
        <v>Oxford BioLabs Ltd.</v>
      </c>
      <c r="C285" s="6" t="str">
        <f>IFERROR(__xludf.DUMMYFUNCTION("""COMPUTED_VALUE"""),"Am BioPark 9 Deutschland-93053 Regensburg")</f>
        <v>Am BioPark 9 Deutschland-93053 Regensburg</v>
      </c>
      <c r="D285" s="6" t="str">
        <f>IFERROR(__xludf.DUMMYFUNCTION("""COMPUTED_VALUE""")," Telefon: +49 (0)941 64079102 Fax: +49 (0)941 5059001http://www.oxfordbiolabs.comkontakt@remove-this.oxfordbiolabs.com")</f>
        <v> Telefon: +49 (0)941 64079102 Fax: +49 (0)941 5059001http://www.oxfordbiolabs.comkontakt@remove-this.oxfordbiolabs.com</v>
      </c>
      <c r="E285" s="6"/>
    </row>
    <row r="286">
      <c r="A286" s="6" t="str">
        <f>IFERROR(__xludf.DUMMYFUNCTION("""COMPUTED_VALUE""")," Category: CRO ")</f>
        <v> Category: CRO </v>
      </c>
      <c r="B286" s="6" t="str">
        <f>IFERROR(__xludf.DUMMYFUNCTION("""COMPUTED_VALUE""")," Keywords: Devices, Pharmacovigiliance, Regulatory Affairs ")</f>
        <v> Keywords: Devices, Pharmacovigiliance, Regulatory Affairs </v>
      </c>
      <c r="C286" s="6" t="str">
        <f>IFERROR(__xludf.DUMMYFUNCTION("""COMPUTED_VALUE"""),"P.SS.T Pharma Scientific Services Team")</f>
        <v>P.SS.T Pharma Scientific Services Team</v>
      </c>
      <c r="D286" s="6" t="str">
        <f>IFERROR(__xludf.DUMMYFUNCTION("""COMPUTED_VALUE"""),"Millöckerstraße 90 Deutschland-85591 Vaterstetten")</f>
        <v>Millöckerstraße 90 Deutschland-85591 Vaterstetten</v>
      </c>
      <c r="E286" s="6" t="str">
        <f>IFERROR(__xludf.DUMMYFUNCTION("""COMPUTED_VALUE""")," Telefon: +498992200350 Fax: +49032121112935http://www.p-ss-t.deteam@remove-this.p-ss-t.de")</f>
        <v> Telefon: +498992200350 Fax: +49032121112935http://www.p-ss-t.deteam@remove-this.p-ss-t.de</v>
      </c>
    </row>
    <row r="287">
      <c r="A287" s="6" t="str">
        <f>IFERROR(__xludf.DUMMYFUNCTION("""COMPUTED_VALUE""")," Category: Pharma supplier and trade ")</f>
        <v> Category: Pharma supplier and trade </v>
      </c>
      <c r="B287" s="6" t="str">
        <f>IFERROR(__xludf.DUMMYFUNCTION("""COMPUTED_VALUE""")," Keywords: Fine Chemicals/Reagents ")</f>
        <v> Keywords: Fine Chemicals/Reagents </v>
      </c>
      <c r="C287" s="6" t="str">
        <f>IFERROR(__xludf.DUMMYFUNCTION("""COMPUTED_VALUE"""),"PAN Seratech GmbH")</f>
        <v>PAN Seratech GmbH</v>
      </c>
      <c r="D287" s="6" t="str">
        <f>IFERROR(__xludf.DUMMYFUNCTION("""COMPUTED_VALUE"""),"Am Gewerbepark 13 Deutschland-94501 Aidenbach")</f>
        <v>Am Gewerbepark 13 Deutschland-94501 Aidenbach</v>
      </c>
      <c r="E287" s="6" t="str">
        <f>IFERROR(__xludf.DUMMYFUNCTION("""COMPUTED_VALUE""")," Telefon: +49 08543 6016 -30 Fax: + 49 08543 6016 -49https://www.pan-seratech.de/info@remove-this.pan-seratech.de")</f>
        <v> Telefon: +49 08543 6016 -30 Fax: + 49 08543 6016 -49https://www.pan-seratech.de/info@remove-this.pan-seratech.de</v>
      </c>
    </row>
    <row r="288">
      <c r="A288" s="6" t="str">
        <f>IFERROR(__xludf.DUMMYFUNCTION("""COMPUTED_VALUE""")," Category: Biotech Therapeutics &amp; Diagnostics ")</f>
        <v> Category: Biotech Therapeutics &amp; Diagnostics </v>
      </c>
      <c r="B288" s="6" t="str">
        <f>IFERROR(__xludf.DUMMYFUNCTION("""COMPUTED_VALUE"""),"Panacea Biotec Germany GmbHPanacea Biotec GmbH ")</f>
        <v>Panacea Biotec Germany GmbHPanacea Biotec GmbH </v>
      </c>
      <c r="C288" s="6" t="str">
        <f>IFERROR(__xludf.DUMMYFUNCTION("""COMPUTED_VALUE"""),"Landwehrstr. 61 Deutschland-80336 München")</f>
        <v>Landwehrstr. 61 Deutschland-80336 München</v>
      </c>
      <c r="D288" s="6" t="str">
        <f>IFERROR(__xludf.DUMMYFUNCTION("""COMPUTED_VALUE""")," Telefon: +4989411123414 Fax: +49 (0) 89 5455 8333http://www.panaceabiotec.com/deinfo-de@remove-this.panaceabiotec.com")</f>
        <v> Telefon: +4989411123414 Fax: +49 (0) 89 5455 8333http://www.panaceabiotec.com/deinfo-de@remove-this.panaceabiotec.com</v>
      </c>
      <c r="E288" s="6"/>
    </row>
    <row r="289">
      <c r="A289" s="6" t="str">
        <f>IFERROR(__xludf.DUMMYFUNCTION("""COMPUTED_VALUE""")," Category: Medtech ")</f>
        <v> Category: Medtech </v>
      </c>
      <c r="B289" s="6" t="str">
        <f>IFERROR(__xludf.DUMMYFUNCTION("""COMPUTED_VALUE""")," Keywords: Infectious Diseases, Respiratory Diseases, Drug Delivery, 
Antibiotics, Devices, Analytical Chemistry, Laboratory ")</f>
        <v> Keywords: Infectious Diseases, Respiratory Diseases, Drug Delivery, 
Antibiotics, Devices, Analytical Chemistry, Laboratory </v>
      </c>
      <c r="C289" s="6" t="str">
        <f>IFERROR(__xludf.DUMMYFUNCTION("""COMPUTED_VALUE"""),"PARI Pharma GmbH")</f>
        <v>PARI Pharma GmbH</v>
      </c>
      <c r="D289" s="6" t="str">
        <f>IFERROR(__xludf.DUMMYFUNCTION("""COMPUTED_VALUE"""),"Moosstr. 3 Deutschland-82319 Starnberg")</f>
        <v>Moosstr. 3 Deutschland-82319 Starnberg</v>
      </c>
      <c r="E289" s="6" t="str">
        <f>IFERROR(__xludf.DUMMYFUNCTION("""COMPUTED_VALUE""")," Telefon: +49 (0) 89 742846-0 Fax: +49 (0) 89 743846-30http://www.pari.com/eflow-partneringeFlow-partnering@remove-this.pari.com")</f>
        <v> Telefon: +49 (0) 89 742846-0 Fax: +49 (0) 89 743846-30http://www.pari.com/eflow-partneringeFlow-partnering@remove-this.pari.com</v>
      </c>
    </row>
    <row r="290">
      <c r="A290" s="6" t="str">
        <f>IFERROR(__xludf.DUMMYFUNCTION("""COMPUTED_VALUE""")," Category: Biotech Devices &amp; Reagents ")</f>
        <v> Category: Biotech Devices &amp; Reagents </v>
      </c>
      <c r="B290" s="6" t="str">
        <f>IFERROR(__xludf.DUMMYFUNCTION("""COMPUTED_VALUE""")," Keywords: Tissue Engineering/Cell Culture, Fine Chemicals/Reagents, 
Laboratory ")</f>
        <v> Keywords: Tissue Engineering/Cell Culture, Fine Chemicals/Reagents, 
Laboratory </v>
      </c>
      <c r="C290" s="6" t="str">
        <f>IFERROR(__xludf.DUMMYFUNCTION("""COMPUTED_VALUE"""),"PELOBIOTECH GmbH")</f>
        <v>PELOBIOTECH GmbH</v>
      </c>
      <c r="D290" s="6" t="str">
        <f>IFERROR(__xludf.DUMMYFUNCTION("""COMPUTED_VALUE"""),"Am Klopferspitz 19 Deutschland-82152 Planegg")</f>
        <v>Am Klopferspitz 19 Deutschland-82152 Planegg</v>
      </c>
      <c r="E290" s="6" t="str">
        <f>IFERROR(__xludf.DUMMYFUNCTION("""COMPUTED_VALUE""")," Telefon: +49 (0) 89 5172 8659-0 Fax: +49 (0) 89 5172 8659-88http://www.pelobiotech.cominfo@remove-this.pelobiotech.com")</f>
        <v> Telefon: +49 (0) 89 5172 8659-0 Fax: +49 (0) 89 5172 8659-88http://www.pelobiotech.cominfo@remove-this.pelobiotech.com</v>
      </c>
    </row>
    <row r="291">
      <c r="A291" s="6" t="str">
        <f>IFERROR(__xludf.DUMMYFUNCTION("""COMPUTED_VALUE""")," Category: Biotech Devices &amp; Reagents ")</f>
        <v> Category: Biotech Devices &amp; Reagents </v>
      </c>
      <c r="B291" s="6" t="str">
        <f>IFERROR(__xludf.DUMMYFUNCTION("""COMPUTED_VALUE"""),"PEQLAB Biotechnologie GmbH")</f>
        <v>PEQLAB Biotechnologie GmbH</v>
      </c>
      <c r="C291" s="6" t="str">
        <f>IFERROR(__xludf.DUMMYFUNCTION("""COMPUTED_VALUE"""),"Carl-Thiersch-Str.2B Deutschland-91052 Erlangen")</f>
        <v>Carl-Thiersch-Str.2B Deutschland-91052 Erlangen</v>
      </c>
      <c r="D291" s="6" t="str">
        <f>IFERROR(__xludf.DUMMYFUNCTION("""COMPUTED_VALUE""")," Telefon: +49 (0)91 31-61 07 020 Fax: +49 (0)91 31-61 07 099http://www.peqlab.deinfo@remove-this.peqlab.de")</f>
        <v> Telefon: +49 (0)91 31-61 07 020 Fax: +49 (0)91 31-61 07 099http://www.peqlab.deinfo@remove-this.peqlab.de</v>
      </c>
      <c r="E291" s="6"/>
    </row>
    <row r="292">
      <c r="A292" s="6" t="str">
        <f>IFERROR(__xludf.DUMMYFUNCTION("""COMPUTED_VALUE""")," Category: CRO ")</f>
        <v> Category: CRO </v>
      </c>
      <c r="B292" s="6" t="str">
        <f>IFERROR(__xludf.DUMMYFUNCTION("""COMPUTED_VALUE"""),"Pharm-Olam International Deutschland GmbH")</f>
        <v>Pharm-Olam International Deutschland GmbH</v>
      </c>
      <c r="C292" s="6" t="str">
        <f>IFERROR(__xludf.DUMMYFUNCTION("""COMPUTED_VALUE"""),"Ingolstädter Str. 20 Deutschland-80807 München")</f>
        <v>Ingolstädter Str. 20 Deutschland-80807 München</v>
      </c>
      <c r="D292" s="6" t="str">
        <f>IFERROR(__xludf.DUMMYFUNCTION("""COMPUTED_VALUE""")," Telefon: +49 (0) 89 375 0899-0 Fax: +49 (0) 89 375 0899-20http://www.pharm-olam.comgerman.office@remove-this.pharm-olam.com")</f>
        <v> Telefon: +49 (0) 89 375 0899-0 Fax: +49 (0) 89 375 0899-20http://www.pharm-olam.comgerman.office@remove-this.pharm-olam.com</v>
      </c>
      <c r="E292" s="6"/>
    </row>
    <row r="293">
      <c r="A293" s="6" t="str">
        <f>IFERROR(__xludf.DUMMYFUNCTION("""COMPUTED_VALUE""")," Category: CRO ")</f>
        <v> Category: CRO </v>
      </c>
      <c r="B293" s="6" t="str">
        <f>IFERROR(__xludf.DUMMYFUNCTION("""COMPUTED_VALUE"""),"Pharmalog - Institut für klinische Forschung GmbH")</f>
        <v>Pharmalog - Institut für klinische Forschung GmbH</v>
      </c>
      <c r="C293" s="6" t="str">
        <f>IFERROR(__xludf.DUMMYFUNCTION("""COMPUTED_VALUE"""),"Oskar-Messter-Str. 29 Deutschland-85737 Ismaning")</f>
        <v>Oskar-Messter-Str. 29 Deutschland-85737 Ismaning</v>
      </c>
      <c r="D293" s="6" t="str">
        <f>IFERROR(__xludf.DUMMYFUNCTION("""COMPUTED_VALUE""")," Telefon: +49 (0) 89 544637-0 Fax: +49 (0) 89 544637-50http://www.pharmalog.compharmalog@remove-this.pharmalog.com")</f>
        <v> Telefon: +49 (0) 89 544637-0 Fax: +49 (0) 89 544637-50http://www.pharmalog.compharmalog@remove-this.pharmalog.com</v>
      </c>
      <c r="E293" s="6"/>
    </row>
    <row r="294">
      <c r="A294" s="6" t="str">
        <f>IFERROR(__xludf.DUMMYFUNCTION("""COMPUTED_VALUE""")," Category: Pharma &amp; Chemical Industry ")</f>
        <v> Category: Pharma &amp; Chemical Industry </v>
      </c>
      <c r="B294" s="6" t="str">
        <f>IFERROR(__xludf.DUMMYFUNCTION("""COMPUTED_VALUE"""),"PharmaSGP GmbH")</f>
        <v>PharmaSGP GmbH</v>
      </c>
      <c r="C294" s="6" t="str">
        <f>IFERROR(__xludf.DUMMYFUNCTION("""COMPUTED_VALUE"""),"Am Haag 14 Deutschland-82166 Gräfelfing")</f>
        <v>Am Haag 14 Deutschland-82166 Gräfelfing</v>
      </c>
      <c r="D294" s="6" t="str">
        <f>IFERROR(__xludf.DUMMYFUNCTION("""COMPUTED_VALUE""")," Telefon: 089 7879790 Fax: 089 78797979https://pharmasgp.com/")</f>
        <v> Telefon: 089 7879790 Fax: 089 78797979https://pharmasgp.com/</v>
      </c>
      <c r="E294" s="6"/>
    </row>
    <row r="295">
      <c r="A295" s="6" t="str">
        <f>IFERROR(__xludf.DUMMYFUNCTION("""COMPUTED_VALUE""")," Category: Pharma &amp; Chemical Industry ")</f>
        <v> Category: Pharma &amp; Chemical Industry </v>
      </c>
      <c r="B295" s="6" t="str">
        <f>IFERROR(__xludf.DUMMYFUNCTION("""COMPUTED_VALUE"""),"PharmaZell GmbH")</f>
        <v>PharmaZell GmbH</v>
      </c>
      <c r="C295" s="6" t="str">
        <f>IFERROR(__xludf.DUMMYFUNCTION("""COMPUTED_VALUE"""),"Rosenheimer Str. 43 Deutschland-83064 Raubling")</f>
        <v>Rosenheimer Str. 43 Deutschland-83064 Raubling</v>
      </c>
      <c r="D295" s="6" t="str">
        <f>IFERROR(__xludf.DUMMYFUNCTION("""COMPUTED_VALUE""")," Telefon: +49 (0) 8035 88-0 Fax: +49 (0) 8035 88-143http://www.pharmazell.cominfo@remove-this.pharmazell.com")</f>
        <v> Telefon: +49 (0) 8035 88-0 Fax: +49 (0) 8035 88-143http://www.pharmazell.cominfo@remove-this.pharmazell.com</v>
      </c>
      <c r="E295" s="6"/>
    </row>
    <row r="296">
      <c r="A296" s="6" t="str">
        <f>IFERROR(__xludf.DUMMYFUNCTION("""COMPUTED_VALUE""")," Category: Biotech DNA/Protein Analytics ")</f>
        <v> Category: Biotech DNA/Protein Analytics </v>
      </c>
      <c r="B296" s="6" t="str">
        <f>IFERROR(__xludf.DUMMYFUNCTION("""COMPUTED_VALUE"""),"Phytochem Referenzsubstanzen GbRmbH")</f>
        <v>Phytochem Referenzsubstanzen GbRmbH</v>
      </c>
      <c r="C296" s="6" t="str">
        <f>IFERROR(__xludf.DUMMYFUNCTION("""COMPUTED_VALUE"""),"Krumbacherstr. 9 Deutschland-89335 Ichenhausen")</f>
        <v>Krumbacherstr. 9 Deutschland-89335 Ichenhausen</v>
      </c>
      <c r="D296" s="6" t="str">
        <f>IFERROR(__xludf.DUMMYFUNCTION("""COMPUTED_VALUE""")," Telefon: +49 (0) 731 97205-45 Fax: +49 (0) 731 97205-46http://www.phytochem-standards.dephytochem@remove-this.t-online.de")</f>
        <v> Telefon: +49 (0) 731 97205-45 Fax: +49 (0) 731 97205-46http://www.phytochem-standards.dephytochem@remove-this.t-online.de</v>
      </c>
      <c r="E296" s="6"/>
    </row>
    <row r="297">
      <c r="A297" s="6" t="str">
        <f>IFERROR(__xludf.DUMMYFUNCTION("""COMPUTED_VALUE""")," Category: Biotech Therapeutics &amp; Diagnostics ")</f>
        <v> Category: Biotech Therapeutics &amp; Diagnostics </v>
      </c>
      <c r="B297" s="6" t="str">
        <f>IFERROR(__xludf.DUMMYFUNCTION("""COMPUTED_VALUE""")," Keywords: Immune Therapy, Respiratory Diseases, Drug Development, 
Peptide/Protein, Oncology ")</f>
        <v> Keywords: Immune Therapy, Respiratory Diseases, Drug Development, 
Peptide/Protein, Oncology </v>
      </c>
      <c r="C297" s="6" t="str">
        <f>IFERROR(__xludf.DUMMYFUNCTION("""COMPUTED_VALUE"""),"Pieris Pharmaceuticals GmbH")</f>
        <v>Pieris Pharmaceuticals GmbH</v>
      </c>
      <c r="D297" s="6" t="str">
        <f>IFERROR(__xludf.DUMMYFUNCTION("""COMPUTED_VALUE"""),"Zeppelinstrasse 3 Deutschland-85399 Hallbergmoos")</f>
        <v>Zeppelinstrasse 3 Deutschland-85399 Hallbergmoos</v>
      </c>
      <c r="E297" s="6" t="str">
        <f>IFERROR(__xludf.DUMMYFUNCTION("""COMPUTED_VALUE""")," Telefon: +49 (0) 811 12 447-0 Fax: +49 (0) 8161 1411-444http://www.pieris.cominfo@remove-this.pieris.com")</f>
        <v> Telefon: +49 (0) 811 12 447-0 Fax: +49 (0) 8161 1411-444http://www.pieris.cominfo@remove-this.pieris.com</v>
      </c>
    </row>
    <row r="298">
      <c r="A298" s="6" t="str">
        <f>IFERROR(__xludf.DUMMYFUNCTION("""COMPUTED_VALUE""")," Category: Biotech Agro, Food, Environment ")</f>
        <v> Category: Biotech Agro, Food, Environment </v>
      </c>
      <c r="B298" s="6" t="str">
        <f>IFERROR(__xludf.DUMMYFUNCTION("""COMPUTED_VALUE""")," Keywords: Agrobiotechnology, Analytical Chemistry, New Materials, PCR ")</f>
        <v> Keywords: Agrobiotechnology, Analytical Chemistry, New Materials, PCR </v>
      </c>
      <c r="C298" s="6" t="str">
        <f>IFERROR(__xludf.DUMMYFUNCTION("""COMPUTED_VALUE"""),"PIKA Weihenstephan GmbH")</f>
        <v>PIKA Weihenstephan GmbH</v>
      </c>
      <c r="D298" s="6" t="str">
        <f>IFERROR(__xludf.DUMMYFUNCTION("""COMPUTED_VALUE"""),"Raiffeisenstr. 31 a Deutschland-85276 Pfaffenhofen")</f>
        <v>Raiffeisenstr. 31 a Deutschland-85276 Pfaffenhofen</v>
      </c>
      <c r="E298" s="6" t="str">
        <f>IFERROR(__xludf.DUMMYFUNCTION("""COMPUTED_VALUE""")," Telefon: +49 (0) 8441 87948-30 Fax: +49 (0) 8441 87948-31http://www.pika-weihenstephan.deinfo@remove-this.pika-weihenstephan.de")</f>
        <v> Telefon: +49 (0) 8441 87948-30 Fax: +49 (0) 8441 87948-31http://www.pika-weihenstephan.deinfo@remove-this.pika-weihenstephan.de</v>
      </c>
    </row>
    <row r="299">
      <c r="A299" s="6" t="str">
        <f>IFERROR(__xludf.DUMMYFUNCTION("""COMPUTED_VALUE""")," Category: Biotech Agro, Food, Environment ")</f>
        <v> Category: Biotech Agro, Food, Environment </v>
      </c>
      <c r="B299" s="6" t="str">
        <f>IFERROR(__xludf.DUMMYFUNCTION("""COMPUTED_VALUE"""),"pläin GmbH")</f>
        <v>pläin GmbH</v>
      </c>
      <c r="C299" s="6" t="str">
        <f>IFERROR(__xludf.DUMMYFUNCTION("""COMPUTED_VALUE"""),"Ganzenmüllerstraße 27 Deutschland-85354 Freising")</f>
        <v>Ganzenmüllerstraße 27 Deutschland-85354 Freising</v>
      </c>
      <c r="D299" s="6" t="str">
        <f>IFERROR(__xludf.DUMMYFUNCTION("""COMPUTED_VALUE"""),"https://plaein.deservus@remove-this.plaein.de")</f>
        <v>https://plaein.deservus@remove-this.plaein.de</v>
      </c>
      <c r="E299" s="6"/>
    </row>
    <row r="300">
      <c r="A300" s="6" t="str">
        <f>IFERROR(__xludf.DUMMYFUNCTION("""COMPUTED_VALUE""")," Category: CRO ")</f>
        <v> Category: CRO </v>
      </c>
      <c r="B300" s="6" t="str">
        <f>IFERROR(__xludf.DUMMYFUNCTION("""COMPUTED_VALUE""")," Keywords: Drug Development, Devices, Logistics, Medical Writing ")</f>
        <v> Keywords: Drug Development, Devices, Logistics, Medical Writing </v>
      </c>
      <c r="C300" s="6" t="str">
        <f>IFERROR(__xludf.DUMMYFUNCTION("""COMPUTED_VALUE"""),"PPD Germany GmbH &amp; Co. KG,Branch officePPD Germany GmbH &amp; Co. KG ")</f>
        <v>PPD Germany GmbH &amp; Co. KG,Branch officePPD Germany GmbH &amp; Co. KG </v>
      </c>
      <c r="D300" s="6" t="str">
        <f>IFERROR(__xludf.DUMMYFUNCTION("""COMPUTED_VALUE"""),"Hansastr. 32 Deutschland-80686 München")</f>
        <v>Hansastr. 32 Deutschland-80686 München</v>
      </c>
      <c r="E300" s="6" t="str">
        <f>IFERROR(__xludf.DUMMYFUNCTION("""COMPUTED_VALUE""")," Telefon: +49 (0) 89 57877-0 Fax: +49 (0) 89 57877-400http://www.ppdi.comgenl.info@remove-this.ppdi.com")</f>
        <v> Telefon: +49 (0) 89 57877-0 Fax: +49 (0) 89 57877-400http://www.ppdi.comgenl.info@remove-this.ppdi.com</v>
      </c>
    </row>
    <row r="301">
      <c r="A301" s="6" t="str">
        <f>IFERROR(__xludf.DUMMYFUNCTION("""COMPUTED_VALUE""")," Category: Biotech Bioinformatics ")</f>
        <v> Category: Biotech Bioinformatics </v>
      </c>
      <c r="B301" s="6" t="str">
        <f>IFERROR(__xludf.DUMMYFUNCTION("""COMPUTED_VALUE""")," Keywords: Genomics, Devices, Data Management and Biostatistics, NGS, 
Informatics ")</f>
        <v> Keywords: Genomics, Devices, Data Management and Biostatistics, NGS, 
Informatics </v>
      </c>
      <c r="C301" s="6" t="str">
        <f>IFERROR(__xludf.DUMMYFUNCTION("""COMPUTED_VALUE"""),"Precigen Bioinformatics Germany GmbH (formerly Genomatix)")</f>
        <v>Precigen Bioinformatics Germany GmbH (formerly Genomatix)</v>
      </c>
      <c r="D301" s="6" t="str">
        <f>IFERROR(__xludf.DUMMYFUNCTION("""COMPUTED_VALUE"""),"Bayerstr. 85 a Deutschland-80335 München")</f>
        <v>Bayerstr. 85 a Deutschland-80335 München</v>
      </c>
      <c r="E301" s="6" t="str">
        <f>IFERROR(__xludf.DUMMYFUNCTION("""COMPUTED_VALUE""")," Telefon: +49 (0) 89 599766-0 Fax: +49 (0) 89 599766-55http://www.genomatix.deinfo@remove-this.genomatix.de")</f>
        <v> Telefon: +49 (0) 89 599766-0 Fax: +49 (0) 89 599766-55http://www.genomatix.deinfo@remove-this.genomatix.de</v>
      </c>
    </row>
    <row r="302">
      <c r="A302" s="6" t="str">
        <f>IFERROR(__xludf.DUMMYFUNCTION("""COMPUTED_VALUE""")," Category: Biotech Devices &amp; Reagents ")</f>
        <v> Category: Biotech Devices &amp; Reagents </v>
      </c>
      <c r="B302" s="6" t="str">
        <f>IFERROR(__xludf.DUMMYFUNCTION("""COMPUTED_VALUE""")," Keywords: Proteomics, Clinical Diagnostics, Molecular Diagnostics, 
Bioanalytics ")</f>
        <v> Keywords: Proteomics, Clinical Diagnostics, Molecular Diagnostics, 
Bioanalytics </v>
      </c>
      <c r="C302" s="6" t="str">
        <f>IFERROR(__xludf.DUMMYFUNCTION("""COMPUTED_VALUE"""),"PreOmics GmbH")</f>
        <v>PreOmics GmbH</v>
      </c>
      <c r="D302" s="6" t="str">
        <f>IFERROR(__xludf.DUMMYFUNCTION("""COMPUTED_VALUE"""),"Am Klopferspitz 19 Deutschland-82152 Planegg Martinsried")</f>
        <v>Am Klopferspitz 19 Deutschland-82152 Planegg Martinsried</v>
      </c>
      <c r="E302" s="6" t="str">
        <f>IFERROR(__xludf.DUMMYFUNCTION("""COMPUTED_VALUE""")," Telefon: +49 (0) 89 / 23 14 163 - 0 Fax: +49 (0) 89 / 23 14 163 - 99http://www.preomics.cominfo@remove-this.preomics.com")</f>
        <v> Telefon: +49 (0) 89 / 23 14 163 - 0 Fax: +49 (0) 89 / 23 14 163 - 99http://www.preomics.cominfo@remove-this.preomics.com</v>
      </c>
    </row>
    <row r="303">
      <c r="A303" s="6" t="str">
        <f>IFERROR(__xludf.DUMMYFUNCTION("""COMPUTED_VALUE""")," Category: Pharma Animal Health ")</f>
        <v> Category: Pharma Animal Health </v>
      </c>
      <c r="B303" s="6" t="str">
        <f>IFERROR(__xludf.DUMMYFUNCTION("""COMPUTED_VALUE"""),"Prevtec Microbia GmbH")</f>
        <v>Prevtec Microbia GmbH</v>
      </c>
      <c r="C303" s="6" t="str">
        <f>IFERROR(__xludf.DUMMYFUNCTION("""COMPUTED_VALUE"""),"Geyerspergerstr. 27 Deutschland-80689 ")</f>
        <v>Geyerspergerstr. 27 Deutschland-80689 </v>
      </c>
      <c r="D303" s="6" t="str">
        <f>IFERROR(__xludf.DUMMYFUNCTION("""COMPUTED_VALUE""")," Telefon: +49-89-58 00 82 0 Fax: +49-89-58 00 82 7777http://www.prevtecmicrobia.com/en/")</f>
        <v> Telefon: +49-89-58 00 82 0 Fax: +49-89-58 00 82 7777http://www.prevtecmicrobia.com/en/</v>
      </c>
      <c r="E303" s="6"/>
    </row>
    <row r="304">
      <c r="A304" s="6" t="str">
        <f>IFERROR(__xludf.DUMMYFUNCTION("IMPORTXML(P1,A2)")," Category: CRO ")</f>
        <v> Category: CRO </v>
      </c>
      <c r="B304" s="6" t="str">
        <f>IFERROR(__xludf.DUMMYFUNCTION("""COMPUTED_VALUE""")," Keywords: Drug Development, Drug Delivery, Antibody, Peptide/Protein, 
Small Molecules, Viruses, AntibodyDrugConjugate ADC ")</f>
        <v> Keywords: Drug Development, Drug Delivery, Antibody, Peptide/Protein, 
Small Molecules, Viruses, AntibodyDrugConjugate ADC </v>
      </c>
      <c r="C304" s="6" t="str">
        <f>IFERROR(__xludf.DUMMYFUNCTION("""COMPUTED_VALUE"""),"ProJect Pharmaceutics GmbH")</f>
        <v>ProJect Pharmaceutics GmbH</v>
      </c>
      <c r="D304" s="6" t="str">
        <f>IFERROR(__xludf.DUMMYFUNCTION("""COMPUTED_VALUE"""),"Fraunhoferstraße 22 Deutschland-82152 Martinsried")</f>
        <v>Fraunhoferstraße 22 Deutschland-82152 Martinsried</v>
      </c>
      <c r="E304" s="6" t="str">
        <f>IFERROR(__xludf.DUMMYFUNCTION("""COMPUTED_VALUE""")," Telefon: +49 (0) 89 452289-700 Fax: +49 (0) 89 452289-717http://www.project-pharmaceutics.cominfo@remove-this.project-pharmaceutics.com")</f>
        <v> Telefon: +49 (0) 89 452289-700 Fax: +49 (0) 89 452289-717http://www.project-pharmaceutics.cominfo@remove-this.project-pharmaceutics.com</v>
      </c>
    </row>
    <row r="305">
      <c r="A305" s="6" t="str">
        <f>IFERROR(__xludf.DUMMYFUNCTION("""COMPUTED_VALUE""")," Category: Biotech Preclinical Services ")</f>
        <v> Category: Biotech Preclinical Services </v>
      </c>
      <c r="B305" s="6" t="str">
        <f>IFERROR(__xludf.DUMMYFUNCTION("""COMPUTED_VALUE""")," Keywords: 3D-Structural Analysis, Cardiovascular Diseases, Infectious 
Diseases, Metabolic Diseases, Small Molecules, Oncology, Fine 
Chemicals/Reagents ")</f>
        <v> Keywords: 3D-Structural Analysis, Cardiovascular Diseases, Infectious 
Diseases, Metabolic Diseases, Small Molecules, Oncology, Fine 
Chemicals/Reagents </v>
      </c>
      <c r="C305" s="6" t="str">
        <f>IFERROR(__xludf.DUMMYFUNCTION("""COMPUTED_VALUE"""),"Proteros biostructures GmbH")</f>
        <v>Proteros biostructures GmbH</v>
      </c>
      <c r="D305" s="6" t="str">
        <f>IFERROR(__xludf.DUMMYFUNCTION("""COMPUTED_VALUE"""),"Bunsenstr. 7 a Deutschland-82152 Martinsried")</f>
        <v>Bunsenstr. 7 a Deutschland-82152 Martinsried</v>
      </c>
      <c r="E305" s="6" t="str">
        <f>IFERROR(__xludf.DUMMYFUNCTION("""COMPUTED_VALUE""")," Telefon: +49 (0) 89 700761-0 Fax: +49 (0) 89 700761-15http://www.proteros.combusiness@remove-this.proteros.com")</f>
        <v> Telefon: +49 (0) 89 700761-0 Fax: +49 (0) 89 700761-15http://www.proteros.combusiness@remove-this.proteros.com</v>
      </c>
    </row>
    <row r="306">
      <c r="A306" s="6" t="str">
        <f>IFERROR(__xludf.DUMMYFUNCTION("""COMPUTED_VALUE""")," Category: Pharma &amp; Chemical Industry ")</f>
        <v> Category: Pharma &amp; Chemical Industry </v>
      </c>
      <c r="B306" s="6" t="str">
        <f>IFERROR(__xludf.DUMMYFUNCTION("""COMPUTED_VALUE"""),"PUREN Pharma GmbH &amp; Co. KG,ein Unternehmen der Aurobindo Pharma Ltd.PUREN Pharma GmbH &amp; Co. KG ")</f>
        <v>PUREN Pharma GmbH &amp; Co. KG,ein Unternehmen der Aurobindo Pharma Ltd.PUREN Pharma GmbH &amp; Co. KG </v>
      </c>
      <c r="C306" s="6" t="str">
        <f>IFERROR(__xludf.DUMMYFUNCTION("""COMPUTED_VALUE"""),"Willy-Brandt-Allee 2 Deutschland-81829 München")</f>
        <v>Willy-Brandt-Allee 2 Deutschland-81829 München</v>
      </c>
      <c r="D306" s="6" t="str">
        <f>IFERROR(__xludf.DUMMYFUNCTION("""COMPUTED_VALUE""")," Telefon: +49 (0) 89 558909-0 Fax: +49 (0) 89 558909-240http://www.puren-pharma.deinfo@remove-this.puren-pharma.de")</f>
        <v> Telefon: +49 (0) 89 558909-0 Fax: +49 (0) 89 558909-240http://www.puren-pharma.deinfo@remove-this.puren-pharma.de</v>
      </c>
      <c r="E306" s="6"/>
    </row>
    <row r="307">
      <c r="A307" s="6" t="str">
        <f>IFERROR(__xludf.DUMMYFUNCTION("""COMPUTED_VALUE""")," Category: Medtech ")</f>
        <v> Category: Medtech </v>
      </c>
      <c r="B307" s="6" t="str">
        <f>IFERROR(__xludf.DUMMYFUNCTION("""COMPUTED_VALUE"""),"QRSkin GmbH")</f>
        <v>QRSkin GmbH</v>
      </c>
      <c r="C307" s="6" t="str">
        <f>IFERROR(__xludf.DUMMYFUNCTION("""COMPUTED_VALUE"""),"Friedrich-Bergius-Ring 15 Deutschland-97076 Würzburg")</f>
        <v>Friedrich-Bergius-Ring 15 Deutschland-97076 Würzburg</v>
      </c>
      <c r="D307" s="7" t="str">
        <f>IFERROR(__xludf.DUMMYFUNCTION("""COMPUTED_VALUE"""),"http://www.bioskinco.eu/")</f>
        <v>http://www.bioskinco.eu/</v>
      </c>
      <c r="E307" s="6"/>
    </row>
    <row r="308">
      <c r="A308" s="6" t="str">
        <f>IFERROR(__xludf.DUMMYFUNCTION("""COMPUTED_VALUE""")," Category: Biotech Bioinformatics ")</f>
        <v> Category: Biotech Bioinformatics </v>
      </c>
      <c r="B308" s="6" t="str">
        <f>IFERROR(__xludf.DUMMYFUNCTION("""COMPUTED_VALUE""")," Keywords: Bioinformatics ")</f>
        <v> Keywords: Bioinformatics </v>
      </c>
      <c r="C308" s="6" t="str">
        <f>IFERROR(__xludf.DUMMYFUNCTION("""COMPUTED_VALUE"""),"quattro research GmbH")</f>
        <v>quattro research GmbH</v>
      </c>
      <c r="D308" s="6" t="str">
        <f>IFERROR(__xludf.DUMMYFUNCTION("""COMPUTED_VALUE"""),"Fraunhoferstr. 18a Deutschland-82152 Martinsried")</f>
        <v>Fraunhoferstr. 18a Deutschland-82152 Martinsried</v>
      </c>
      <c r="E308" s="6" t="str">
        <f>IFERROR(__xludf.DUMMYFUNCTION("""COMPUTED_VALUE""")," Telefon: +49 (0) 89 4132904-0 Fax: +49 (0) 89 255513-1555http://www.quattro-research.cominfo@remove-this.quattro-research.com")</f>
        <v> Telefon: +49 (0) 89 4132904-0 Fax: +49 (0) 89 255513-1555http://www.quattro-research.cominfo@remove-this.quattro-research.com</v>
      </c>
    </row>
    <row r="309">
      <c r="A309" s="6" t="str">
        <f>IFERROR(__xludf.DUMMYFUNCTION("""COMPUTED_VALUE""")," Category: CRO ")</f>
        <v> Category: CRO </v>
      </c>
      <c r="B309" s="6" t="str">
        <f>IFERROR(__xludf.DUMMYFUNCTION("""COMPUTED_VALUE""")," Keywords: Clinical Trial Management and Monitoring ")</f>
        <v> Keywords: Clinical Trial Management and Monitoring </v>
      </c>
      <c r="C309" s="6" t="str">
        <f>IFERROR(__xludf.DUMMYFUNCTION("""COMPUTED_VALUE"""),"QUINTILES GmbH")</f>
        <v>QUINTILES GmbH</v>
      </c>
      <c r="D309" s="6" t="str">
        <f>IFERROR(__xludf.DUMMYFUNCTION("""COMPUTED_VALUE"""),"Mühlweg 2 Deutschland-82054 Sauerlach")</f>
        <v>Mühlweg 2 Deutschland-82054 Sauerlach</v>
      </c>
      <c r="E309" s="6" t="str">
        <f>IFERROR(__xludf.DUMMYFUNCTION("""COMPUTED_VALUE""")," Telefon: +49 (0) 8104 8980 0 Fax: +49 (0) 8104 8980 99http://www.quintiles.dekerstin.orth@remove-this.quintiles.com")</f>
        <v> Telefon: +49 (0) 8104 8980 0 Fax: +49 (0) 8104 8980 99http://www.quintiles.dekerstin.orth@remove-this.quintiles.com</v>
      </c>
    </row>
    <row r="310">
      <c r="A310" s="6" t="str">
        <f>IFERROR(__xludf.DUMMYFUNCTION("""COMPUTED_VALUE""")," Category: Pharma &amp; Chemical Industry ")</f>
        <v> Category: Pharma &amp; Chemical Industry </v>
      </c>
      <c r="B310" s="6" t="str">
        <f>IFERROR(__xludf.DUMMYFUNCTION("""COMPUTED_VALUE""")," Keywords: Automation, Logistics ")</f>
        <v> Keywords: Automation, Logistics </v>
      </c>
      <c r="C310" s="6" t="str">
        <f>IFERROR(__xludf.DUMMYFUNCTION("""COMPUTED_VALUE"""),"R-Pharm Germany GmbH")</f>
        <v>R-Pharm Germany GmbH</v>
      </c>
      <c r="D310" s="6" t="str">
        <f>IFERROR(__xludf.DUMMYFUNCTION("""COMPUTED_VALUE"""),"Heinrich-Mack-Str. 35 Deutschland-89257 Illertissen")</f>
        <v>Heinrich-Mack-Str. 35 Deutschland-89257 Illertissen</v>
      </c>
      <c r="E310" s="6" t="str">
        <f>IFERROR(__xludf.DUMMYFUNCTION("""COMPUTED_VALUE""")," Telefon: +49 (0) 7303 12-0 Fax: +49 (0) 7303 12-387https://germany.r-pharm.com/r-pharm-germany@remove-this.r-pharm.com")</f>
        <v> Telefon: +49 (0) 7303 12-0 Fax: +49 (0) 7303 12-387https://germany.r-pharm.com/r-pharm-germany@remove-this.r-pharm.com</v>
      </c>
    </row>
    <row r="311">
      <c r="A311" s="6" t="str">
        <f>IFERROR(__xludf.DUMMYFUNCTION("""COMPUTED_VALUE""")," Category: Biotech Devices &amp; Reagents ")</f>
        <v> Category: Biotech Devices &amp; Reagents </v>
      </c>
      <c r="B311" s="6" t="str">
        <f>IFERROR(__xludf.DUMMYFUNCTION("""COMPUTED_VALUE""")," Keywords: Cardiovascular Diseases, CNS, Bone/Joint Diseases, Devices, 
Oncology ")</f>
        <v> Keywords: Cardiovascular Diseases, CNS, Bone/Joint Diseases, Devices, 
Oncology </v>
      </c>
      <c r="C311" s="6" t="str">
        <f>IFERROR(__xludf.DUMMYFUNCTION("""COMPUTED_VALUE"""),"RAPID Biomedical GmbH,Technologiepark Würzburg-RimparRAPID Biomedical GmbH ")</f>
        <v>RAPID Biomedical GmbH,Technologiepark Würzburg-RimparRAPID Biomedical GmbH </v>
      </c>
      <c r="D311" s="6" t="str">
        <f>IFERROR(__xludf.DUMMYFUNCTION("""COMPUTED_VALUE"""),"Kettelerstr. 3-11 Deutschland-97222 Rimpar")</f>
        <v>Kettelerstr. 3-11 Deutschland-97222 Rimpar</v>
      </c>
      <c r="E311" s="6" t="str">
        <f>IFERROR(__xludf.DUMMYFUNCTION("""COMPUTED_VALUE""")," Telefon: +49 (0) 9365 8826-43 Fax: +49 (0) 9365 8826-99http://www.rapidbiomed.deinfo@remove-this.rapidbiomed.de")</f>
        <v> Telefon: +49 (0) 9365 8826-43 Fax: +49 (0) 9365 8826-99http://www.rapidbiomed.deinfo@remove-this.rapidbiomed.de</v>
      </c>
    </row>
    <row r="312">
      <c r="A312" s="6" t="str">
        <f>IFERROR(__xludf.DUMMYFUNCTION("""COMPUTED_VALUE""")," Category: CRO ")</f>
        <v> Category: CRO </v>
      </c>
      <c r="B312" s="6" t="str">
        <f>IFERROR(__xludf.DUMMYFUNCTION("""COMPUTED_VALUE""")," Keywords: Drug Development, Clinical Trial Management and Monitoring, 
Medical Writing ")</f>
        <v> Keywords: Drug Development, Clinical Trial Management and Monitoring, 
Medical Writing </v>
      </c>
      <c r="C312" s="6" t="str">
        <f>IFERROR(__xludf.DUMMYFUNCTION("""COMPUTED_VALUE"""),"REMARK GmbH Pharmaservices &amp; Consulting")</f>
        <v>REMARK GmbH Pharmaservices &amp; Consulting</v>
      </c>
      <c r="D312" s="6" t="str">
        <f>IFERROR(__xludf.DUMMYFUNCTION("""COMPUTED_VALUE"""),"Ringstr. 3 Deutschland-85764 Oberschleißheim b. München")</f>
        <v>Ringstr. 3 Deutschland-85764 Oberschleißheim b. München</v>
      </c>
      <c r="E312" s="6" t="str">
        <f>IFERROR(__xludf.DUMMYFUNCTION("""COMPUTED_VALUE""")," Telefon: +49 (0) 89 31577199 Fax: +49 (0) 89 31577145http://www.remark-pharma.deinfo@remove-this.remark-pharma.de")</f>
        <v> Telefon: +49 (0) 89 31577199 Fax: +49 (0) 89 31577145http://www.remark-pharma.deinfo@remove-this.remark-pharma.de</v>
      </c>
    </row>
    <row r="313">
      <c r="A313" s="6" t="str">
        <f>IFERROR(__xludf.DUMMYFUNCTION("""COMPUTED_VALUE""")," Category: Biotech Therapeutics &amp; Diagnostics ")</f>
        <v> Category: Biotech Therapeutics &amp; Diagnostics </v>
      </c>
      <c r="B313" s="6" t="str">
        <f>IFERROR(__xludf.DUMMYFUNCTION("""COMPUTED_VALUE""")," Keywords: Infectious Diseases, Clinical Diagnostics, Small Molecules, 
Devices, Xenotransplantation, Automation, Natural Compounds ")</f>
        <v> Keywords: Infectious Diseases, Clinical Diagnostics, Small Molecules, 
Devices, Xenotransplantation, Automation, Natural Compounds </v>
      </c>
      <c r="C313" s="6" t="str">
        <f>IFERROR(__xludf.DUMMYFUNCTION("""COMPUTED_VALUE"""),"Retro-Tech GmbH")</f>
        <v>Retro-Tech GmbH</v>
      </c>
      <c r="D313" s="6" t="str">
        <f>IFERROR(__xludf.DUMMYFUNCTION("""COMPUTED_VALUE"""),"Carl-von-Linde-Str. 40 Deutschland-85716 Unterschleißheim")</f>
        <v>Carl-von-Linde-Str. 40 Deutschland-85716 Unterschleißheim</v>
      </c>
      <c r="E313" s="6" t="str">
        <f>IFERROR(__xludf.DUMMYFUNCTION("""COMPUTED_VALUE""")," Telefon: +49 (0) 89 321419-60 Fax: +49 (0) 89 321419-59http://www.retrotech-online.deinfo@remove-this.retrotech-online.de")</f>
        <v> Telefon: +49 (0) 89 321419-60 Fax: +49 (0) 89 321419-59http://www.retrotech-online.deinfo@remove-this.retrotech-online.de</v>
      </c>
    </row>
    <row r="314">
      <c r="A314" s="6" t="str">
        <f>IFERROR(__xludf.DUMMYFUNCTION("""COMPUTED_VALUE""")," Category: Biotech Devices &amp; Reagents ")</f>
        <v> Category: Biotech Devices &amp; Reagents </v>
      </c>
      <c r="B314" s="6" t="str">
        <f>IFERROR(__xludf.DUMMYFUNCTION("""COMPUTED_VALUE""")," Keywords: Genomics, Proteomics, Pharmacogenetics, Devices, ELISA/EIA, 
Automation, PCR ")</f>
        <v> Keywords: Genomics, Proteomics, Pharmacogenetics, Devices, ELISA/EIA, 
Automation, PCR </v>
      </c>
      <c r="C314" s="6" t="str">
        <f>IFERROR(__xludf.DUMMYFUNCTION("""COMPUTED_VALUE"""),"Ritter GmbH,MedicalRitter GmbH ")</f>
        <v>Ritter GmbH,MedicalRitter GmbH </v>
      </c>
      <c r="D314" s="6" t="str">
        <f>IFERROR(__xludf.DUMMYFUNCTION("""COMPUTED_VALUE"""),"Kaufbeurer Str. 55 Deutschland-86830 Schwabmünchen")</f>
        <v>Kaufbeurer Str. 55 Deutschland-86830 Schwabmünchen</v>
      </c>
      <c r="E314" s="6" t="str">
        <f>IFERROR(__xludf.DUMMYFUNCTION("""COMPUTED_VALUE""")," Telefon: +49 (0) 8232 5003-0 Fax: +49 (0) 8232 5003-48http://www.ritter-medical.demedical@remove-this.ritter-online.de")</f>
        <v> Telefon: +49 (0) 8232 5003-0 Fax: +49 (0) 8232 5003-48http://www.ritter-medical.demedical@remove-this.ritter-online.de</v>
      </c>
    </row>
    <row r="315">
      <c r="A315" s="6" t="str">
        <f>IFERROR(__xludf.DUMMYFUNCTION("""COMPUTED_VALUE"""),"rnatics GmbH")</f>
        <v>rnatics GmbH</v>
      </c>
      <c r="B315" s="6" t="str">
        <f>IFERROR(__xludf.DUMMYFUNCTION("""COMPUTED_VALUE"""),"Am Klopferspitz 19a Deutschland-82152 Martinsried/Planegg")</f>
        <v>Am Klopferspitz 19a Deutschland-82152 Martinsried/Planegg</v>
      </c>
      <c r="C315" s="6" t="str">
        <f>IFERROR(__xludf.DUMMYFUNCTION("""COMPUTED_VALUE"""),"info@remove-this.rnatics.com")</f>
        <v>info@remove-this.rnatics.com</v>
      </c>
      <c r="D315" s="6"/>
      <c r="E315" s="6"/>
    </row>
    <row r="316">
      <c r="A316" s="6" t="str">
        <f>IFERROR(__xludf.DUMMYFUNCTION("""COMPUTED_VALUE""")," Category: Biotech Therapeutics &amp; Diagnostics ")</f>
        <v> Category: Biotech Therapeutics &amp; Diagnostics </v>
      </c>
      <c r="B316" s="6" t="str">
        <f>IFERROR(__xludf.DUMMYFUNCTION("""COMPUTED_VALUE""")," Keywords: Drug Development, Clinical Diagnostics, Antibody, 
Peptide/Protein, ELISA/EIA, Automation, PCR ")</f>
        <v> Keywords: Drug Development, Clinical Diagnostics, Antibody, 
Peptide/Protein, ELISA/EIA, Automation, PCR </v>
      </c>
      <c r="C316" s="6" t="str">
        <f>IFERROR(__xludf.DUMMYFUNCTION("""COMPUTED_VALUE"""),"Roche Diagnostics GmbH")</f>
        <v>Roche Diagnostics GmbH</v>
      </c>
      <c r="D316" s="6" t="str">
        <f>IFERROR(__xludf.DUMMYFUNCTION("""COMPUTED_VALUE"""),"Nonnenwald 2 Deutschland-82377 Penzberg")</f>
        <v>Nonnenwald 2 Deutschland-82377 Penzberg</v>
      </c>
      <c r="E316" s="6" t="str">
        <f>IFERROR(__xludf.DUMMYFUNCTION("""COMPUTED_VALUE""")," Telefon: +49 (0) 8856 60-0 Fax: +49 (0) 8856 60-3896http://www.roche.depenzberg.allgemein@remove-this.roche.com")</f>
        <v> Telefon: +49 (0) 8856 60-0 Fax: +49 (0) 8856 60-3896http://www.roche.depenzberg.allgemein@remove-this.roche.com</v>
      </c>
    </row>
    <row r="317">
      <c r="A317" s="6" t="str">
        <f>IFERROR(__xludf.DUMMYFUNCTION("""COMPUTED_VALUE""")," Category: Pharma &amp; Chemical Industry ")</f>
        <v> Category: Pharma &amp; Chemical Industry </v>
      </c>
      <c r="B317" s="6" t="str">
        <f>IFERROR(__xludf.DUMMYFUNCTION("""COMPUTED_VALUE"""),"Rudolph Research Analytical GmbH")</f>
        <v>Rudolph Research Analytical GmbH</v>
      </c>
      <c r="C317" s="6" t="str">
        <f>IFERROR(__xludf.DUMMYFUNCTION("""COMPUTED_VALUE"""),"Haselburgstr. 5 Deutschland-81545 München")</f>
        <v>Haselburgstr. 5 Deutschland-81545 München</v>
      </c>
      <c r="D317" s="7" t="str">
        <f>IFERROR(__xludf.DUMMYFUNCTION("""COMPUTED_VALUE"""),"https://www.rudolphresearch.com")</f>
        <v>https://www.rudolphresearch.com</v>
      </c>
      <c r="E317" s="6"/>
    </row>
    <row r="318">
      <c r="A318" s="6" t="str">
        <f>IFERROR(__xludf.DUMMYFUNCTION("""COMPUTED_VALUE""")," Category: Biotech Therapeutics &amp; Diagnostics ")</f>
        <v> Category: Biotech Therapeutics &amp; Diagnostics </v>
      </c>
      <c r="B318" s="6" t="str">
        <f>IFERROR(__xludf.DUMMYFUNCTION("""COMPUTED_VALUE"""),"SanoLiBio GmbH")</f>
        <v>SanoLiBio GmbH</v>
      </c>
      <c r="C318" s="6" t="str">
        <f>IFERROR(__xludf.DUMMYFUNCTION("""COMPUTED_VALUE"""),"Walpurgisstraße 4 Deutschland-81677 München")</f>
        <v>Walpurgisstraße 4 Deutschland-81677 München</v>
      </c>
      <c r="D318" s="6" t="str">
        <f>IFERROR(__xludf.DUMMYFUNCTION("""COMPUTED_VALUE""")," Telefon: +49 89 20 333 292https://www.sanolibio.cominfo@remove-this.sanolibio.com")</f>
        <v> Telefon: +49 89 20 333 292https://www.sanolibio.cominfo@remove-this.sanolibio.com</v>
      </c>
      <c r="E318" s="6"/>
    </row>
    <row r="319">
      <c r="A319" s="6" t="str">
        <f>IFERROR(__xludf.DUMMYFUNCTION("""COMPUTED_VALUE""")," Category: IT ")</f>
        <v> Category: IT </v>
      </c>
      <c r="B319" s="6" t="str">
        <f>IFERROR(__xludf.DUMMYFUNCTION("""COMPUTED_VALUE"""),"SCG Cell Therapy GmbH")</f>
        <v>SCG Cell Therapy GmbH</v>
      </c>
      <c r="C319" s="6" t="str">
        <f>IFERROR(__xludf.DUMMYFUNCTION("""COMPUTED_VALUE"""),"Am Klopferspitz 19 Deutschland-82152 Martinsried")</f>
        <v>Am Klopferspitz 19 Deutschland-82152 Martinsried</v>
      </c>
      <c r="D319" s="7" t="str">
        <f>IFERROR(__xludf.DUMMYFUNCTION("""COMPUTED_VALUE"""),"http://www.scgcell.com")</f>
        <v>http://www.scgcell.com</v>
      </c>
      <c r="E319" s="6"/>
    </row>
    <row r="320">
      <c r="A320" s="6" t="str">
        <f>IFERROR(__xludf.DUMMYFUNCTION("""COMPUTED_VALUE""")," Category: Pharma supplier and trade ")</f>
        <v> Category: Pharma supplier and trade </v>
      </c>
      <c r="B320" s="6" t="str">
        <f>IFERROR(__xludf.DUMMYFUNCTION("""COMPUTED_VALUE"""),"Scholz Labor und Klinikversorgungs GmbH")</f>
        <v>Scholz Labor und Klinikversorgungs GmbH</v>
      </c>
      <c r="C320" s="6" t="str">
        <f>IFERROR(__xludf.DUMMYFUNCTION("""COMPUTED_VALUE"""),"Arastr. 2 Deutschland-85579 Neubiberg")</f>
        <v>Arastr. 2 Deutschland-85579 Neubiberg</v>
      </c>
      <c r="D320" s="6" t="str">
        <f>IFERROR(__xludf.DUMMYFUNCTION("""COMPUTED_VALUE""")," Telefon: +49 (0) 89 66008999 Fax: +49 (0) 89 68092887http://www.s-scholz-gmbh.deinfo@remove-this.s-scholz-gmbh.de")</f>
        <v> Telefon: +49 (0) 89 66008999 Fax: +49 (0) 89 68092887http://www.s-scholz-gmbh.deinfo@remove-this.s-scholz-gmbh.de</v>
      </c>
      <c r="E320" s="6"/>
    </row>
    <row r="321">
      <c r="A321" s="6" t="str">
        <f>IFERROR(__xludf.DUMMYFUNCTION("""COMPUTED_VALUE""")," Category: Biotech Therapeutics &amp; Diagnostics ")</f>
        <v> Category: Biotech Therapeutics &amp; Diagnostics </v>
      </c>
      <c r="B321" s="6" t="str">
        <f>IFERROR(__xludf.DUMMYFUNCTION("""COMPUTED_VALUE""")," Keywords: Autoimmune Diseases, Rheumatoid Arthritis, Drug Development, 
Antibody, Inflammation ")</f>
        <v> Keywords: Autoimmune Diseases, Rheumatoid Arthritis, Drug Development, 
Antibody, Inflammation </v>
      </c>
      <c r="C321" s="6" t="str">
        <f>IFERROR(__xludf.DUMMYFUNCTION("""COMPUTED_VALUE"""),"SciRhom GmbH")</f>
        <v>SciRhom GmbH</v>
      </c>
      <c r="D321" s="6" t="str">
        <f>IFERROR(__xludf.DUMMYFUNCTION("""COMPUTED_VALUE"""),"Am Klopferspitz 19 Deutschland-82152 Martinsried")</f>
        <v>Am Klopferspitz 19 Deutschland-82152 Martinsried</v>
      </c>
      <c r="E321" s="6" t="str">
        <f>IFERROR(__xludf.DUMMYFUNCTION("""COMPUTED_VALUE""")," Telefon: +49-89-614241230 Fax: +49-89-614241240https://SciRhom.cominfo@remove-this.SciRhom.com")</f>
        <v> Telefon: +49-89-614241230 Fax: +49-89-614241240https://SciRhom.cominfo@remove-this.SciRhom.com</v>
      </c>
    </row>
    <row r="322">
      <c r="A322" s="6" t="str">
        <f>IFERROR(__xludf.DUMMYFUNCTION("""COMPUTED_VALUE""")," Category: Biotech Therapeutics &amp; Diagnostics ")</f>
        <v> Category: Biotech Therapeutics &amp; Diagnostics </v>
      </c>
      <c r="B322" s="6" t="str">
        <f>IFERROR(__xludf.DUMMYFUNCTION("""COMPUTED_VALUE"""),"Secarna Pharmaceuticals GmbH &amp; Co. KG")</f>
        <v>Secarna Pharmaceuticals GmbH &amp; Co. KG</v>
      </c>
      <c r="C322" s="6" t="str">
        <f>IFERROR(__xludf.DUMMYFUNCTION("""COMPUTED_VALUE"""),"Am Klopferspitz 19 Deutschland-82152 Martinsried")</f>
        <v>Am Klopferspitz 19 Deutschland-82152 Martinsried</v>
      </c>
      <c r="D322" s="6" t="str">
        <f>IFERROR(__xludf.DUMMYFUNCTION("""COMPUTED_VALUE""")," Telefon: +49 89 21546375http://www.secarna.cominfo@remove-this.secarna.com")</f>
        <v> Telefon: +49 89 21546375http://www.secarna.cominfo@remove-this.secarna.com</v>
      </c>
      <c r="E322" s="6"/>
    </row>
    <row r="323">
      <c r="A323" s="6" t="str">
        <f>IFERROR(__xludf.DUMMYFUNCTION("""COMPUTED_VALUE""")," Category: Biotech Therapeutics &amp; Diagnostics ")</f>
        <v> Category: Biotech Therapeutics &amp; Diagnostics </v>
      </c>
      <c r="B323" s="6" t="str">
        <f>IFERROR(__xludf.DUMMYFUNCTION("""COMPUTED_VALUE""")," Keywords: Cardiovascular Diseases, CNS, Drug Development, Peptide/Protein, 
Pain ")</f>
        <v> Keywords: Cardiovascular Diseases, CNS, Drug Development, Peptide/Protein, 
Pain </v>
      </c>
      <c r="C323" s="6" t="str">
        <f>IFERROR(__xludf.DUMMYFUNCTION("""COMPUTED_VALUE"""),"selectION Therapeutics GmbH")</f>
        <v>selectION Therapeutics GmbH</v>
      </c>
      <c r="D323" s="6" t="str">
        <f>IFERROR(__xludf.DUMMYFUNCTION("""COMPUTED_VALUE"""),"Am Klopferspitz 19 Deutschland-82152 Martinsried")</f>
        <v>Am Klopferspitz 19 Deutschland-82152 Martinsried</v>
      </c>
      <c r="E323" s="6" t="str">
        <f>IFERROR(__xludf.DUMMYFUNCTION("""COMPUTED_VALUE""")," Telefon: +49 (0) 89 547 2695-0 Fax: +49 (0) 89 547 2695-9https://www.selectiontherapeutics.cominfo@remove-this.selectiontherapeutics.com")</f>
        <v> Telefon: +49 (0) 89 547 2695-0 Fax: +49 (0) 89 547 2695-9https://www.selectiontherapeutics.cominfo@remove-this.selectiontherapeutics.com</v>
      </c>
    </row>
    <row r="324">
      <c r="A324" s="6" t="str">
        <f>IFERROR(__xludf.DUMMYFUNCTION("IMPORTXML(Q1,A2)")," Category: Biotech Therapeutics &amp; Diagnostics ")</f>
        <v> Category: Biotech Therapeutics &amp; Diagnostics </v>
      </c>
      <c r="B324" s="6" t="str">
        <f>IFERROR(__xludf.DUMMYFUNCTION("""COMPUTED_VALUE""")," Keywords: Autoimmune Diseases, Clinical Diagnostics, Antibody, ELISA/EIA ")</f>
        <v> Keywords: Autoimmune Diseases, Clinical Diagnostics, Antibody, ELISA/EIA </v>
      </c>
      <c r="C324" s="6" t="str">
        <f>IFERROR(__xludf.DUMMYFUNCTION("""COMPUTED_VALUE"""),"Sension GmbH")</f>
        <v>Sension GmbH</v>
      </c>
      <c r="D324" s="6" t="str">
        <f>IFERROR(__xludf.DUMMYFUNCTION("""COMPUTED_VALUE"""),"Provinostr. 52, Gebäude B14 Deutschland-86153 Augsburg")</f>
        <v>Provinostr. 52, Gebäude B14 Deutschland-86153 Augsburg</v>
      </c>
      <c r="E324" s="6" t="str">
        <f>IFERROR(__xludf.DUMMYFUNCTION("""COMPUTED_VALUE""")," Telefon: +49 (0) 821 455799-0 Fax: +49 (0) 821 455799-22http://www.sension.euinfo@remove-this.sension.eu")</f>
        <v> Telefon: +49 (0) 821 455799-0 Fax: +49 (0) 821 455799-22http://www.sension.euinfo@remove-this.sension.eu</v>
      </c>
    </row>
    <row r="325">
      <c r="A325" s="6" t="str">
        <f>IFERROR(__xludf.DUMMYFUNCTION("""COMPUTED_VALUE""")," Category: Biotech DNA/Protein Analytics ")</f>
        <v> Category: Biotech DNA/Protein Analytics </v>
      </c>
      <c r="B325" s="6" t="str">
        <f>IFERROR(__xludf.DUMMYFUNCTION("""COMPUTED_VALUE"""),"Sequiserve GmbH i.L.")</f>
        <v>Sequiserve GmbH i.L.</v>
      </c>
      <c r="C325" s="6" t="str">
        <f>IFERROR(__xludf.DUMMYFUNCTION("""COMPUTED_VALUE"""),"Amselweg 2 Deutschland-85591 Vaterstetten")</f>
        <v>Amselweg 2 Deutschland-85591 Vaterstetten</v>
      </c>
      <c r="D325" s="6" t="str">
        <f>IFERROR(__xludf.DUMMYFUNCTION("""COMPUTED_VALUE""")," Telefon: +49 (0) 8106 8887 Fax: +49 (0) 8106 301565http://www.sequiserve.deservice@remove-this.sequiserve.de")</f>
        <v> Telefon: +49 (0) 8106 8887 Fax: +49 (0) 8106 301565http://www.sequiserve.deservice@remove-this.sequiserve.de</v>
      </c>
      <c r="E325" s="6"/>
    </row>
    <row r="326">
      <c r="A326" s="6" t="str">
        <f>IFERROR(__xludf.DUMMYFUNCTION("""COMPUTED_VALUE""")," Category: Pharma supplier and trade ")</f>
        <v> Category: Pharma supplier and trade </v>
      </c>
      <c r="B326" s="6" t="str">
        <f>IFERROR(__xludf.DUMMYFUNCTION("""COMPUTED_VALUE"""),"SerEye GmbH")</f>
        <v>SerEye GmbH</v>
      </c>
      <c r="C326" s="6" t="str">
        <f>IFERROR(__xludf.DUMMYFUNCTION("""COMPUTED_VALUE"""),"Rudolf-Wissell-Str. 28a Deutschland-37079 Göttingen")</f>
        <v>Rudolf-Wissell-Str. 28a Deutschland-37079 Göttingen</v>
      </c>
      <c r="D326" s="6"/>
      <c r="E326" s="6"/>
    </row>
    <row r="327">
      <c r="A327" s="6" t="str">
        <f>IFERROR(__xludf.DUMMYFUNCTION("""COMPUTED_VALUE""")," Category: Pharma &amp; Chemical Industry ")</f>
        <v> Category: Pharma &amp; Chemical Industry </v>
      </c>
      <c r="B327" s="6" t="str">
        <f>IFERROR(__xludf.DUMMYFUNCTION("""COMPUTED_VALUE""")," Keywords: Cardiovascular Diseases, Hematology, Neurology, Rheumatoid 
Arthritis, Drug Development, Oncology ")</f>
        <v> Keywords: Cardiovascular Diseases, Hematology, Neurology, Rheumatoid 
Arthritis, Drug Development, Oncology </v>
      </c>
      <c r="C327" s="6" t="str">
        <f>IFERROR(__xludf.DUMMYFUNCTION("""COMPUTED_VALUE"""),"SERVIER Deutschland GmbH")</f>
        <v>SERVIER Deutschland GmbH</v>
      </c>
      <c r="D327" s="6" t="str">
        <f>IFERROR(__xludf.DUMMYFUNCTION("""COMPUTED_VALUE"""),"Elsenheimerstr. 53 Deutschland-80687 München")</f>
        <v>Elsenheimerstr. 53 Deutschland-80687 München</v>
      </c>
      <c r="E327" s="6" t="str">
        <f>IFERROR(__xludf.DUMMYFUNCTION("""COMPUTED_VALUE""")," Telefon: +49 (0) 89 57095-01 Fax: +49 (0) 89 57095-126http://www.servier.dearnd.prilipp@remove-this.servier.com")</f>
        <v> Telefon: +49 (0) 89 57095-01 Fax: +49 (0) 89 57095-126http://www.servier.dearnd.prilipp@remove-this.servier.com</v>
      </c>
    </row>
    <row r="328">
      <c r="A328" s="6" t="str">
        <f>IFERROR(__xludf.DUMMYFUNCTION("""COMPUTED_VALUE""")," Category: Biotech Devices &amp; Reagents ")</f>
        <v> Category: Biotech Devices &amp; Reagents </v>
      </c>
      <c r="B328" s="6" t="str">
        <f>IFERROR(__xludf.DUMMYFUNCTION("""COMPUTED_VALUE""")," Keywords: Genomics, Proteomics, CNS, Antibody, Small Molecules, Knock Out, 
PCR ")</f>
        <v> Keywords: Genomics, Proteomics, CNS, Antibody, Small Molecules, Knock Out, 
PCR </v>
      </c>
      <c r="C328" s="6" t="str">
        <f>IFERROR(__xludf.DUMMYFUNCTION("""COMPUTED_VALUE"""),"Sigma-Aldrich Chemie GmbH")</f>
        <v>Sigma-Aldrich Chemie GmbH</v>
      </c>
      <c r="D328" s="6" t="str">
        <f>IFERROR(__xludf.DUMMYFUNCTION("""COMPUTED_VALUE"""),"Eschenstr. 5 Deutschland-82024 Taufkirchen")</f>
        <v>Eschenstr. 5 Deutschland-82024 Taufkirchen</v>
      </c>
      <c r="E328" s="6" t="str">
        <f>IFERROR(__xludf.DUMMYFUNCTION("""COMPUTED_VALUE""")," Telefon: +49 (0) 89 6513-0 Fax: +49 (0) 89 6513-1169http://www.sigma-aldrich.comdeorders@remove-this.sial.com")</f>
        <v> Telefon: +49 (0) 89 6513-0 Fax: +49 (0) 89 6513-1169http://www.sigma-aldrich.comdeorders@remove-this.sial.com</v>
      </c>
    </row>
    <row r="329">
      <c r="A329" s="6" t="str">
        <f>IFERROR(__xludf.DUMMYFUNCTION("""COMPUTED_VALUE""")," Category: Biotech Therapeutics &amp; Diagnostics ")</f>
        <v> Category: Biotech Therapeutics &amp; Diagnostics </v>
      </c>
      <c r="B329" s="6" t="str">
        <f>IFERROR(__xludf.DUMMYFUNCTION("""COMPUTED_VALUE""")," Keywords: Diabetics, Metabolic Diseases ")</f>
        <v> Keywords: Diabetics, Metabolic Diseases </v>
      </c>
      <c r="C329" s="6" t="str">
        <f>IFERROR(__xludf.DUMMYFUNCTION("""COMPUTED_VALUE"""),"SiNatur GmbH")</f>
        <v>SiNatur GmbH</v>
      </c>
      <c r="D329" s="6" t="str">
        <f>IFERROR(__xludf.DUMMYFUNCTION("""COMPUTED_VALUE"""),"Am Klopferspitz 19 Deutschland-82152 Martinsried")</f>
        <v>Am Klopferspitz 19 Deutschland-82152 Martinsried</v>
      </c>
      <c r="E329" s="6" t="str">
        <f>IFERROR(__xludf.DUMMYFUNCTION("""COMPUTED_VALUE""")," Telefon: +49 (0) 89 85662-555 Fax: +49 (0) 89 85662-556http://www.sinatur.netinfo@remove-this.sinatur.net")</f>
        <v> Telefon: +49 (0) 89 85662-555 Fax: +49 (0) 89 85662-556http://www.sinatur.netinfo@remove-this.sinatur.net</v>
      </c>
    </row>
    <row r="330">
      <c r="A330" s="6" t="str">
        <f>IFERROR(__xludf.DUMMYFUNCTION("""COMPUTED_VALUE""")," Category: Biotech Therapeutics &amp; Diagnostics ")</f>
        <v> Category: Biotech Therapeutics &amp; Diagnostics </v>
      </c>
      <c r="B330" s="6" t="str">
        <f>IFERROR(__xludf.DUMMYFUNCTION("""COMPUTED_VALUE""")," Keywords: Autoimmune Diseases, Infectious Diseases, Drug Development, 
Inflammation, Molecular Diagnostics ")</f>
        <v> Keywords: Autoimmune Diseases, Infectious Diseases, Drug Development, 
Inflammation, Molecular Diagnostics </v>
      </c>
      <c r="C330" s="6" t="str">
        <f>IFERROR(__xludf.DUMMYFUNCTION("""COMPUTED_VALUE"""),"sinYmed GmbH i.Gr.")</f>
        <v>sinYmed GmbH i.Gr.</v>
      </c>
      <c r="D330" s="6" t="str">
        <f>IFERROR(__xludf.DUMMYFUNCTION("""COMPUTED_VALUE"""),"im IZB Am Klopferspitz 19 c/o amYmed Deutschland-82152 Martinsried")</f>
        <v>im IZB Am Klopferspitz 19 c/o amYmed Deutschland-82152 Martinsried</v>
      </c>
      <c r="E330" s="6" t="str">
        <f>IFERROR(__xludf.DUMMYFUNCTION("""COMPUTED_VALUE""")," Telefon: +49 89 57933775http://www.sinYmed.comoffice@remove-this.sinYmed.com")</f>
        <v> Telefon: +49 89 57933775http://www.sinYmed.comoffice@remove-this.sinYmed.com</v>
      </c>
    </row>
    <row r="331">
      <c r="A331" s="6" t="str">
        <f>IFERROR(__xludf.DUMMYFUNCTION("""COMPUTED_VALUE""")," Category: Biotech ")</f>
        <v> Category: Biotech </v>
      </c>
      <c r="B331" s="6" t="str">
        <f>IFERROR(__xludf.DUMMYFUNCTION("""COMPUTED_VALUE""")," Keywords: Antisense/Nucleotides, Gene Therapy, Rare Disease ")</f>
        <v> Keywords: Antisense/Nucleotides, Gene Therapy, Rare Disease </v>
      </c>
      <c r="C331" s="6" t="str">
        <f>IFERROR(__xludf.DUMMYFUNCTION("""COMPUTED_VALUE"""),"Sirana Pharma GmbH")</f>
        <v>Sirana Pharma GmbH</v>
      </c>
      <c r="D331" s="6" t="str">
        <f>IFERROR(__xludf.DUMMYFUNCTION("""COMPUTED_VALUE"""),"Am Klopferspitz 19 Deutschland-82152 Martinsried")</f>
        <v>Am Klopferspitz 19 Deutschland-82152 Martinsried</v>
      </c>
      <c r="E331" s="6" t="str">
        <f>IFERROR(__xludf.DUMMYFUNCTION("""COMPUTED_VALUE""")," Telefon: +4916098490619https://sirana-pharma.com/info@remove-this.sirana-pharma.com")</f>
        <v> Telefon: +4916098490619https://sirana-pharma.com/info@remove-this.sirana-pharma.com</v>
      </c>
    </row>
    <row r="332">
      <c r="A332" s="6" t="str">
        <f>IFERROR(__xludf.DUMMYFUNCTION("""COMPUTED_VALUE""")," Category: Biotech Devices &amp; Reagents ")</f>
        <v> Category: Biotech Devices &amp; Reagents </v>
      </c>
      <c r="B332" s="6" t="str">
        <f>IFERROR(__xludf.DUMMYFUNCTION("""COMPUTED_VALUE""")," Keywords: Drug Development, Gene Transfer, Cell Therapy, Gene Therapy, R&amp;D 
Service, Viruses ")</f>
        <v> Keywords: Drug Development, Gene Transfer, Cell Therapy, Gene Therapy, R&amp;D 
Service, Viruses </v>
      </c>
      <c r="C332" s="6" t="str">
        <f>IFERROR(__xludf.DUMMYFUNCTION("""COMPUTED_VALUE"""),"SIRION BIOTECH GmbH")</f>
        <v>SIRION BIOTECH GmbH</v>
      </c>
      <c r="D332" s="6" t="str">
        <f>IFERROR(__xludf.DUMMYFUNCTION("""COMPUTED_VALUE"""),"Am Haag 6 Deutschland-82166 Gräfelfing")</f>
        <v>Am Haag 6 Deutschland-82166 Gräfelfing</v>
      </c>
      <c r="E332" s="6" t="str">
        <f>IFERROR(__xludf.DUMMYFUNCTION("""COMPUTED_VALUE""")," Telefon: +49 (0) 89 700961-999 Fax: +49 (0) 89 700961-998http://www.sirion-biotech.cominfo@remove-this.sirion-biotech.de")</f>
        <v> Telefon: +49 (0) 89 700961-999 Fax: +49 (0) 89 700961-998http://www.sirion-biotech.cominfo@remove-this.sirion-biotech.de</v>
      </c>
    </row>
    <row r="333">
      <c r="A333" s="6" t="str">
        <f>IFERROR(__xludf.DUMMYFUNCTION("""COMPUTED_VALUE""")," Category: Biotech Devices &amp; Reagents ")</f>
        <v> Category: Biotech Devices &amp; Reagents </v>
      </c>
      <c r="B333" s="6" t="str">
        <f>IFERROR(__xludf.DUMMYFUNCTION("""COMPUTED_VALUE"""),"siTOOLs Biotech GmbH")</f>
        <v>siTOOLs Biotech GmbH</v>
      </c>
      <c r="C333" s="6" t="str">
        <f>IFERROR(__xludf.DUMMYFUNCTION("""COMPUTED_VALUE"""),"Lochhamer Str. 29 a Deutschland-82152 Planegg")</f>
        <v>Lochhamer Str. 29 a Deutschland-82152 Planegg</v>
      </c>
      <c r="D333" s="6" t="str">
        <f>IFERROR(__xludf.DUMMYFUNCTION("""COMPUTED_VALUE""")," Telefon: +49 89 12501 4800http://www.sitoolsbiotech.cominfo@remove-this.sitools.de")</f>
        <v> Telefon: +49 89 12501 4800http://www.sitoolsbiotech.cominfo@remove-this.sitools.de</v>
      </c>
      <c r="E333" s="6"/>
    </row>
    <row r="334">
      <c r="A334" s="6" t="str">
        <f>IFERROR(__xludf.DUMMYFUNCTION("""COMPUTED_VALUE""")," Category: Biotech Devices &amp; Reagents ")</f>
        <v> Category: Biotech Devices &amp; Reagents </v>
      </c>
      <c r="B334" s="6" t="str">
        <f>IFERROR(__xludf.DUMMYFUNCTION("""COMPUTED_VALUE""")," Keywords: Devices, Bioinformatics ")</f>
        <v> Keywords: Devices, Bioinformatics </v>
      </c>
      <c r="C334" s="6" t="str">
        <f>IFERROR(__xludf.DUMMYFUNCTION("""COMPUTED_VALUE"""),"Smart4Diagnostics GmbH")</f>
        <v>Smart4Diagnostics GmbH</v>
      </c>
      <c r="D334" s="6" t="str">
        <f>IFERROR(__xludf.DUMMYFUNCTION("""COMPUTED_VALUE"""),"Rupert-Mayer-Str. 44 Deutschland-81379 München")</f>
        <v>Rupert-Mayer-Str. 44 Deutschland-81379 München</v>
      </c>
      <c r="E334" s="6" t="str">
        <f>IFERROR(__xludf.DUMMYFUNCTION("""COMPUTED_VALUE""")," Telefon: +49 (0) 89 724 018 40https://smart4diagnostics.com/contact@remove-this.s4dx.com")</f>
        <v> Telefon: +49 (0) 89 724 018 40https://smart4diagnostics.com/contact@remove-this.s4dx.com</v>
      </c>
    </row>
    <row r="335">
      <c r="A335" s="6" t="str">
        <f>IFERROR(__xludf.DUMMYFUNCTION("""COMPUTED_VALUE""")," Category: Biotech Devices &amp; Reagents ")</f>
        <v> Category: Biotech Devices &amp; Reagents </v>
      </c>
      <c r="B335" s="6" t="str">
        <f>IFERROR(__xludf.DUMMYFUNCTION("""COMPUTED_VALUE""")," Keywords: Tissue Engineering/Cell Culture, Devices, Automation, PCR, 
Chip/Array Technology ")</f>
        <v> Keywords: Tissue Engineering/Cell Culture, Devices, Automation, PCR, 
Chip/Array Technology </v>
      </c>
      <c r="C335" s="6" t="str">
        <f>IFERROR(__xludf.DUMMYFUNCTION("""COMPUTED_VALUE"""),"SMARTEC IngenieurBüro")</f>
        <v>SMARTEC IngenieurBüro</v>
      </c>
      <c r="D335" s="6" t="str">
        <f>IFERROR(__xludf.DUMMYFUNCTION("""COMPUTED_VALUE"""),"Mühlthaler Str. 91c Deutschland-81475 München")</f>
        <v>Mühlthaler Str. 91c Deutschland-81475 München</v>
      </c>
      <c r="E335" s="6" t="str">
        <f>IFERROR(__xludf.DUMMYFUNCTION("""COMPUTED_VALUE""")," Telefon: +49 (0) 89 854665-13 +491775257377 Fax: +49 (0) 89 854665-15http://www.smartecbio.deulrichschubert@remove-this.smartecbio.de")</f>
        <v> Telefon: +49 (0) 89 854665-13 +491775257377 Fax: +49 (0) 89 854665-15http://www.smartecbio.deulrichschubert@remove-this.smartecbio.de</v>
      </c>
    </row>
    <row r="336">
      <c r="A336" s="6" t="str">
        <f>IFERROR(__xludf.DUMMYFUNCTION("""COMPUTED_VALUE""")," Category: CRO ")</f>
        <v> Category: CRO </v>
      </c>
      <c r="B336" s="6" t="str">
        <f>IFERROR(__xludf.DUMMYFUNCTION("""COMPUTED_VALUE""")," Keywords: Drug Development, Devices, Regulatory Affairs, 
Pharmacovigilance, Clinical Trial Management and Monitoring ")</f>
        <v> Keywords: Drug Development, Devices, Regulatory Affairs, 
Pharmacovigilance, Clinical Trial Management and Monitoring </v>
      </c>
      <c r="C336" s="6" t="str">
        <f>IFERROR(__xludf.DUMMYFUNCTION("""COMPUTED_VALUE"""),"Sourcia GmbH")</f>
        <v>Sourcia GmbH</v>
      </c>
      <c r="D336" s="6" t="str">
        <f>IFERROR(__xludf.DUMMYFUNCTION("""COMPUTED_VALUE"""),"Lochhamer Strasse 31 Deutschland-82152 Martinsried")</f>
        <v>Lochhamer Strasse 31 Deutschland-82152 Martinsried</v>
      </c>
      <c r="E336" s="6" t="str">
        <f>IFERROR(__xludf.DUMMYFUNCTION("""COMPUTED_VALUE""")," Telefon: +49 151 74403195http://www.sourcia.eu")</f>
        <v> Telefon: +49 151 74403195http://www.sourcia.eu</v>
      </c>
    </row>
    <row r="337">
      <c r="A337" s="6" t="str">
        <f>IFERROR(__xludf.DUMMYFUNCTION("""COMPUTED_VALUE""")," Category: CRO ")</f>
        <v> Category: CRO </v>
      </c>
      <c r="B337" s="6" t="str">
        <f>IFERROR(__xludf.DUMMYFUNCTION("""COMPUTED_VALUE""")," Keywords: Cardiovascular Diseases, Oncology, Data Management, Data 
Management and Biostatistics, Bioinformatics ")</f>
        <v> Keywords: Cardiovascular Diseases, Oncology, Data Management, Data 
Management and Biostatistics, Bioinformatics </v>
      </c>
      <c r="C337" s="6" t="str">
        <f>IFERROR(__xludf.DUMMYFUNCTION("""COMPUTED_VALUE"""),"Staburo GmbH - Data Science")</f>
        <v>Staburo GmbH - Data Science</v>
      </c>
      <c r="D337" s="6" t="str">
        <f>IFERROR(__xludf.DUMMYFUNCTION("""COMPUTED_VALUE"""),"Aschauer Str. 26a Deutschland-81549 München")</f>
        <v>Aschauer Str. 26a Deutschland-81549 München</v>
      </c>
      <c r="E337" s="6" t="str">
        <f>IFERROR(__xludf.DUMMYFUNCTION("""COMPUTED_VALUE""")," Telefon: +49 (0) 89 5527 1520https://www.staburo.deinfo@remove-this.staburo.de")</f>
        <v> Telefon: +49 (0) 89 5527 1520https://www.staburo.deinfo@remove-this.staburo.de</v>
      </c>
    </row>
    <row r="338">
      <c r="A338" s="6" t="str">
        <f>IFERROR(__xludf.DUMMYFUNCTION("""COMPUTED_VALUE""")," Category: Biotech Therapeutics &amp; Diagnostics ")</f>
        <v> Category: Biotech Therapeutics &amp; Diagnostics </v>
      </c>
      <c r="B338" s="6" t="str">
        <f>IFERROR(__xludf.DUMMYFUNCTION("""COMPUTED_VALUE"""),"StemVac GmbH")</f>
        <v>StemVac GmbH</v>
      </c>
      <c r="C338" s="6" t="str">
        <f>IFERROR(__xludf.DUMMYFUNCTION("""COMPUTED_VALUE"""),"Am Neuland 1 Deutschland-82347 Bernried")</f>
        <v>Am Neuland 1 Deutschland-82347 Bernried</v>
      </c>
      <c r="D338" s="6" t="str">
        <f>IFERROR(__xludf.DUMMYFUNCTION("""COMPUTED_VALUE""")," Telefon: +49 8158 9223-20 Fax: +49 8158 922335https://stemvac.com/")</f>
        <v> Telefon: +49 8158 9223-20 Fax: +49 8158 922335https://stemvac.com/</v>
      </c>
      <c r="E338" s="6"/>
    </row>
    <row r="339">
      <c r="A339" s="6" t="str">
        <f>IFERROR(__xludf.DUMMYFUNCTION("""COMPUTED_VALUE""")," Category: Biotech Therapeutics &amp; Diagnostics ")</f>
        <v> Category: Biotech Therapeutics &amp; Diagnostics </v>
      </c>
      <c r="B339" s="6" t="str">
        <f>IFERROR(__xludf.DUMMYFUNCTION("""COMPUTED_VALUE"""),"Swedish Orphan Biovitrum GmbH,SOBISwedish Orphan Biovitrum GmbH ")</f>
        <v>Swedish Orphan Biovitrum GmbH,SOBISwedish Orphan Biovitrum GmbH </v>
      </c>
      <c r="C339" s="6" t="str">
        <f>IFERROR(__xludf.DUMMYFUNCTION("""COMPUTED_VALUE"""),"Fraunhoferstr. 9a Deutschland-82152 Martinsried")</f>
        <v>Fraunhoferstr. 9a Deutschland-82152 Martinsried</v>
      </c>
      <c r="D339" s="6" t="str">
        <f>IFERROR(__xludf.DUMMYFUNCTION("""COMPUTED_VALUE""")," Telefon: +49-89 550 66 760https://www.sobi.commail.de@remove-this.sobi.com")</f>
        <v> Telefon: +49-89 550 66 760https://www.sobi.commail.de@remove-this.sobi.com</v>
      </c>
      <c r="E339" s="6"/>
    </row>
    <row r="340">
      <c r="A340" s="6" t="str">
        <f>IFERROR(__xludf.DUMMYFUNCTION("""COMPUTED_VALUE""")," Category: CRO ")</f>
        <v> Category: CRO </v>
      </c>
      <c r="B340" s="6" t="str">
        <f>IFERROR(__xludf.DUMMYFUNCTION("""COMPUTED_VALUE""")," Keywords: ---CRO/CMO---, Clinical Trial Management and Monitoring, Medical 
Writing ")</f>
        <v> Keywords: ---CRO/CMO---, Clinical Trial Management and Monitoring, Medical 
Writing </v>
      </c>
      <c r="C340" s="6" t="str">
        <f>IFERROR(__xludf.DUMMYFUNCTION("""COMPUTED_VALUE"""),"Syneos Health Germany GmbH")</f>
        <v>Syneos Health Germany GmbH</v>
      </c>
      <c r="D340" s="6" t="str">
        <f>IFERROR(__xludf.DUMMYFUNCTION("""COMPUTED_VALUE"""),"Stefan-George-Ring 6 Deutschland-81929 München")</f>
        <v>Stefan-George-Ring 6 Deutschland-81929 München</v>
      </c>
      <c r="E340" s="6" t="str">
        <f>IFERROR(__xludf.DUMMYFUNCTION("""COMPUTED_VALUE""")," Telefon: +49 (0) 89 993913-0 Fax: +49 (0) 89 993913-160http://www.syneoshealth.comreza.khosravani@remove-this.syneoshealth.com")</f>
        <v> Telefon: +49 (0) 89 993913-0 Fax: +49 (0) 89 993913-160http://www.syneoshealth.comreza.khosravani@remove-this.syneoshealth.com</v>
      </c>
    </row>
    <row r="341">
      <c r="A341" s="6" t="str">
        <f>IFERROR(__xludf.DUMMYFUNCTION("""COMPUTED_VALUE""")," Category: Biotech Therapeutics &amp; Diagnostics ")</f>
        <v> Category: Biotech Therapeutics &amp; Diagnostics </v>
      </c>
      <c r="B341" s="6" t="str">
        <f>IFERROR(__xludf.DUMMYFUNCTION("""COMPUTED_VALUE""")," Keywords: Laboratory, Bioanalytics, In-Vitro-Diagnostics ")</f>
        <v> Keywords: Laboratory, Bioanalytics, In-Vitro-Diagnostics </v>
      </c>
      <c r="C341" s="6" t="str">
        <f>IFERROR(__xludf.DUMMYFUNCTION("""COMPUTED_VALUE"""),"Synlab Holding GmbH,Synlab Umweltinstitut GmbHSynlab Holding GmbH ")</f>
        <v>Synlab Holding GmbH,Synlab Umweltinstitut GmbHSynlab Holding GmbH </v>
      </c>
      <c r="D341" s="6" t="str">
        <f>IFERROR(__xludf.DUMMYFUNCTION("""COMPUTED_VALUE"""),"Gubener Str. 39 Deutschland-86156 Augsburg")</f>
        <v>Gubener Str. 39 Deutschland-86156 Augsburg</v>
      </c>
      <c r="E341" s="6" t="str">
        <f>IFERROR(__xludf.DUMMYFUNCTION("""COMPUTED_VALUE""")," Telefon: +49 (0) 821 521570http://www.synlab.de/de/home/")</f>
        <v> Telefon: +49 (0) 821 521570http://www.synlab.de/de/home/</v>
      </c>
    </row>
    <row r="342">
      <c r="A342" s="6" t="str">
        <f>IFERROR(__xludf.DUMMYFUNCTION("""COMPUTED_VALUE""")," Category: Biotech DNA/Protein Analytics ")</f>
        <v> Category: Biotech DNA/Protein Analytics </v>
      </c>
      <c r="B342" s="6" t="str">
        <f>IFERROR(__xludf.DUMMYFUNCTION("""COMPUTED_VALUE""")," Keywords: Clinical Diagnostics, Analytical Chemistry, Molecular 
Diagnostics, Other Diagnostics ")</f>
        <v> Keywords: Clinical Diagnostics, Analytical Chemistry, Molecular 
Diagnostics, Other Diagnostics </v>
      </c>
      <c r="C342" s="6" t="str">
        <f>IFERROR(__xludf.DUMMYFUNCTION("""COMPUTED_VALUE"""),"synlab Labor München Zentrum, synlab Medizinisches Versorgungszentrum Labor 
München Zentrum GbR")</f>
        <v>synlab Labor München Zentrum, synlab Medizinisches Versorgungszentrum Labor 
München Zentrum GbR</v>
      </c>
      <c r="D342" s="6" t="str">
        <f>IFERROR(__xludf.DUMMYFUNCTION("""COMPUTED_VALUE"""),"Bayerstraße 53, 1. Stock/floor Deutschland-80335 München")</f>
        <v>Bayerstraße 53, 1. Stock/floor Deutschland-80335 München</v>
      </c>
      <c r="E342" s="6" t="str">
        <f>IFERROR(__xludf.DUMMYFUNCTION("""COMPUTED_VALUE""")," Telefon: +49 (0) 89 54308-0 Fax: +49 (0) 89 54308-120http://www.synlab.commuenchen.zentrum@remove-this.synlab.com")</f>
        <v> Telefon: +49 (0) 89 54308-0 Fax: +49 (0) 89 54308-120http://www.synlab.commuenchen.zentrum@remove-this.synlab.com</v>
      </c>
    </row>
    <row r="343">
      <c r="A343" s="6" t="str">
        <f>IFERROR(__xludf.DUMMYFUNCTION("""COMPUTED_VALUE""")," Category: CRO ")</f>
        <v> Category: CRO </v>
      </c>
      <c r="B343" s="6" t="str">
        <f>IFERROR(__xludf.DUMMYFUNCTION("""COMPUTED_VALUE""")," Keywords: Clinical Diagnostics, Logistics, Analytical Chemistry, 
Laboratory, Bioanalytics ")</f>
        <v> Keywords: Clinical Diagnostics, Logistics, Analytical Chemistry, 
Laboratory, Bioanalytics </v>
      </c>
      <c r="C343" s="6" t="str">
        <f>IFERROR(__xludf.DUMMYFUNCTION("""COMPUTED_VALUE"""),"SYNLAB pharma institute (formerly Interlab), a division of SYNLAB 
Umweltinstitut GmbHSYNLAB pharma institute (formerly Interlab) ")</f>
        <v>SYNLAB pharma institute (formerly Interlab), a division of SYNLAB 
Umweltinstitut GmbHSYNLAB pharma institute (formerly Interlab) </v>
      </c>
      <c r="D343" s="6" t="str">
        <f>IFERROR(__xludf.DUMMYFUNCTION("""COMPUTED_VALUE"""),"Bayerstr. 53, SPI-Munich, 6. Stock Deutschland-80335 München")</f>
        <v>Bayerstr. 53, SPI-Munich, 6. Stock Deutschland-80335 München</v>
      </c>
      <c r="E343" s="6" t="str">
        <f>IFERROR(__xludf.DUMMYFUNCTION("""COMPUTED_VALUE""")," Telefon: +49 (0) 89 741393-0 Fax: +49 (0) 89 741393-39http://www.synlab.comSPI-Munich@remove-this.synlab.com")</f>
        <v> Telefon: +49 (0) 89 741393-0 Fax: +49 (0) 89 741393-39http://www.synlab.comSPI-Munich@remove-this.synlab.com</v>
      </c>
    </row>
    <row r="344">
      <c r="A344" s="6" t="str">
        <f>IFERROR(__xludf.DUMMYFUNCTION("IMPORTXML(R1,A2)")," Category: CRO ")</f>
        <v> Category: CRO </v>
      </c>
      <c r="B344" s="6" t="str">
        <f>IFERROR(__xludf.DUMMYFUNCTION("""COMPUTED_VALUE""")," Keywords: Cardiovascular Diseases, CNS, Metabolic Diseases, Pain, 
Nephrology, Oncology ")</f>
        <v> Keywords: Cardiovascular Diseases, CNS, Metabolic Diseases, Pain, 
Nephrology, Oncology </v>
      </c>
      <c r="C344" s="6" t="str">
        <f>IFERROR(__xludf.DUMMYFUNCTION("""COMPUTED_VALUE"""),"Synteract GmbH")</f>
        <v>Synteract GmbH</v>
      </c>
      <c r="D344" s="6" t="str">
        <f>IFERROR(__xludf.DUMMYFUNCTION("""COMPUTED_VALUE"""),"Stefan-George-Ring 6 Deutschland-81929 München")</f>
        <v>Stefan-George-Ring 6 Deutschland-81929 München</v>
      </c>
      <c r="E344" s="6" t="str">
        <f>IFERROR(__xludf.DUMMYFUNCTION("""COMPUTED_VALUE""")," Telefon: +49 (0) 89 126680-0 Fax: +49 (0) 89 126680-2444https://www.synteract.com/")</f>
        <v> Telefon: +49 (0) 89 126680-0 Fax: +49 (0) 89 126680-2444https://www.synteract.com/</v>
      </c>
    </row>
    <row r="345">
      <c r="A345" s="6" t="str">
        <f>IFERROR(__xludf.DUMMYFUNCTION("""COMPUTED_VALUE""")," Category: Biotech Therapeutics &amp; Diagnostics ")</f>
        <v> Category: Biotech Therapeutics &amp; Diagnostics </v>
      </c>
      <c r="B345" s="6" t="str">
        <f>IFERROR(__xludf.DUMMYFUNCTION("""COMPUTED_VALUE""")," Keywords: CNS, Drug Development, Small Molecules, Personalized Medicine ")</f>
        <v> Keywords: CNS, Drug Development, Small Molecules, Personalized Medicine </v>
      </c>
      <c r="C345" s="6" t="str">
        <f>IFERROR(__xludf.DUMMYFUNCTION("""COMPUTED_VALUE"""),"Systasy Bioscience GmbH")</f>
        <v>Systasy Bioscience GmbH</v>
      </c>
      <c r="D345" s="6" t="str">
        <f>IFERROR(__xludf.DUMMYFUNCTION("""COMPUTED_VALUE"""),"Balanstr. 6 Deutschland-81669 München")</f>
        <v>Balanstr. 6 Deutschland-81669 München</v>
      </c>
      <c r="E345" s="6" t="str">
        <f>IFERROR(__xludf.DUMMYFUNCTION("""COMPUTED_VALUE""")," Telefon: +49 (0) 89 2155 3085 Fax: + 49 (0) 89 44005 5853http://www.systasy.deinfo@remove-this.systasy.de")</f>
        <v> Telefon: +49 (0) 89 2155 3085 Fax: + 49 (0) 89 44005 5853http://www.systasy.deinfo@remove-this.systasy.de</v>
      </c>
    </row>
    <row r="346">
      <c r="A346" s="6" t="str">
        <f>IFERROR(__xludf.DUMMYFUNCTION("""COMPUTED_VALUE""")," Category: Biotech Therapeutics &amp; Diagnostics ")</f>
        <v> Category: Biotech Therapeutics &amp; Diagnostics </v>
      </c>
      <c r="B346" s="6" t="str">
        <f>IFERROR(__xludf.DUMMYFUNCTION("""COMPUTED_VALUE""")," Keywords: Hematology, Drug Development, Cell Therapy, Oncology, 
Personalized Medicine ")</f>
        <v> Keywords: Hematology, Drug Development, Cell Therapy, Oncology, 
Personalized Medicine </v>
      </c>
      <c r="C346" s="6" t="str">
        <f>IFERROR(__xludf.DUMMYFUNCTION("""COMPUTED_VALUE"""),"T-CURX GmbH")</f>
        <v>T-CURX GmbH</v>
      </c>
      <c r="D346" s="6" t="str">
        <f>IFERROR(__xludf.DUMMYFUNCTION("""COMPUTED_VALUE"""),"Friedrich-Bergius-Ring 15 Deutschland-97076 Würzburg")</f>
        <v>Friedrich-Bergius-Ring 15 Deutschland-97076 Würzburg</v>
      </c>
      <c r="E346" s="6" t="str">
        <f>IFERROR(__xludf.DUMMYFUNCTION("""COMPUTED_VALUE""")," Telefon: +49 (0) 931/250 99 712http://t-curx.com/info@remove-this.t-curx.com")</f>
        <v> Telefon: +49 (0) 931/250 99 712http://t-curx.com/info@remove-this.t-curx.com</v>
      </c>
    </row>
    <row r="347">
      <c r="A347" s="6" t="str">
        <f>IFERROR(__xludf.DUMMYFUNCTION("""COMPUTED_VALUE""")," Category: Pharma &amp; Chemical Industry ")</f>
        <v> Category: Pharma &amp; Chemical Industry </v>
      </c>
      <c r="B347" s="6" t="str">
        <f>IFERROR(__xludf.DUMMYFUNCTION("""COMPUTED_VALUE""")," Keywords: Hematology, Nephrology, Oncology ")</f>
        <v> Keywords: Hematology, Nephrology, Oncology </v>
      </c>
      <c r="C347" s="6" t="str">
        <f>IFERROR(__xludf.DUMMYFUNCTION("""COMPUTED_VALUE"""),"TauroPharm GmbH")</f>
        <v>TauroPharm GmbH</v>
      </c>
      <c r="D347" s="6" t="str">
        <f>IFERROR(__xludf.DUMMYFUNCTION("""COMPUTED_VALUE"""),"August-Bebel-Straße 51 Deutschland-97297 Waldbüttelbrunn")</f>
        <v>August-Bebel-Straße 51 Deutschland-97297 Waldbüttelbrunn</v>
      </c>
      <c r="E347" s="6" t="str">
        <f>IFERROR(__xludf.DUMMYFUNCTION("""COMPUTED_VALUE""")," Telefon: +49 (0) 931 30 42 99 0 Fax: +49 (0) 931 30 42 99 29http://www.tauropharm.decontact@remove-this.tauropharm.de")</f>
        <v> Telefon: +49 (0) 931 30 42 99 0 Fax: +49 (0) 931 30 42 99 29http://www.tauropharm.decontact@remove-this.tauropharm.de</v>
      </c>
    </row>
    <row r="348">
      <c r="A348" s="6" t="str">
        <f>IFERROR(__xludf.DUMMYFUNCTION("""COMPUTED_VALUE""")," Category: Biotech DNA/Protein Analytics ")</f>
        <v> Category: Biotech DNA/Protein Analytics </v>
      </c>
      <c r="B348" s="6" t="str">
        <f>IFERROR(__xludf.DUMMYFUNCTION("""COMPUTED_VALUE"""),"TecLabS Technical Laboratory Services Europe GmbH &amp; Co. KG")</f>
        <v>TecLabS Technical Laboratory Services Europe GmbH &amp; Co. KG</v>
      </c>
      <c r="C348" s="6" t="str">
        <f>IFERROR(__xludf.DUMMYFUNCTION("""COMPUTED_VALUE"""),"Weidkamp 180 Deutschland-45356 Essen")</f>
        <v>Weidkamp 180 Deutschland-45356 Essen</v>
      </c>
      <c r="D348" s="7" t="str">
        <f>IFERROR(__xludf.DUMMYFUNCTION("""COMPUTED_VALUE"""),"https://teclabs.de")</f>
        <v>https://teclabs.de</v>
      </c>
      <c r="E348" s="6"/>
    </row>
    <row r="349">
      <c r="A349" s="6" t="str">
        <f>IFERROR(__xludf.DUMMYFUNCTION("""COMPUTED_VALUE""")," Category: Consultants ")</f>
        <v> Category: Consultants </v>
      </c>
      <c r="B349" s="6" t="str">
        <f>IFERROR(__xludf.DUMMYFUNCTION("""COMPUTED_VALUE""")," Keywords: Drug Development, Devices, Laboratory, Pharmacovigiliance, 
Regulatory Affairs, Medical Writing ")</f>
        <v> Keywords: Drug Development, Devices, Laboratory, Pharmacovigiliance, 
Regulatory Affairs, Medical Writing </v>
      </c>
      <c r="C349" s="6" t="str">
        <f>IFERROR(__xludf.DUMMYFUNCTION("""COMPUTED_VALUE"""),"TentaConsult Pharma &amp; Med GmbH")</f>
        <v>TentaConsult Pharma &amp; Med GmbH</v>
      </c>
      <c r="D349" s="6" t="str">
        <f>IFERROR(__xludf.DUMMYFUNCTION("""COMPUTED_VALUE"""),"Fraunhoferstr. 9 Deutschland-82152 Martinsried")</f>
        <v>Fraunhoferstr. 9 Deutschland-82152 Martinsried</v>
      </c>
      <c r="E349" s="6" t="str">
        <f>IFERROR(__xludf.DUMMYFUNCTION("""COMPUTED_VALUE""")," Telefon: +49 (0) 89 200 0203-50 Fax: +49 (0) 89 200 0203-66https://www.tentaconsult.com/info@remove-this.tentaconsult.com")</f>
        <v> Telefon: +49 (0) 89 200 0203-50 Fax: +49 (0) 89 200 0203-66https://www.tentaconsult.com/info@remove-this.tentaconsult.com</v>
      </c>
    </row>
    <row r="350">
      <c r="A350" s="6" t="str">
        <f>IFERROR(__xludf.DUMMYFUNCTION("""COMPUTED_VALUE""")," Category: Biotech Preclinical Services ")</f>
        <v> Category: Biotech Preclinical Services </v>
      </c>
      <c r="B350" s="6" t="str">
        <f>IFERROR(__xludf.DUMMYFUNCTION("""COMPUTED_VALUE""")," Keywords: Toxicology ")</f>
        <v> Keywords: Toxicology </v>
      </c>
      <c r="C350" s="6" t="str">
        <f>IFERROR(__xludf.DUMMYFUNCTION("""COMPUTED_VALUE"""),"The NCD Company GmbHThe NCD Company UG ")</f>
        <v>The NCD Company GmbHThe NCD Company UG </v>
      </c>
      <c r="D350" s="6" t="str">
        <f>IFERROR(__xludf.DUMMYFUNCTION("""COMPUTED_VALUE"""),"Propst-Hartl-Straße 8 Deutschland-82398 Polling")</f>
        <v>Propst-Hartl-Straße 8 Deutschland-82398 Polling</v>
      </c>
      <c r="E350" s="6" t="str">
        <f>IFERROR(__xludf.DUMMYFUNCTION("""COMPUTED_VALUE""")," Telefon: +49 (0) 881 12123876https://www.ncd-company.cominfo@remove-this.ncd-company.com")</f>
        <v> Telefon: +49 (0) 881 12123876https://www.ncd-company.cominfo@remove-this.ncd-company.com</v>
      </c>
    </row>
    <row r="351">
      <c r="A351" s="6" t="str">
        <f>IFERROR(__xludf.DUMMYFUNCTION("""COMPUTED_VALUE""")," Category: CRO ")</f>
        <v> Category: CRO </v>
      </c>
      <c r="B351" s="6" t="str">
        <f>IFERROR(__xludf.DUMMYFUNCTION("""COMPUTED_VALUE""")," Keywords: Data Management and Biostatistics, Medical Writing ")</f>
        <v> Keywords: Data Management and Biostatistics, Medical Writing </v>
      </c>
      <c r="C351" s="6" t="str">
        <f>IFERROR(__xludf.DUMMYFUNCTION("""COMPUTED_VALUE"""),"Therapyte GmbH")</f>
        <v>Therapyte GmbH</v>
      </c>
      <c r="D351" s="6" t="str">
        <f>IFERROR(__xludf.DUMMYFUNCTION("""COMPUTED_VALUE"""),"Theresienhoehe 28 Office 135 Deutschland-80339 München")</f>
        <v>Theresienhoehe 28 Office 135 Deutschland-80339 München</v>
      </c>
      <c r="E351" s="6" t="str">
        <f>IFERROR(__xludf.DUMMYFUNCTION("""COMPUTED_VALUE"""),"http://therapyte.cominfo@remove-this.therapyte.com")</f>
        <v>http://therapyte.cominfo@remove-this.therapyte.com</v>
      </c>
    </row>
    <row r="352">
      <c r="A352" s="6" t="str">
        <f>IFERROR(__xludf.DUMMYFUNCTION("""COMPUTED_VALUE""")," Category: Pharma &amp; Chemical Industry ")</f>
        <v> Category: Pharma &amp; Chemical Industry </v>
      </c>
      <c r="B352" s="6" t="str">
        <f>IFERROR(__xludf.DUMMYFUNCTION("""COMPUTED_VALUE""")," Keywords: Oncology, In-Vitro-Diagnostics ")</f>
        <v> Keywords: Oncology, In-Vitro-Diagnostics </v>
      </c>
      <c r="C352" s="6" t="str">
        <f>IFERROR(__xludf.DUMMYFUNCTION("""COMPUTED_VALUE"""),"Therawis Diagnostics GmbH")</f>
        <v>Therawis Diagnostics GmbH</v>
      </c>
      <c r="D352" s="6" t="str">
        <f>IFERROR(__xludf.DUMMYFUNCTION("""COMPUTED_VALUE"""),"Grillparzerstrasse 14 Deutschland-81675 München")</f>
        <v>Grillparzerstrasse 14 Deutschland-81675 München</v>
      </c>
      <c r="E352" s="6" t="str">
        <f>IFERROR(__xludf.DUMMYFUNCTION("""COMPUTED_VALUE"""),"http://www.therawis.cominfo@remove-this.therawis.com")</f>
        <v>http://www.therawis.cominfo@remove-this.therawis.com</v>
      </c>
    </row>
    <row r="353">
      <c r="A353" s="6" t="str">
        <f>IFERROR(__xludf.DUMMYFUNCTION("""COMPUTED_VALUE""")," Category: Biotech Therapeutics &amp; Diagnostics ")</f>
        <v> Category: Biotech Therapeutics &amp; Diagnostics </v>
      </c>
      <c r="B353" s="6" t="str">
        <f>IFERROR(__xludf.DUMMYFUNCTION("""COMPUTED_VALUE""")," Keywords: Drug Development, Drug Delivery, Liposomes, Small Molecules, 
Oncology ")</f>
        <v> Keywords: Drug Development, Drug Delivery, Liposomes, Small Molecules, 
Oncology </v>
      </c>
      <c r="C353" s="6" t="str">
        <f>IFERROR(__xludf.DUMMYFUNCTION("""COMPUTED_VALUE"""),"Thermosome GmbH")</f>
        <v>Thermosome GmbH</v>
      </c>
      <c r="D353" s="6" t="str">
        <f>IFERROR(__xludf.DUMMYFUNCTION("""COMPUTED_VALUE"""),"Am Klopferspitz 19 Deutschland-82152 Martinsried")</f>
        <v>Am Klopferspitz 19 Deutschland-82152 Martinsried</v>
      </c>
      <c r="E353" s="6" t="str">
        <f>IFERROR(__xludf.DUMMYFUNCTION("""COMPUTED_VALUE""")," Telefon: +49 (0) 89 716 7760-31 Fax: +49 (0) 89 716 7760-49http://www.thermosome.cominfo@remove-this.thermosome.com")</f>
        <v> Telefon: +49 (0) 89 716 7760-31 Fax: +49 (0) 89 716 7760-49http://www.thermosome.cominfo@remove-this.thermosome.com</v>
      </c>
    </row>
    <row r="354">
      <c r="A354" s="6" t="str">
        <f>IFERROR(__xludf.DUMMYFUNCTION("""COMPUTED_VALUE""")," Category: Biotech Devices &amp; Reagents ")</f>
        <v> Category: Biotech Devices &amp; Reagents </v>
      </c>
      <c r="B354" s="6" t="str">
        <f>IFERROR(__xludf.DUMMYFUNCTION("""COMPUTED_VALUE""")," Keywords: Nanobiotechnology, New Materials ")</f>
        <v> Keywords: Nanobiotechnology, New Materials </v>
      </c>
      <c r="C354" s="6" t="str">
        <f>IFERROR(__xludf.DUMMYFUNCTION("""COMPUTED_VALUE"""),"tilibit nanosystems GmbH")</f>
        <v>tilibit nanosystems GmbH</v>
      </c>
      <c r="D354" s="6" t="str">
        <f>IFERROR(__xludf.DUMMYFUNCTION("""COMPUTED_VALUE"""),"Friedenstraße 18 Deutschland-81671 München")</f>
        <v>Friedenstraße 18 Deutschland-81671 München</v>
      </c>
      <c r="E354" s="6" t="str">
        <f>IFERROR(__xludf.DUMMYFUNCTION("""COMPUTED_VALUE"""),"https://www.tilibit.cominfo@remove-this.tilibit.com")</f>
        <v>https://www.tilibit.cominfo@remove-this.tilibit.com</v>
      </c>
    </row>
    <row r="355">
      <c r="A355" s="6" t="str">
        <f>IFERROR(__xludf.DUMMYFUNCTION("""COMPUTED_VALUE""")," Category: Biotech Devices &amp; Reagents ")</f>
        <v> Category: Biotech Devices &amp; Reagents </v>
      </c>
      <c r="B355" s="6" t="str">
        <f>IFERROR(__xludf.DUMMYFUNCTION("""COMPUTED_VALUE""")," Keywords: 3D-Structural Analysis, Automation, Microscopy, Imaging ")</f>
        <v> Keywords: 3D-Structural Analysis, Automation, Microscopy, Imaging </v>
      </c>
      <c r="C355" s="6" t="str">
        <f>IFERROR(__xludf.DUMMYFUNCTION("""COMPUTED_VALUE"""),"TILL I.D. GmbH")</f>
        <v>TILL I.D. GmbH</v>
      </c>
      <c r="D355" s="6" t="str">
        <f>IFERROR(__xludf.DUMMYFUNCTION("""COMPUTED_VALUE"""),"Am Klopferspitz 19a Deutschland-82152 Planegg/Martinsried")</f>
        <v>Am Klopferspitz 19a Deutschland-82152 Planegg/Martinsried</v>
      </c>
      <c r="E355" s="6" t="str">
        <f>IFERROR(__xludf.DUMMYFUNCTION("""COMPUTED_VALUE""")," Telefon: +49 (0) 89 2032 4142 20 Fax: +49 (0) 89 2032 4142 90http://www.till-id.cominfo@remove-this.till-id.com")</f>
        <v> Telefon: +49 (0) 89 2032 4142 20 Fax: +49 (0) 89 2032 4142 90http://www.till-id.cominfo@remove-this.till-id.com</v>
      </c>
    </row>
    <row r="356">
      <c r="A356" s="6" t="str">
        <f>IFERROR(__xludf.DUMMYFUNCTION("""COMPUTED_VALUE""")," Category: Biotech DNA/Protein Analytics ")</f>
        <v> Category: Biotech DNA/Protein Analytics </v>
      </c>
      <c r="B356" s="6" t="str">
        <f>IFERROR(__xludf.DUMMYFUNCTION("""COMPUTED_VALUE""")," Keywords: Proteomics ")</f>
        <v> Keywords: Proteomics </v>
      </c>
      <c r="C356" s="6" t="str">
        <f>IFERROR(__xludf.DUMMYFUNCTION("""COMPUTED_VALUE"""),"TOPLAB GmbH")</f>
        <v>TOPLAB GmbH</v>
      </c>
      <c r="D356" s="6" t="str">
        <f>IFERROR(__xludf.DUMMYFUNCTION("""COMPUTED_VALUE"""),"Fraunhoferstr. 18 a Deutschland-82152 Martinsried")</f>
        <v>Fraunhoferstr. 18 a Deutschland-82152 Martinsried</v>
      </c>
      <c r="E356" s="6" t="str">
        <f>IFERROR(__xludf.DUMMYFUNCTION("""COMPUTED_VALUE""")," Telefon: +49 (0) 89 2441 45412-81 Fax: +49 (0) 89 2441 45412-86http://www.toplab.deinfo@remove-this.toplab.de")</f>
        <v> Telefon: +49 (0) 89 2441 45412-81 Fax: +49 (0) 89 2441 45412-86http://www.toplab.deinfo@remove-this.toplab.de</v>
      </c>
    </row>
    <row r="357">
      <c r="A357" s="6" t="str">
        <f>IFERROR(__xludf.DUMMYFUNCTION("""COMPUTED_VALUE""")," Category: CRO ")</f>
        <v> Category: CRO </v>
      </c>
      <c r="B357" s="6" t="str">
        <f>IFERROR(__xludf.DUMMYFUNCTION("""COMPUTED_VALUE"""),"Trial Form Support Germany (TFS)")</f>
        <v>Trial Form Support Germany (TFS)</v>
      </c>
      <c r="C357" s="6" t="str">
        <f>IFERROR(__xludf.DUMMYFUNCTION("""COMPUTED_VALUE"""),"Radlkoferstr. 2 Deutschland-81373 München")</f>
        <v>Radlkoferstr. 2 Deutschland-81373 München</v>
      </c>
      <c r="D357" s="6" t="str">
        <f>IFERROR(__xludf.DUMMYFUNCTION("""COMPUTED_VALUE""")," Telefon: +49 (0) 40 55 44 01 0https://www.tfscro.com/contact-us/germany")</f>
        <v> Telefon: +49 (0) 40 55 44 01 0https://www.tfscro.com/contact-us/germany</v>
      </c>
      <c r="E357" s="6"/>
    </row>
    <row r="358">
      <c r="A358" s="6" t="str">
        <f>IFERROR(__xludf.DUMMYFUNCTION("""COMPUTED_VALUE""")," Category: CRO ")</f>
        <v> Category: CRO </v>
      </c>
      <c r="B358" s="6" t="str">
        <f>IFERROR(__xludf.DUMMYFUNCTION("""COMPUTED_VALUE""")," Keywords: Laboratory, Molecular Diagnostics, Regulatory Affairs, Clinical 
Trial Management and Monitoring, Data Management and Biostatistics, 
In-Vitro-Diagnostics ")</f>
        <v> Keywords: Laboratory, Molecular Diagnostics, Regulatory Affairs, Clinical 
Trial Management and Monitoring, Data Management and Biostatistics, 
In-Vitro-Diagnostics </v>
      </c>
      <c r="C358" s="6" t="str">
        <f>IFERROR(__xludf.DUMMYFUNCTION("""COMPUTED_VALUE"""),"TRIGA-S GmbH")</f>
        <v>TRIGA-S GmbH</v>
      </c>
      <c r="D358" s="6" t="str">
        <f>IFERROR(__xludf.DUMMYFUNCTION("""COMPUTED_VALUE"""),"Mühltal 5 Deutschland-82392 Habach")</f>
        <v>Mühltal 5 Deutschland-82392 Habach</v>
      </c>
      <c r="E358" s="6" t="str">
        <f>IFERROR(__xludf.DUMMYFUNCTION("""COMPUTED_VALUE""")," Telefon: +49 (0) 8847 695 78 0 Fax: +49 (0) 8847 695 78 29http://www.triga-s.deinfo@remove-this.triga-s.de")</f>
        <v> Telefon: +49 (0) 8847 695 78 0 Fax: +49 (0) 8847 695 78 29http://www.triga-s.deinfo@remove-this.triga-s.de</v>
      </c>
    </row>
    <row r="359">
      <c r="A359" s="6" t="str">
        <f>IFERROR(__xludf.DUMMYFUNCTION("""COMPUTED_VALUE""")," Category: Biotech Preclinical Services ")</f>
        <v> Category: Biotech Preclinical Services </v>
      </c>
      <c r="B359" s="6" t="str">
        <f>IFERROR(__xludf.DUMMYFUNCTION("""COMPUTED_VALUE""")," Keywords: Immune Therapy, Drug Development, Antibody Production Service ")</f>
        <v> Keywords: Immune Therapy, Drug Development, Antibody Production Service </v>
      </c>
      <c r="C359" s="6" t="str">
        <f>IFERROR(__xludf.DUMMYFUNCTION("""COMPUTED_VALUE"""),"TRION Research GmbH")</f>
        <v>TRION Research GmbH</v>
      </c>
      <c r="D359" s="6" t="str">
        <f>IFERROR(__xludf.DUMMYFUNCTION("""COMPUTED_VALUE"""),"Am Klopferspitz 19 Deutschland-82152 Martinsried")</f>
        <v>Am Klopferspitz 19 Deutschland-82152 Martinsried</v>
      </c>
      <c r="E359" s="6" t="str">
        <f>IFERROR(__xludf.DUMMYFUNCTION("""COMPUTED_VALUE""")," Telefon: +49 (0) 89 700766-0 Fax: +49 (0) 89 700766-11http://www.trionresearch.commail@remove-this.trionresearch.de")</f>
        <v> Telefon: +49 (0) 89 700766-0 Fax: +49 (0) 89 700766-11http://www.trionresearch.commail@remove-this.trionresearch.de</v>
      </c>
    </row>
    <row r="360">
      <c r="A360" s="6" t="str">
        <f>IFERROR(__xludf.DUMMYFUNCTION("""COMPUTED_VALUE""")," Category: Pharma &amp; Chemical Industry ")</f>
        <v> Category: Pharma &amp; Chemical Industry </v>
      </c>
      <c r="B360" s="6" t="str">
        <f>IFERROR(__xludf.DUMMYFUNCTION("""COMPUTED_VALUE"""),"TriOptoTec GmbH,DYPHOX AntimicrobialTriOptoTec GmbH ")</f>
        <v>TriOptoTec GmbH,DYPHOX AntimicrobialTriOptoTec GmbH </v>
      </c>
      <c r="C360" s="6" t="str">
        <f>IFERROR(__xludf.DUMMYFUNCTION("""COMPUTED_VALUE"""),"Am Biopark 13 Deutschland-93053 Regensburg")</f>
        <v>Am Biopark 13 Deutschland-93053 Regensburg</v>
      </c>
      <c r="D360" s="7" t="str">
        <f>IFERROR(__xludf.DUMMYFUNCTION("""COMPUTED_VALUE"""),"https://dyphox.com/")</f>
        <v>https://dyphox.com/</v>
      </c>
      <c r="E360" s="6"/>
    </row>
    <row r="361">
      <c r="A361" s="6" t="str">
        <f>IFERROR(__xludf.DUMMYFUNCTION("""COMPUTED_VALUE""")," Category: Biotech ")</f>
        <v> Category: Biotech </v>
      </c>
      <c r="B361" s="6" t="str">
        <f>IFERROR(__xludf.DUMMYFUNCTION("""COMPUTED_VALUE"""),"UroQuant GmbH")</f>
        <v>UroQuant GmbH</v>
      </c>
      <c r="C361" s="6" t="str">
        <f>IFERROR(__xludf.DUMMYFUNCTION("""COMPUTED_VALUE"""),"Industriestr. 1 Deutschland-93077 Bad Abbach")</f>
        <v>Industriestr. 1 Deutschland-93077 Bad Abbach</v>
      </c>
      <c r="D361" s="6" t="str">
        <f>IFERROR(__xludf.DUMMYFUNCTION("""COMPUTED_VALUE""")," Telefon: +49 (0) 9405 96 999 10 Fax: +49 (9405) 96 999 28http://www.uroquant.com/bcdiagnostics@remove-this.uroquant.com")</f>
        <v> Telefon: +49 (0) 9405 96 999 10 Fax: +49 (9405) 96 999 28http://www.uroquant.com/bcdiagnostics@remove-this.uroquant.com</v>
      </c>
      <c r="E361" s="6"/>
    </row>
    <row r="362">
      <c r="A362" s="6" t="str">
        <f>IFERROR(__xludf.DUMMYFUNCTION("""COMPUTED_VALUE""")," Category: Medtech ")</f>
        <v> Category: Medtech </v>
      </c>
      <c r="B362" s="6" t="str">
        <f>IFERROR(__xludf.DUMMYFUNCTION("""COMPUTED_VALUE""")," Keywords: Infectious Diseases, Respiratory Diseases, Drug Delivery, 
Peptide/Protein, Small Molecules, Inflammation, Devices ")</f>
        <v> Keywords: Infectious Diseases, Respiratory Diseases, Drug Delivery, 
Peptide/Protein, Small Molecules, Inflammation, Devices </v>
      </c>
      <c r="C362" s="6" t="str">
        <f>IFERROR(__xludf.DUMMYFUNCTION("""COMPUTED_VALUE"""),"Vectura GmbH,(formerly Activaero GmbH)Vectura GmbH ")</f>
        <v>Vectura GmbH,(formerly Activaero GmbH)Vectura GmbH </v>
      </c>
      <c r="D362" s="6" t="str">
        <f>IFERROR(__xludf.DUMMYFUNCTION("""COMPUTED_VALUE"""),"Robert-Koch-Allee 29 Deutschland-82131 Gauting")</f>
        <v>Robert-Koch-Allee 29 Deutschland-82131 Gauting</v>
      </c>
      <c r="E362" s="6" t="str">
        <f>IFERROR(__xludf.DUMMYFUNCTION("""COMPUTED_VALUE""")," Telefon: +49 (0) 89 897969-0 Fax: +49 (0) 89 897969-22http://www.vectura.cominfo@remove-this.vectura.com")</f>
        <v> Telefon: +49 (0) 89 897969-0 Fax: +49 (0) 89 897969-22http://www.vectura.cominfo@remove-this.vectura.com</v>
      </c>
    </row>
    <row r="363">
      <c r="A363" s="6" t="str">
        <f>IFERROR(__xludf.DUMMYFUNCTION("""COMPUTED_VALUE""")," Category: Biotech Therapeutics &amp; Diagnostics ")</f>
        <v> Category: Biotech Therapeutics &amp; Diagnostics </v>
      </c>
      <c r="B363" s="6" t="str">
        <f>IFERROR(__xludf.DUMMYFUNCTION("""COMPUTED_VALUE""")," Keywords: Infectious Diseases, Drug Delivery ")</f>
        <v> Keywords: Infectious Diseases, Drug Delivery </v>
      </c>
      <c r="C363" s="6" t="str">
        <f>IFERROR(__xludf.DUMMYFUNCTION("""COMPUTED_VALUE"""),"Ventaleon GmbH")</f>
        <v>Ventaleon GmbH</v>
      </c>
      <c r="D363" s="6" t="str">
        <f>IFERROR(__xludf.DUMMYFUNCTION("""COMPUTED_VALUE"""),"Wohraer Str. 37 Deutschland-35285 Gemünden/Wohra")</f>
        <v>Wohraer Str. 37 Deutschland-35285 Gemünden/Wohra</v>
      </c>
      <c r="E363" s="6" t="str">
        <f>IFERROR(__xludf.DUMMYFUNCTION("""COMPUTED_VALUE""")," Telefon: +49 6453 58530 40 Fax: +49 6453 58530 50http://www.ventaleon.de")</f>
        <v> Telefon: +49 6453 58530 40 Fax: +49 6453 58530 50http://www.ventaleon.de</v>
      </c>
    </row>
    <row r="364">
      <c r="A364" s="6" t="str">
        <f>IFERROR(__xludf.DUMMYFUNCTION("IMPORTXML(S1,A2)")," Category: Biotech Agro, Food, Environment ")</f>
        <v> Category: Biotech Agro, Food, Environment </v>
      </c>
      <c r="B364" s="6" t="str">
        <f>IFERROR(__xludf.DUMMYFUNCTION("""COMPUTED_VALUE""")," Keywords: Microscopy, Laboratory, Other Diagnostics, Bioanalytics ")</f>
        <v> Keywords: Microscopy, Laboratory, Other Diagnostics, Bioanalytics </v>
      </c>
      <c r="C364" s="6" t="str">
        <f>IFERROR(__xludf.DUMMYFUNCTION("""COMPUTED_VALUE"""),"vermicon AG")</f>
        <v>vermicon AG</v>
      </c>
      <c r="D364" s="6" t="str">
        <f>IFERROR(__xludf.DUMMYFUNCTION("""COMPUTED_VALUE"""),"Zeppelinstraße 3 Deutschland-85399 Halbergmoos")</f>
        <v>Zeppelinstraße 3 Deutschland-85399 Halbergmoos</v>
      </c>
      <c r="E364" s="6" t="str">
        <f>IFERROR(__xludf.DUMMYFUNCTION("""COMPUTED_VALUE""")," Telefon: +498111244940 Fax: 081112449410http://www.vermicon.cominfo@remove-this.vermicon.com")</f>
        <v> Telefon: +498111244940 Fax: 081112449410http://www.vermicon.cominfo@remove-this.vermicon.com</v>
      </c>
    </row>
    <row r="365">
      <c r="A365" s="6" t="str">
        <f>IFERROR(__xludf.DUMMYFUNCTION("""COMPUTED_VALUE""")," Category: Biotech Therapeutics &amp; Diagnostics ")</f>
        <v> Category: Biotech Therapeutics &amp; Diagnostics </v>
      </c>
      <c r="B365" s="6" t="str">
        <f>IFERROR(__xludf.DUMMYFUNCTION("""COMPUTED_VALUE"""),"Vertex Pharmaceuticals (Germany) GmbH")</f>
        <v>Vertex Pharmaceuticals (Germany) GmbH</v>
      </c>
      <c r="C365" s="6" t="str">
        <f>IFERROR(__xludf.DUMMYFUNCTION("""COMPUTED_VALUE"""),"Sonnenstr. 19/Zugang 2, 2. Stock Deutschland-80331 München")</f>
        <v>Sonnenstr. 19/Zugang 2, 2. Stock Deutschland-80331 München</v>
      </c>
      <c r="D365" s="6" t="str">
        <f>IFERROR(__xludf.DUMMYFUNCTION("""COMPUTED_VALUE""")," Telefon: +49 (0)89 20602-9900 Fax: +49 (0)89 20602-9907https://www.vrtx.com")</f>
        <v> Telefon: +49 (0)89 20602-9900 Fax: +49 (0)89 20602-9907https://www.vrtx.com</v>
      </c>
      <c r="E365" s="6"/>
    </row>
    <row r="366">
      <c r="A366" s="6" t="str">
        <f>IFERROR(__xludf.DUMMYFUNCTION("""COMPUTED_VALUE""")," Category: CRO ")</f>
        <v> Category: CRO </v>
      </c>
      <c r="B366" s="6" t="str">
        <f>IFERROR(__xludf.DUMMYFUNCTION("""COMPUTED_VALUE""")," Keywords: Cardiovascular Diseases, CNS, Dermatology, Diabetics, 
Respiratory Diseases, Oncology ")</f>
        <v> Keywords: Cardiovascular Diseases, CNS, Dermatology, Diabetics, 
Respiratory Diseases, Oncology </v>
      </c>
      <c r="C366" s="6" t="str">
        <f>IFERROR(__xludf.DUMMYFUNCTION("""COMPUTED_VALUE"""),"verum.de GmbH")</f>
        <v>verum.de GmbH</v>
      </c>
      <c r="D366" s="6" t="str">
        <f>IFERROR(__xludf.DUMMYFUNCTION("""COMPUTED_VALUE"""),"Kraillinger Str. 1 Deutschland-82152 Planegg")</f>
        <v>Kraillinger Str. 1 Deutschland-82152 Planegg</v>
      </c>
      <c r="E366" s="6" t="str">
        <f>IFERROR(__xludf.DUMMYFUNCTION("""COMPUTED_VALUE""")," Telefon: +49 (0) 89 800777-60 Fax: +49 (0) 89 800777-88http://www.verum.deverum@remove-this.verum.de")</f>
        <v> Telefon: +49 (0) 89 800777-60 Fax: +49 (0) 89 800777-88http://www.verum.deverum@remove-this.verum.de</v>
      </c>
    </row>
    <row r="367">
      <c r="A367" s="6" t="str">
        <f>IFERROR(__xludf.DUMMYFUNCTION("""COMPUTED_VALUE""")," Category: Biotech Therapeutics &amp; Diagnostics ")</f>
        <v> Category: Biotech Therapeutics &amp; Diagnostics </v>
      </c>
      <c r="B367" s="6" t="str">
        <f>IFERROR(__xludf.DUMMYFUNCTION("""COMPUTED_VALUE"""),"vicron gmbh")</f>
        <v>vicron gmbh</v>
      </c>
      <c r="C367" s="6" t="str">
        <f>IFERROR(__xludf.DUMMYFUNCTION("""COMPUTED_VALUE"""),"Föhrenstr. 12 Deutschland-85649 Brunnthal")</f>
        <v>Föhrenstr. 12 Deutschland-85649 Brunnthal</v>
      </c>
      <c r="D367" s="7" t="str">
        <f>IFERROR(__xludf.DUMMYFUNCTION("""COMPUTED_VALUE"""),"http://www.vicron.com/")</f>
        <v>http://www.vicron.com/</v>
      </c>
      <c r="E367" s="6"/>
    </row>
    <row r="368">
      <c r="A368" s="6" t="str">
        <f>IFERROR(__xludf.DUMMYFUNCTION("""COMPUTED_VALUE""")," Category: Pharma &amp; Chemical Industry ")</f>
        <v> Category: Pharma &amp; Chemical Industry </v>
      </c>
      <c r="B368" s="6" t="str">
        <f>IFERROR(__xludf.DUMMYFUNCTION("""COMPUTED_VALUE"""),"Vifor Pharma Deutschland GmbH")</f>
        <v>Vifor Pharma Deutschland GmbH</v>
      </c>
      <c r="C368" s="6" t="str">
        <f>IFERROR(__xludf.DUMMYFUNCTION("""COMPUTED_VALUE"""),"Baierbrunner Str. 29 Deutschland-81379 München")</f>
        <v>Baierbrunner Str. 29 Deutschland-81379 München</v>
      </c>
      <c r="D368" s="6" t="str">
        <f>IFERROR(__xludf.DUMMYFUNCTION("""COMPUTED_VALUE""")," Telefon: +49 (0) 89 324918 600 Fax: +49 89 324918 601http://www.viforpharma.deinfo-de@remove-this.viforpharma.com")</f>
        <v> Telefon: +49 (0) 89 324918 600 Fax: +49 89 324918 601http://www.viforpharma.deinfo-de@remove-this.viforpharma.com</v>
      </c>
      <c r="E368" s="6"/>
    </row>
    <row r="369">
      <c r="A369" s="6" t="str">
        <f>IFERROR(__xludf.DUMMYFUNCTION("""COMPUTED_VALUE""")," Category: Biotech Therapeutics &amp; Diagnostics ")</f>
        <v> Category: Biotech Therapeutics &amp; Diagnostics </v>
      </c>
      <c r="B369" s="6" t="str">
        <f>IFERROR(__xludf.DUMMYFUNCTION("""COMPUTED_VALUE""")," Keywords: Gene Therapy, Ophtalmology, Neuro-Degeneration, Industrial 
Biotechnology, Orphan Drug ")</f>
        <v> Keywords: Gene Therapy, Ophtalmology, Neuro-Degeneration, Industrial 
Biotechnology, Orphan Drug </v>
      </c>
      <c r="C369" s="6" t="str">
        <f>IFERROR(__xludf.DUMMYFUNCTION("""COMPUTED_VALUE"""),"ViGeneron GmbH")</f>
        <v>ViGeneron GmbH</v>
      </c>
      <c r="D369" s="6" t="str">
        <f>IFERROR(__xludf.DUMMYFUNCTION("""COMPUTED_VALUE"""),"Semmelweisstraße 3 Deutschland-82152 Planegg")</f>
        <v>Semmelweisstraße 3 Deutschland-82152 Planegg</v>
      </c>
      <c r="E369" s="6" t="str">
        <f>IFERROR(__xludf.DUMMYFUNCTION("""COMPUTED_VALUE"""),"https://www.vigeneron.cominfo@remove-this.ViGeneron.com")</f>
        <v>https://www.vigeneron.cominfo@remove-this.ViGeneron.com</v>
      </c>
    </row>
    <row r="370">
      <c r="A370" s="6" t="str">
        <f>IFERROR(__xludf.DUMMYFUNCTION("""COMPUTED_VALUE""")," Category: Biotech Therapeutics &amp; Diagnostics ")</f>
        <v> Category: Biotech Therapeutics &amp; Diagnostics </v>
      </c>
      <c r="B370" s="6" t="str">
        <f>IFERROR(__xludf.DUMMYFUNCTION("""COMPUTED_VALUE""")," Keywords: Infectious Diseases, Clinical Diagnostics, ELISA/EIA, Chip/Array 
Technology, In-Vitro-Diagnostics ")</f>
        <v> Keywords: Infectious Diseases, Clinical Diagnostics, ELISA/EIA, Chip/Array 
Technology, In-Vitro-Diagnostics </v>
      </c>
      <c r="C370" s="6" t="str">
        <f>IFERROR(__xludf.DUMMYFUNCTION("""COMPUTED_VALUE"""),"Viramed Biotech AG")</f>
        <v>Viramed Biotech AG</v>
      </c>
      <c r="D370" s="6" t="str">
        <f>IFERROR(__xludf.DUMMYFUNCTION("""COMPUTED_VALUE"""),"Behringstr. 11 Deutschland-82152 Planegg-Steinkirchen")</f>
        <v>Behringstr. 11 Deutschland-82152 Planegg-Steinkirchen</v>
      </c>
      <c r="E370" s="6" t="str">
        <f>IFERROR(__xludf.DUMMYFUNCTION("""COMPUTED_VALUE""")," Telefon: +49 (0) 89 899336 Fax: +49 (0) 89 859 9949http://www.viramed.deviramed@remove-this.viramed.de")</f>
        <v> Telefon: +49 (0) 89 899336 Fax: +49 (0) 89 859 9949http://www.viramed.deviramed@remove-this.viramed.de</v>
      </c>
    </row>
    <row r="371">
      <c r="A371" s="6" t="str">
        <f>IFERROR(__xludf.DUMMYFUNCTION("""COMPUTED_VALUE""")," Category: Other Services ")</f>
        <v> Category: Other Services </v>
      </c>
      <c r="B371" s="6" t="str">
        <f>IFERROR(__xludf.DUMMYFUNCTION("""COMPUTED_VALUE"""),"VisionHealth GmbH")</f>
        <v>VisionHealth GmbH</v>
      </c>
      <c r="C371" s="6" t="str">
        <f>IFERROR(__xludf.DUMMYFUNCTION("""COMPUTED_VALUE"""),"Landsberger Str. 72 Deutschland-80339 München")</f>
        <v>Landsberger Str. 72 Deutschland-80339 München</v>
      </c>
      <c r="D371" s="7" t="str">
        <f>IFERROR(__xludf.DUMMYFUNCTION("""COMPUTED_VALUE"""),"http://www.healthcare.vision/")</f>
        <v>http://www.healthcare.vision/</v>
      </c>
      <c r="E371" s="6"/>
    </row>
    <row r="372">
      <c r="A372" s="6" t="str">
        <f>IFERROR(__xludf.DUMMYFUNCTION("""COMPUTED_VALUE""")," Category: CRO ")</f>
        <v> Category: CRO </v>
      </c>
      <c r="B372" s="6" t="str">
        <f>IFERROR(__xludf.DUMMYFUNCTION("""COMPUTED_VALUE""")," Keywords: Drug Development, Pharmacokinetics, Vaccines, Oncology, 
Pharmacology, Toxicology, Bioanalytics ")</f>
        <v> Keywords: Drug Development, Pharmacokinetics, Vaccines, Oncology, 
Pharmacology, Toxicology, Bioanalytics </v>
      </c>
      <c r="C372" s="6" t="str">
        <f>IFERROR(__xludf.DUMMYFUNCTION("""COMPUTED_VALUE"""),"vivoPharm Europe Ltd")</f>
        <v>vivoPharm Europe Ltd</v>
      </c>
      <c r="D372" s="6" t="str">
        <f>IFERROR(__xludf.DUMMYFUNCTION("""COMPUTED_VALUE"""),"Grillparzerstr. 25 Deutschland-81675 München")</f>
        <v>Grillparzerstr. 25 Deutschland-81675 München</v>
      </c>
      <c r="E372" s="6" t="str">
        <f>IFERROR(__xludf.DUMMYFUNCTION("""COMPUTED_VALUE""")," Telefon: + 49 (0) 89 122 287 690- Ext. 401 Fax: + 49 (0) 89 122 2876-99http://www.vivopharm.cominfo@remove-this.vivopharm.eu")</f>
        <v> Telefon: + 49 (0) 89 122 287 690- Ext. 401 Fax: + 49 (0) 89 122 2876-99http://www.vivopharm.cominfo@remove-this.vivopharm.eu</v>
      </c>
    </row>
    <row r="373">
      <c r="A373" s="6" t="str">
        <f>IFERROR(__xludf.DUMMYFUNCTION("""COMPUTED_VALUE""")," Category: Biotech Therapeutics &amp; Diagnostics ")</f>
        <v> Category: Biotech Therapeutics &amp; Diagnostics </v>
      </c>
      <c r="B373" s="6" t="str">
        <f>IFERROR(__xludf.DUMMYFUNCTION("""COMPUTED_VALUE"""),"Volition Germany GmbH")</f>
        <v>Volition Germany GmbH</v>
      </c>
      <c r="C373" s="6" t="str">
        <f>IFERROR(__xludf.DUMMYFUNCTION("""COMPUTED_VALUE"""),"Friedemann-Bach-Str. 95 Deutschland-82166 Gräfelfing")</f>
        <v>Friedemann-Bach-Str. 95 Deutschland-82166 Gräfelfing</v>
      </c>
      <c r="D373" s="6" t="str">
        <f>IFERROR(__xludf.DUMMYFUNCTION("""COMPUTED_VALUE""")," Telefon: +49 (0) 89 21538575https://octamer.desupport@remove-this.octamer.com")</f>
        <v> Telefon: +49 (0) 89 21538575https://octamer.desupport@remove-this.octamer.com</v>
      </c>
      <c r="E373" s="6"/>
    </row>
    <row r="374">
      <c r="A374" s="6" t="str">
        <f>IFERROR(__xludf.DUMMYFUNCTION("""COMPUTED_VALUE""")," Category: Pharma &amp; Chemical Industry ")</f>
        <v> Category: Pharma &amp; Chemical Industry </v>
      </c>
      <c r="B374" s="6" t="str">
        <f>IFERROR(__xludf.DUMMYFUNCTION("""COMPUTED_VALUE""")," Keywords: Antibody Production Service, Peptide/Protein, ---CRO/CMO---, 
Fine Chemicals/Reagents, Nutraceuticals ")</f>
        <v> Keywords: Antibody Production Service, Peptide/Protein, ---CRO/CMO---, 
Fine Chemicals/Reagents, Nutraceuticals </v>
      </c>
      <c r="C374" s="6" t="str">
        <f>IFERROR(__xludf.DUMMYFUNCTION("""COMPUTED_VALUE"""),"Wacker Chemie AG")</f>
        <v>Wacker Chemie AG</v>
      </c>
      <c r="D374" s="6" t="str">
        <f>IFERROR(__xludf.DUMMYFUNCTION("""COMPUTED_VALUE"""),"Hanns-Seidel-Platz 4 Deutschland-81737 München")</f>
        <v>Hanns-Seidel-Platz 4 Deutschland-81737 München</v>
      </c>
      <c r="E374" s="6" t="str">
        <f>IFERROR(__xludf.DUMMYFUNCTION("""COMPUTED_VALUE""")," Telefon: +49 (0) 89 6279-0 Fax: +49 (0) 89 6279-1770http://www.wacker.cominfo@remove-this.wacker.com")</f>
        <v> Telefon: +49 (0) 89 6279-0 Fax: +49 (0) 89 6279-1770http://www.wacker.cominfo@remove-this.wacker.com</v>
      </c>
    </row>
    <row r="375">
      <c r="A375" s="6" t="str">
        <f>IFERROR(__xludf.DUMMYFUNCTION("""COMPUTED_VALUE""")," Category: Phyto Pharma ")</f>
        <v> Category: Phyto Pharma </v>
      </c>
      <c r="B375" s="6" t="str">
        <f>IFERROR(__xludf.DUMMYFUNCTION("""COMPUTED_VALUE"""),"Weber &amp; Weber GmbH &amp; Co. KG")</f>
        <v>Weber &amp; Weber GmbH &amp; Co. KG</v>
      </c>
      <c r="C375" s="6" t="str">
        <f>IFERROR(__xludf.DUMMYFUNCTION("""COMPUTED_VALUE"""),"Herrschinger Str. 33 Deutschland-82266 Inning am Ammersee")</f>
        <v>Herrschinger Str. 33 Deutschland-82266 Inning am Ammersee</v>
      </c>
      <c r="D375" s="6" t="str">
        <f>IFERROR(__xludf.DUMMYFUNCTION("""COMPUTED_VALUE""")," Telefon: +49 (0) 8143 9270 Fax: +49 (0) 8143 927 150https://www.weber-weber.dezentrale@remove-this.weber-weber.net")</f>
        <v> Telefon: +49 (0) 8143 9270 Fax: +49 (0) 8143 927 150https://www.weber-weber.dezentrale@remove-this.weber-weber.net</v>
      </c>
      <c r="E375" s="6"/>
    </row>
    <row r="376">
      <c r="A376" s="6" t="str">
        <f>IFERROR(__xludf.DUMMYFUNCTION("""COMPUTED_VALUE""")," Category: Biotech Therapeutics &amp; Diagnostics ")</f>
        <v> Category: Biotech Therapeutics &amp; Diagnostics </v>
      </c>
      <c r="B376" s="6" t="str">
        <f>IFERROR(__xludf.DUMMYFUNCTION("""COMPUTED_VALUE""")," Keywords: Rheumatoid Arthritis, Drug Development, Drug Delivery, 
Pharmacokinetics, Peptide/Protein, Inflammation, Endocrinology, Oncology, 
AntibodyDrugConjugate ADC ")</f>
        <v> Keywords: Rheumatoid Arthritis, Drug Development, Drug Delivery, 
Pharmacokinetics, Peptide/Protein, Inflammation, Endocrinology, Oncology, 
AntibodyDrugConjugate ADC </v>
      </c>
      <c r="C376" s="6" t="str">
        <f>IFERROR(__xludf.DUMMYFUNCTION("""COMPUTED_VALUE"""),"XL-protein GmbH")</f>
        <v>XL-protein GmbH</v>
      </c>
      <c r="D376" s="6" t="str">
        <f>IFERROR(__xludf.DUMMYFUNCTION("""COMPUTED_VALUE"""),"Lise-Meitner-Str. 30 Deutschland-85354 Freising")</f>
        <v>Lise-Meitner-Str. 30 Deutschland-85354 Freising</v>
      </c>
      <c r="E376" s="6" t="str">
        <f>IFERROR(__xludf.DUMMYFUNCTION("""COMPUTED_VALUE""")," Telefon: +49 (0) 8161 53730-90 Fax: +49 (0) 8161 53730-99http://www.xl-protein.cominfo@remove-this.xl-protein.com")</f>
        <v> Telefon: +49 (0) 8161 53730-90 Fax: +49 (0) 8161 53730-99http://www.xl-protein.cominfo@remove-this.xl-protein.com</v>
      </c>
    </row>
    <row r="377">
      <c r="A377" s="6" t="str">
        <f>IFERROR(__xludf.DUMMYFUNCTION("""COMPUTED_VALUE""")," Category: Biotech Therapeutics &amp; Diagnostics ")</f>
        <v> Category: Biotech Therapeutics &amp; Diagnostics </v>
      </c>
      <c r="B377" s="6" t="str">
        <f>IFERROR(__xludf.DUMMYFUNCTION("""COMPUTED_VALUE"""),"XVir® Therapeutics GmbH")</f>
        <v>XVir® Therapeutics GmbH</v>
      </c>
      <c r="C377" s="6" t="str">
        <f>IFERROR(__xludf.DUMMYFUNCTION("""COMPUTED_VALUE"""),"Nymphenburger Str. 1 Deutschland-80335 München")</f>
        <v>Nymphenburger Str. 1 Deutschland-80335 München</v>
      </c>
      <c r="D377" s="6" t="str">
        <f>IFERROR(__xludf.DUMMYFUNCTION("""COMPUTED_VALUE""")," Telefon: +49 (0) 89 9931 7446 Fax: +49 (0) 89 5155 6413http://www.xvir.cominfo@remove-this.xvir.com")</f>
        <v> Telefon: +49 (0) 89 9931 7446 Fax: +49 (0) 89 5155 6413http://www.xvir.cominfo@remove-this.xvir.com</v>
      </c>
      <c r="E377" s="6"/>
    </row>
    <row r="378">
      <c r="A378" s="6" t="str">
        <f>IFERROR(__xludf.DUMMYFUNCTION("""COMPUTED_VALUE""")," Category: Biotech &amp; Pharma Production ")</f>
        <v> Category: Biotech &amp; Pharma Production </v>
      </c>
      <c r="B378" s="6" t="str">
        <f>IFERROR(__xludf.DUMMYFUNCTION("""COMPUTED_VALUE""")," Keywords: Devices, Automation, Data Management and Biostatistics, 
Bioprocessing, Industrial Biotechnology, Bioinformatics ")</f>
        <v> Keywords: Devices, Automation, Data Management and Biostatistics, 
Bioprocessing, Industrial Biotechnology, Bioinformatics </v>
      </c>
      <c r="C378" s="6" t="str">
        <f>IFERROR(__xludf.DUMMYFUNCTION("""COMPUTED_VALUE"""),"ZETA GmbH")</f>
        <v>ZETA GmbH</v>
      </c>
      <c r="D378" s="6" t="str">
        <f>IFERROR(__xludf.DUMMYFUNCTION("""COMPUTED_VALUE"""),"Zeppelinstrasse 1 Deutschland-85399 Halbergmoos")</f>
        <v>Zeppelinstrasse 1 Deutschland-85399 Halbergmoos</v>
      </c>
      <c r="E378" s="6" t="str">
        <f>IFERROR(__xludf.DUMMYFUNCTION("""COMPUTED_VALUE""")," Telefon: +4981619656000 Fax: +49 (0) 8161 9921-44http://www.zeta.commanfred.seifert@remove-this.zeta.com")</f>
        <v> Telefon: +4981619656000 Fax: +49 (0) 8161 9921-44http://www.zeta.commanfred.seifert@remove-this.zeta.com</v>
      </c>
    </row>
    <row r="384">
      <c r="A384" s="6" t="str">
        <f>IFERROR(__xludf.DUMMYFUNCTION("IMPORTXML(T1,A2)"),"#N/A")</f>
        <v>#N/A</v>
      </c>
    </row>
  </sheetData>
  <hyperlinks>
    <hyperlink r:id="rId1" ref="A1"/>
    <hyperlink r:id="rId2" ref="B1"/>
    <hyperlink r:id="rId3" ref="C1"/>
    <hyperlink r:id="rId4" ref="D1"/>
    <hyperlink r:id="rId5" ref="E1"/>
    <hyperlink r:id="rId6" ref="F1"/>
    <hyperlink r:id="rId7" ref="G1"/>
    <hyperlink r:id="rId8" ref="H1"/>
    <hyperlink r:id="rId9" ref="I1"/>
    <hyperlink r:id="rId10" ref="J1"/>
    <hyperlink r:id="rId11" ref="K1"/>
    <hyperlink r:id="rId12" ref="L1"/>
    <hyperlink r:id="rId13" ref="M1"/>
    <hyperlink r:id="rId14" ref="N1"/>
    <hyperlink r:id="rId15" ref="O1"/>
    <hyperlink r:id="rId16" ref="P1"/>
    <hyperlink r:id="rId17" ref="Q1"/>
    <hyperlink r:id="rId18" ref="R1"/>
    <hyperlink r:id="rId19" ref="S1"/>
    <hyperlink r:id="rId20" ref="T1"/>
    <hyperlink r:id="rId21" ref="E30"/>
    <hyperlink r:id="rId22" ref="E38"/>
    <hyperlink r:id="rId23" ref="E42"/>
    <hyperlink r:id="rId24" ref="D47"/>
    <hyperlink r:id="rId25" ref="D63"/>
    <hyperlink r:id="rId26" ref="D64"/>
    <hyperlink r:id="rId27" ref="E75"/>
    <hyperlink r:id="rId28" ref="D76"/>
    <hyperlink r:id="rId29" ref="E78"/>
    <hyperlink r:id="rId30" ref="D82"/>
    <hyperlink r:id="rId31" ref="D87"/>
    <hyperlink r:id="rId32" ref="E100"/>
    <hyperlink r:id="rId33" ref="D116"/>
    <hyperlink r:id="rId34" ref="D130"/>
    <hyperlink r:id="rId35" ref="E141"/>
    <hyperlink r:id="rId36" ref="D153"/>
    <hyperlink r:id="rId37" ref="D191"/>
    <hyperlink r:id="rId38" ref="E193"/>
    <hyperlink r:id="rId39" ref="D203"/>
    <hyperlink r:id="rId40" ref="D206"/>
    <hyperlink r:id="rId41" ref="D221"/>
    <hyperlink r:id="rId42" ref="D223"/>
    <hyperlink r:id="rId43" ref="D227"/>
    <hyperlink r:id="rId44" ref="D228"/>
    <hyperlink r:id="rId45" ref="D250"/>
    <hyperlink r:id="rId46" ref="D260"/>
    <hyperlink r:id="rId47" ref="D272"/>
    <hyperlink r:id="rId48" ref="D307"/>
    <hyperlink r:id="rId49" ref="D317"/>
    <hyperlink r:id="rId50" ref="D319"/>
    <hyperlink r:id="rId51" ref="D348"/>
    <hyperlink r:id="rId52" ref="D360"/>
    <hyperlink r:id="rId53" ref="D367"/>
    <hyperlink r:id="rId54" ref="D371"/>
  </hyperlinks>
  <drawing r:id="rId5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58</v>
      </c>
    </row>
    <row r="2">
      <c r="A2" s="2" t="s">
        <v>59</v>
      </c>
      <c r="B2" s="2" t="s">
        <v>60</v>
      </c>
      <c r="C2" s="2" t="s">
        <v>61</v>
      </c>
      <c r="D2" s="2" t="s">
        <v>62</v>
      </c>
      <c r="E2" s="2" t="s">
        <v>63</v>
      </c>
    </row>
    <row r="3">
      <c r="A3" s="4" t="s">
        <v>5</v>
      </c>
      <c r="B3" s="4" t="s">
        <v>56</v>
      </c>
      <c r="C3" s="4" t="s">
        <v>10</v>
      </c>
      <c r="D3" s="4" t="s">
        <v>6</v>
      </c>
      <c r="E3" s="4" t="s">
        <v>11</v>
      </c>
    </row>
    <row r="4">
      <c r="A4" s="6" t="str">
        <f>IFERROR(__xludf.DUMMYFUNCTION("IMPORTXML(A1,A2)"),"3M Buckley Innovation Centre")</f>
        <v>3M Buckley Innovation Centre</v>
      </c>
      <c r="B4" s="17" t="str">
        <f>IFERROR(__xludf.DUMMYFUNCTION("IMPORTXML(A1,B2)")," Firth Street, Huddersfield, West Yorkshire, HD1 3BD ")</f>
        <v> Firth Street, Huddersfield, West Yorkshire, HD1 3BD </v>
      </c>
      <c r="C4" s="17">
        <f>IFERROR(__xludf.DUMMYFUNCTION("IMPORTXML(A1,C2)"),1.484505601E9)</f>
        <v>1484505601</v>
      </c>
      <c r="D4" s="18" t="str">
        <f>IFERROR(__xludf.DUMMYFUNCTION("IMPORTXML(A1,D2)")," http://www.3mbic.com ")</f>
        <v> http://www.3mbic.com </v>
      </c>
      <c r="E4" s="17" t="str">
        <f>IFERROR(__xludf.DUMMYFUNCTION("IMPORTXML(A1,E2)"),"3M BIC is a centre for enterprise and innovation, contributing to regional 
economic growth and productivity and with a strong focus on SMEs. It is a 
subsidiary of the University of Huddersfield and offers a range of 
services: - Office &amp; Lab Space - Tec"&amp;"hnology &amp; Design Service - Conference &amp; 
Meeting Space. Catering for all business needs, from start-ups, SME's to 
large corporates, we open doors to traditional and alternative funding 
support, national and international markets, skills partners and acc"&amp;"ess to 
technology through a range of commercial, technical and support services. 
Facilities include hot desks and individual office spaces to rent in a 
variety of sizes, flexible workshops and state-of-the-art laboratories, as 
well as meetings and con"&amp;"ference spaces kitted out with the latest 
audio-visual technology. Non-tenant businesses can become part of our 
thriving community and access our benefits by joining our Network 
Membership which provided a fantastic opportunity for collaboration, to 
p"&amp;"romote their business and expand their network of contacts. Within close 
proximity to the University of Huddersfield, we also act as a gateway to 
its research centres, specifically supporting business to academia 
collaborations, as well as providing ac"&amp;"cess to the latest technology 
situated on Innovation Avenue that runs through the heart of the Centre, 
housing a range of high-tech specialist equipment and resources which are 
available to businesses, internally and externally, with designated 
techni"&amp;"cal support on hand.")</f>
        <v>3M BIC is a centre for enterprise and innovation, contributing to regional 
economic growth and productivity and with a strong focus on SMEs. It is a 
subsidiary of the University of Huddersfield and offers a range of 
services: - Office &amp; Lab Space - Technology &amp; Design Service - Conference &amp; 
Meeting Space. Catering for all business needs, from start-ups, SME's to 
large corporates, we open doors to traditional and alternative funding 
support, national and international markets, skills partners and access to 
technology through a range of commercial, technical and support services. 
Facilities include hot desks and individual office spaces to rent in a 
variety of sizes, flexible workshops and state-of-the-art laboratories, as 
well as meetings and conference spaces kitted out with the latest 
audio-visual technology. Non-tenant businesses can become part of our 
thriving community and access our benefits by joining our Network 
Membership which provided a fantastic opportunity for collaboration, to 
promote their business and expand their network of contacts. Within close 
proximity to the University of Huddersfield, we also act as a gateway to 
its research centres, specifically supporting business to academia 
collaborations, as well as providing access to the latest technology 
situated on Innovation Avenue that runs through the heart of the Centre, 
housing a range of high-tech specialist equipment and resources which are 
available to businesses, internally and externally, with designated 
technical support on hand.</v>
      </c>
    </row>
    <row r="5">
      <c r="A5" s="6" t="str">
        <f>IFERROR(__xludf.DUMMYFUNCTION("""COMPUTED_VALUE"""),"Alderley Park")</f>
        <v>Alderley Park</v>
      </c>
      <c r="B5" s="6" t="str">
        <f>IFERROR(__xludf.DUMMYFUNCTION("""COMPUTED_VALUE""")," Alderley Park, Congleton Road, Macclesfield, SK10 4TG ")</f>
        <v> Alderley Park, Congleton Road, Macclesfield, SK10 4TG </v>
      </c>
      <c r="C5" s="6" t="str">
        <f>IFERROR(__xludf.DUMMYFUNCTION("""COMPUTED_VALUE""")," 0161 233 7877 ")</f>
        <v> 0161 233 7877 </v>
      </c>
      <c r="D5" s="7" t="str">
        <f>IFERROR(__xludf.DUMMYFUNCTION("""COMPUTED_VALUE""")," https://www.alderleypark.co.uk/ ")</f>
        <v> https://www.alderleypark.co.uk/ </v>
      </c>
      <c r="E5" s="6" t="str">
        <f>IFERROR(__xludf.DUMMYFUNCTION("""COMPUTED_VALUE"""),"Alderley Park a development by Bruntwood SciTech, is home to a world class 
science facility, which as part of Manchester Science Partnerships is 
dedicated to discovery and new ideas. Offering exceptional bioscience 
facilities for R&amp;D focussed life scie"&amp;"nce companies at every stage of their 
life-cycle, from start-up to global corporate, the Park offers 1m sq ft 
state-of-the-art chemistry and biology labs, dedicated business support, 
and a range of shared scientific services. It’s the ideal place to su"&amp;"pport 
pioneering innovation. Alderley Park’s unique partnership connections and 
support services can also open the doors to new regional and national 
networks and funding, providing opportunities that can transform businesses 
and help take them to the"&amp;" next level. Home to national institutions such as 
the Medicines Discovery Catapult, the AMR Centre, and Cancer Research UK, 
Alderley Park is at the centre of pioneering health innovation. Alderley 
Park’s Mereside campus provides the opportunity to wor"&amp;"k side by side with 
some of the world’s leading life science companies and scientists, with a 
wealth of opportunities to network, share ideas and collaborate.")</f>
        <v>Alderley Park a development by Bruntwood SciTech, is home to a world class 
science facility, which as part of Manchester Science Partnerships is 
dedicated to discovery and new ideas. Offering exceptional bioscience 
facilities for R&amp;D focussed life science companies at every stage of their 
life-cycle, from start-up to global corporate, the Park offers 1m sq ft 
state-of-the-art chemistry and biology labs, dedicated business support, 
and a range of shared scientific services. It’s the ideal place to support 
pioneering innovation. Alderley Park’s unique partnership connections and 
support services can also open the doors to new regional and national 
networks and funding, providing opportunities that can transform businesses 
and help take them to the next level. Home to national institutions such as 
the Medicines Discovery Catapult, the AMR Centre, and Cancer Research UK, 
Alderley Park is at the centre of pioneering health innovation. Alderley 
Park’s Mereside campus provides the opportunity to work side by side with 
some of the world’s leading life science companies and scientists, with a 
wealth of opportunities to network, share ideas and collaborate.</v>
      </c>
    </row>
    <row r="6">
      <c r="A6" s="6" t="str">
        <f>IFERROR(__xludf.DUMMYFUNCTION("""COMPUTED_VALUE"""),"Ambit")</f>
        <v>Ambit</v>
      </c>
      <c r="B6" s="6" t="str">
        <f>IFERROR(__xludf.DUMMYFUNCTION("""COMPUTED_VALUE""")," The Boathouse, Clarence Mill, Clarence Road, Bollington, Cheshire, SK10 
5JZ ")</f>
        <v> The Boathouse, Clarence Mill, Clarence Road, Bollington, Cheshire, SK10 
5JZ </v>
      </c>
      <c r="C6" s="6">
        <f>IFERROR(__xludf.DUMMYFUNCTION("""COMPUTED_VALUE"""),1.625562201E9)</f>
        <v>1625562201</v>
      </c>
      <c r="D6" s="7" t="str">
        <f>IFERROR(__xludf.DUMMYFUNCTION("""COMPUTED_VALUE""")," https://ambit.careers ")</f>
        <v> https://ambit.careers </v>
      </c>
      <c r="E6" s="6" t="str">
        <f>IFERROR(__xludf.DUMMYFUNCTION("""COMPUTED_VALUE"""),"Ambit works with business founders and hiring teams worldwide to meet 
immediate hiring needs and to create sustainable talent strategies for the 
future. We're part of AMICULUM, an international health consulting and 
communications business. Our specifi"&amp;"c focus is on high-growth businesses 
with a desire to do recruitment really well, who perhaps do not yet have a 
structure in place for talent acquisition that matches their company 
ambition. We can work with CEOs, founders and function leads to define "&amp;"
hiring plans, or with TA teams who need support as their company grows.")</f>
        <v>Ambit works with business founders and hiring teams worldwide to meet 
immediate hiring needs and to create sustainable talent strategies for the 
future. We're part of AMICULUM, an international health consulting and 
communications business. Our specific focus is on high-growth businesses 
with a desire to do recruitment really well, who perhaps do not yet have a 
structure in place for talent acquisition that matches their company 
ambition. We can work with CEOs, founders and function leads to define 
hiring plans, or with TA teams who need support as their company grows.</v>
      </c>
    </row>
    <row r="7">
      <c r="A7" s="6" t="str">
        <f>IFERROR(__xludf.DUMMYFUNCTION("""COMPUTED_VALUE"""),"AstraZeneca")</f>
        <v>AstraZeneca</v>
      </c>
      <c r="B7" s="6" t="str">
        <f>IFERROR(__xludf.DUMMYFUNCTION("""COMPUTED_VALUE""")," Charter Way, Silk Road Business Park, Macclesfield, Cheshire, SK10 2NA ")</f>
        <v> Charter Way, Silk Road Business Park, Macclesfield, Cheshire, SK10 2NA </v>
      </c>
      <c r="C7" s="6" t="str">
        <f>IFERROR(__xludf.DUMMYFUNCTION("""COMPUTED_VALUE""")," 0800 032 0501 ")</f>
        <v> 0800 032 0501 </v>
      </c>
      <c r="D7" s="7" t="str">
        <f>IFERROR(__xludf.DUMMYFUNCTION("""COMPUTED_VALUE""")," http://www.astrazeneca.co.uk ")</f>
        <v> http://www.astrazeneca.co.uk </v>
      </c>
      <c r="E7" s="6" t="str">
        <f>IFERROR(__xludf.DUMMYFUNCTION("""COMPUTED_VALUE"""),"AstraZeneca is one of the world’s leading pharmaceutical companies, with a 
major presence in the UK. Our business is focused on providing innovative, 
effective medicines that make a real difference in important areas of 
healthcare.")</f>
        <v>AstraZeneca is one of the world’s leading pharmaceutical companies, with a 
major presence in the UK. Our business is focused on providing innovative, 
effective medicines that make a real difference in important areas of 
healthcare.</v>
      </c>
    </row>
    <row r="8">
      <c r="A8" s="6" t="str">
        <f>IFERROR(__xludf.DUMMYFUNCTION("""COMPUTED_VALUE"""),"AstraZeneca Liverpool")</f>
        <v>AstraZeneca Liverpool</v>
      </c>
      <c r="B8" s="6" t="str">
        <f>IFERROR(__xludf.DUMMYFUNCTION("""COMPUTED_VALUE""")," 5 Renaissance Way, Speke, Liverpool, L24 9JW ")</f>
        <v> 5 Renaissance Way, Speke, Liverpool, L24 9JW </v>
      </c>
      <c r="C8" s="6" t="str">
        <f>IFERROR(__xludf.DUMMYFUNCTION("""COMPUTED_VALUE""")," 0151 4857700 ")</f>
        <v> 0151 4857700 </v>
      </c>
      <c r="D8" s="7" t="str">
        <f>IFERROR(__xludf.DUMMYFUNCTION("""COMPUTED_VALUE""")," http://www.medimmune.com ")</f>
        <v> http://www.medimmune.com </v>
      </c>
      <c r="E8" s="6" t="str">
        <f>IFERROR(__xludf.DUMMYFUNCTION("""COMPUTED_VALUE"""),"MedImmune, the worldwide biologics business for AstraZeneca PLC (LSE: 
AZN.L, NYSE: AZN), has approximately 3,500 employees worldwide and is 
headquartered in Gaithersburg, Maryland. With an advancing pipeline of 
promising drug candidates, MedImmune stri"&amp;"ves to deliver life-changing 
products, a rewarding career to our employees and a tireless commitment to 
improving patient health. For more information, visit www.medimmune.com.")</f>
        <v>MedImmune, the worldwide biologics business for AstraZeneca PLC (LSE: 
AZN.L, NYSE: AZN), has approximately 3,500 employees worldwide and is 
headquartered in Gaithersburg, Maryland. With an advancing pipeline of 
promising drug candidates, MedImmune strives to deliver life-changing 
products, a rewarding career to our employees and a tireless commitment to 
improving patient health. For more information, visit www.medimmune.com.</v>
      </c>
    </row>
    <row r="9">
      <c r="A9" s="6" t="str">
        <f>IFERROR(__xludf.DUMMYFUNCTION("""COMPUTED_VALUE"""),"Bio2Business Ltd")</f>
        <v>Bio2Business Ltd</v>
      </c>
      <c r="B9" s="6" t="str">
        <f>IFERROR(__xludf.DUMMYFUNCTION("""COMPUTED_VALUE""")," 2 Royal College Street, LBIC, London, NW1 0NH ")</f>
        <v> 2 Royal College Street, LBIC, London, NW1 0NH </v>
      </c>
      <c r="C9" s="6" t="str">
        <f>IFERROR(__xludf.DUMMYFUNCTION("""COMPUTED_VALUE""")," +44 (0)207 691 3568 ")</f>
        <v> +44 (0)207 691 3568 </v>
      </c>
      <c r="D9" s="7" t="str">
        <f>IFERROR(__xludf.DUMMYFUNCTION("""COMPUTED_VALUE""")," https://www.bio2business.com ")</f>
        <v> https://www.bio2business.com </v>
      </c>
      <c r="E9" s="6" t="str">
        <f>IFERROR(__xludf.DUMMYFUNCTION("""COMPUTED_VALUE"""),"Bio2Business facilitates partnering and collaboration in R&amp;D Outsourcing. 
We help innovators connect with CROs and CMOs who can support their journey 
in discovery and development and we help CROs and CMOs reach new clients 
and build existing relationsh"&amp;"ips. We do this primarily through the Biotech 
Outsourcing Strategies events. This forum brings together stakeholders in 
R&amp;D outsourcing to share experience and best practise and to connect and 
forge new outsourcing partnerships. We are delighted to be "&amp;"relaunching our 
UK event in 2020 and we head north to Manchester. BOS Manchester 2020 which 
will take place on the 17th and 18th of November, 2020, at Manchester 
Central. In addition we will host BOS Basel 2020 on the 1st and 2nd of July 
in Basel, Swi"&amp;"tzerland. Please contact richard.collins@bio2business.com to 
discuss participation. We hope to see you there!")</f>
        <v>Bio2Business facilitates partnering and collaboration in R&amp;D Outsourcing. 
We help innovators connect with CROs and CMOs who can support their journey 
in discovery and development and we help CROs and CMOs reach new clients 
and build existing relationships. We do this primarily through the Biotech 
Outsourcing Strategies events. This forum brings together stakeholders in 
R&amp;D outsourcing to share experience and best practise and to connect and 
forge new outsourcing partnerships. We are delighted to be relaunching our 
UK event in 2020 and we head north to Manchester. BOS Manchester 2020 which 
will take place on the 17th and 18th of November, 2020, at Manchester 
Central. In addition we will host BOS Basel 2020 on the 1st and 2nd of July 
in Basel, Switzerland. Please contact richard.collins@bio2business.com to 
discuss participation. We hope to see you there!</v>
      </c>
    </row>
    <row r="10">
      <c r="A10" s="6" t="str">
        <f>IFERROR(__xludf.DUMMYFUNCTION("""COMPUTED_VALUE"""),"BioDundee")</f>
        <v>BioDundee</v>
      </c>
      <c r="B10" s="6" t="str">
        <f>IFERROR(__xludf.DUMMYFUNCTION("""COMPUTED_VALUE""")," City Development Department, Dundee House, 50 North Lindsay Street, 
Dundee, DD1 1LS ")</f>
        <v> City Development Department, Dundee House, 50 North Lindsay Street, 
Dundee, DD1 1LS </v>
      </c>
      <c r="C10" s="6" t="str">
        <f>IFERROR(__xludf.DUMMYFUNCTION("""COMPUTED_VALUE""")," 01382 434 913 ")</f>
        <v> 01382 434 913 </v>
      </c>
      <c r="D10" s="7" t="str">
        <f>IFERROR(__xludf.DUMMYFUNCTION("""COMPUTED_VALUE""")," https://www.biodundee.co.uk/ ")</f>
        <v> https://www.biodundee.co.uk/ </v>
      </c>
      <c r="E10" s="6" t="str">
        <f>IFERROR(__xludf.DUMMYFUNCTION("""COMPUTED_VALUE"""),"BioDundee is a partnership between the public, private, academic and third 
sector organisations. The purpose is to build the strength of the Life 
Sciences and Healthcare sectors in Dundee and the wider Tayside region 
internally through partnership work"&amp;"ing, networking, knowledge and skills 
development. While externally promoting and positioning the region to 
relevant audiences as fundamentally contributing to Scotland's world class 
Life Sciences and Healthcare sectors.")</f>
        <v>BioDundee is a partnership between the public, private, academic and third 
sector organisations. The purpose is to build the strength of the Life 
Sciences and Healthcare sectors in Dundee and the wider Tayside region 
internally through partnership working, networking, knowledge and skills 
development. While externally promoting and positioning the region to 
relevant audiences as fundamentally contributing to Scotland's world class 
Life Sciences and Healthcare sectors.</v>
      </c>
    </row>
    <row r="11">
      <c r="A11" s="6" t="str">
        <f>IFERROR(__xludf.DUMMYFUNCTION("""COMPUTED_VALUE"""),"Bionow")</f>
        <v>Bionow</v>
      </c>
      <c r="B11" s="6" t="str">
        <f>IFERROR(__xludf.DUMMYFUNCTION("""COMPUTED_VALUE""")," Greenheys Building, Pencroft Way, Manchester Science Park, Manchester, M15 
6JJ ")</f>
        <v> Greenheys Building, Pencroft Way, Manchester Science Park, Manchester, M15 
6JJ </v>
      </c>
      <c r="C11" s="6" t="str">
        <f>IFERROR(__xludf.DUMMYFUNCTION("""COMPUTED_VALUE""")," 07714 168020 ")</f>
        <v> 07714 168020 </v>
      </c>
      <c r="D11" s="7" t="str">
        <f>IFERROR(__xludf.DUMMYFUNCTION("""COMPUTED_VALUE""")," http://www.bionow.co.uk ")</f>
        <v> http://www.bionow.co.uk </v>
      </c>
      <c r="E11" s="6" t="str">
        <f>IFERROR(__xludf.DUMMYFUNCTION("""COMPUTED_VALUE"""),"Bionow is a membership organisation for biomedical companies in the North 
of England.")</f>
        <v>Bionow is a membership organisation for biomedical companies in the North 
of England.</v>
      </c>
    </row>
    <row r="12">
      <c r="A12" s="6" t="str">
        <f>IFERROR(__xludf.DUMMYFUNCTION("""COMPUTED_VALUE"""),"BioPartner UK")</f>
        <v>BioPartner UK</v>
      </c>
      <c r="B12" s="6" t="str">
        <f>IFERROR(__xludf.DUMMYFUNCTION("""COMPUTED_VALUE""")," 16 Old Queen Street, ., Westminster, Gtr London, SW1H 9HP ")</f>
        <v> 16 Old Queen Street, ., Westminster, Gtr London, SW1H 9HP </v>
      </c>
      <c r="C12" s="6" t="str">
        <f>IFERROR(__xludf.DUMMYFUNCTION("""COMPUTED_VALUE""")," 0207 193 7815 ")</f>
        <v> 0207 193 7815 </v>
      </c>
      <c r="D12" s="7" t="str">
        <f>IFERROR(__xludf.DUMMYFUNCTION("""COMPUTED_VALUE""")," http://www.biopartner.co.uk ")</f>
        <v> http://www.biopartner.co.uk </v>
      </c>
      <c r="E12" s="6" t="str">
        <f>IFERROR(__xludf.DUMMYFUNCTION("""COMPUTED_VALUE"""),"BioPartner UK is an independent, accredited trade organisation, promoting 
international partnering for trade, investment and collaborations with UK 
life science companies. BioPartner works with the world’s major 
biopartnering conference organisers to o"&amp;"ffer discounted entry fees and 
extra exposure for UK companies.")</f>
        <v>BioPartner UK is an independent, accredited trade organisation, promoting 
international partnering for trade, investment and collaborations with UK 
life science companies. BioPartner works with the world’s major 
biopartnering conference organisers to offer discounted entry fees and 
extra exposure for UK companies.</v>
      </c>
    </row>
    <row r="13">
      <c r="A13" s="6" t="str">
        <f>IFERROR(__xludf.DUMMYFUNCTION("""COMPUTED_VALUE"""),"BMG LABTECH Ltd")</f>
        <v>BMG LABTECH Ltd</v>
      </c>
      <c r="B13" s="6" t="str">
        <f>IFERROR(__xludf.DUMMYFUNCTION("""COMPUTED_VALUE""")," 8 Bell Business Park, Smeaton Close, Aylesbury, Aylesbury, GB, HP19 8JR ")</f>
        <v> 8 Bell Business Park, Smeaton Close, Aylesbury, Aylesbury, GB, HP19 8JR </v>
      </c>
      <c r="C13" s="6">
        <f>IFERROR(__xludf.DUMMYFUNCTION("""COMPUTED_VALUE"""),1.29633665E9)</f>
        <v>1296336650</v>
      </c>
      <c r="D13" s="7" t="str">
        <f>IFERROR(__xludf.DUMMYFUNCTION("""COMPUTED_VALUE""")," https://www.bmglabtech.com ")</f>
        <v> https://www.bmglabtech.com </v>
      </c>
      <c r="E13" s="6" t="str">
        <f>IFERROR(__xludf.DUMMYFUNCTION("""COMPUTED_VALUE"""),"BMG LABTECH is a world leader in microplate reader instrumentation for 
fluorescence, fluorescence polarisation, UV Vis absorbance, luminescence 
and Nephelometry. As specialists in the development and supply of 
microplate readers we offer the most diver"&amp;"se selection of optical detection 
systems including the CLARIOstar PLUS, our latest multimode microplate 
reader with its triple technology - LVF Monochromators, filters, and an 
ultra-fast spectrometer, PHERAstar FSX, the Gold standard in high 
throughp"&amp;"ut screening and NEPHELOstar Laser-based microplate Nephelometer 
for light-scattering and turbidity measurements.")</f>
        <v>BMG LABTECH is a world leader in microplate reader instrumentation for 
fluorescence, fluorescence polarisation, UV Vis absorbance, luminescence 
and Nephelometry. As specialists in the development and supply of 
microplate readers we offer the most diverse selection of optical detection 
systems including the CLARIOstar PLUS, our latest multimode microplate 
reader with its triple technology - LVF Monochromators, filters, and an 
ultra-fast spectrometer, PHERAstar FSX, the Gold standard in high 
throughput screening and NEPHELOstar Laser-based microplate Nephelometer 
for light-scattering and turbidity measurements.</v>
      </c>
    </row>
    <row r="14">
      <c r="A14" s="6" t="str">
        <f>IFERROR(__xludf.DUMMYFUNCTION("""COMPUTED_VALUE"""),"Bouygues E&amp;S Contracting UK Ltd")</f>
        <v>Bouygues E&amp;S Contracting UK Ltd</v>
      </c>
      <c r="B14" s="6" t="str">
        <f>IFERROR(__xludf.DUMMYFUNCTION("""COMPUTED_VALUE""")," Bouygues Energies &amp; Services, One Didsbury Point, 2 The Boulevard, 
Didsbury, M20 2EY ")</f>
        <v> Bouygues Energies &amp; Services, One Didsbury Point, 2 The Boulevard, 
Didsbury, M20 2EY </v>
      </c>
      <c r="C14" s="6" t="str">
        <f>IFERROR(__xludf.DUMMYFUNCTION("""COMPUTED_VALUE""")," 07772 117796 ")</f>
        <v> 07772 117796 </v>
      </c>
      <c r="D14" s="7" t="str">
        <f>IFERROR(__xludf.DUMMYFUNCTION("""COMPUTED_VALUE""")," http://www.bouygues-es.co.uk/industry ")</f>
        <v> http://www.bouygues-es.co.uk/industry </v>
      </c>
      <c r="E14" s="6" t="str">
        <f>IFERROR(__xludf.DUMMYFUNCTION("""COMPUTED_VALUE"""),"Bouygues Energies &amp; Services are a multi-disciplinary Design &amp; Build 
contractor and integrator offering turnkey solutions. We operate across a 
wide variety of industries, especially those operating in critical, highly 
regulated, and controlled environm"&amp;"ent - e.g. Clean rooms (BioPharma 
/Laboratories) whether an upgrade, expansion, or new construction. We 
handle everything in-house, from planning and architecture to project 
management, validation, and engineering. Our project solutions are designed 
f"&amp;"rom the inside out, with a focus on manufacturing processes. For more 
information - Email karen.davies1@bouygues-es.co.uk")</f>
        <v>Bouygues Energies &amp; Services are a multi-disciplinary Design &amp; Build 
contractor and integrator offering turnkey solutions. We operate across a 
wide variety of industries, especially those operating in critical, highly 
regulated, and controlled environment - e.g. Clean rooms (BioPharma 
/Laboratories) whether an upgrade, expansion, or new construction. We 
handle everything in-house, from planning and architecture to project 
management, validation, and engineering. Our project solutions are designed 
from the inside out, with a focus on manufacturing processes. For more 
information - Email karen.davies1@bouygues-es.co.uk</v>
      </c>
    </row>
    <row r="15">
      <c r="A15" s="6" t="str">
        <f>IFERROR(__xludf.DUMMYFUNCTION("""COMPUTED_VALUE"""),"Bristol Myers Squibb")</f>
        <v>Bristol Myers Squibb</v>
      </c>
      <c r="B15" s="6" t="str">
        <f>IFERROR(__xludf.DUMMYFUNCTION("""COMPUTED_VALUE""")," Reeds Lane, Moreton, CH46 1QW ")</f>
        <v> Reeds Lane, Moreton, CH46 1QW </v>
      </c>
      <c r="C15" s="6" t="str">
        <f>IFERROR(__xludf.DUMMYFUNCTION("""COMPUTED_VALUE""")," 0151 552 1500 ")</f>
        <v> 0151 552 1500 </v>
      </c>
      <c r="D15" s="7" t="str">
        <f>IFERROR(__xludf.DUMMYFUNCTION("""COMPUTED_VALUE""")," http://www.bms.com ")</f>
        <v> http://www.bms.com </v>
      </c>
      <c r="E15" s="6" t="str">
        <f>IFERROR(__xludf.DUMMYFUNCTION("""COMPUTED_VALUE"""),"Bristol-Myers Squibb is a global BioPharma company firmly focused on its 
mission to discover, develop and deliver innovative medicines to patients 
with serious diseases.")</f>
        <v>Bristol-Myers Squibb is a global BioPharma company firmly focused on its 
mission to discover, develop and deliver innovative medicines to patients 
with serious diseases.</v>
      </c>
    </row>
    <row r="16">
      <c r="A16" s="6" t="str">
        <f>IFERROR(__xludf.DUMMYFUNCTION("""COMPUTED_VALUE"""),"Bruntwood SciTech")</f>
        <v>Bruntwood SciTech</v>
      </c>
      <c r="B16" s="6" t="str">
        <f>IFERROR(__xludf.DUMMYFUNCTION("""COMPUTED_VALUE""")," Union, 2-10 Albert Square, Manchester, M2 6LW ")</f>
        <v> Union, 2-10 Albert Square, Manchester, M2 6LW </v>
      </c>
      <c r="C16" s="6" t="str">
        <f>IFERROR(__xludf.DUMMYFUNCTION("""COMPUTED_VALUE""")," 0333 323 2241 ")</f>
        <v> 0333 323 2241 </v>
      </c>
      <c r="D16" s="7" t="str">
        <f>IFERROR(__xludf.DUMMYFUNCTION("""COMPUTED_VALUE""")," http://www.bruntwood.co.uk/scitech ")</f>
        <v> http://www.bruntwood.co.uk/scitech </v>
      </c>
      <c r="E16" s="6" t="str">
        <f>IFERROR(__xludf.DUMMYFUNCTION("""COMPUTED_VALUE"""),"Bruntwood SciTech is the UK’s largest provider of office, lab and 
scientific services for the science and technology sector. Its network of 
innovation districts connects the UK’s most ambitious cities, regions and 
science and technology communities thr"&amp;"ough collaboration and a unique 
public, private, academic, clinical partner network. Locations include 
Alderley Park, Citylabs, Liverpool Science Park and Manchester Science Park.")</f>
        <v>Bruntwood SciTech is the UK’s largest provider of office, lab and 
scientific services for the science and technology sector. Its network of 
innovation districts connects the UK’s most ambitious cities, regions and 
science and technology communities through collaboration and a unique 
public, private, academic, clinical partner network. Locations include 
Alderley Park, Citylabs, Liverpool Science Park and Manchester Science Park.</v>
      </c>
    </row>
    <row r="17">
      <c r="A17" s="6" t="str">
        <f>IFERROR(__xludf.DUMMYFUNCTION("""COMPUTED_VALUE"""),"Cancer Research Horizons")</f>
        <v>Cancer Research Horizons</v>
      </c>
      <c r="B17" s="6" t="str">
        <f>IFERROR(__xludf.DUMMYFUNCTION("""COMPUTED_VALUE""")," 2 Redman Place, London, E20 1JQ ")</f>
        <v> 2 Redman Place, London, E20 1JQ </v>
      </c>
      <c r="C17" s="6" t="str">
        <f>IFERROR(__xludf.DUMMYFUNCTION("""COMPUTED_VALUE""")," 07840 485 306 ")</f>
        <v> 07840 485 306 </v>
      </c>
      <c r="D17" s="7" t="str">
        <f>IFERROR(__xludf.DUMMYFUNCTION("""COMPUTED_VALUE""")," https://www.cancerresearchhorizons.com/ ")</f>
        <v> https://www.cancerresearchhorizons.com/ </v>
      </c>
      <c r="E17" s="6" t="str">
        <f>IFERROR(__xludf.DUMMYFUNCTION("""COMPUTED_VALUE"""),"We are a specialist oncology drug discovery, development and 
commercialisation company that fast tracks scientific breakthroughs for 
patient benefit.")</f>
        <v>We are a specialist oncology drug discovery, development and 
commercialisation company that fast tracks scientific breakthroughs for 
patient benefit.</v>
      </c>
    </row>
    <row r="18">
      <c r="A18" s="6" t="str">
        <f>IFERROR(__xludf.DUMMYFUNCTION("""COMPUTED_VALUE"""),"Catalent Pharma Solutions")</f>
        <v>Catalent Pharma Solutions</v>
      </c>
      <c r="B18" s="6" t="str">
        <f>IFERROR(__xludf.DUMMYFUNCTION("""COMPUTED_VALUE""")," Catalent Bathgate (1 Inchwood Park, EH48 2FY), Catalent Oxford (Thomson 
Avenue, OX11 0GD), Catalent Nottingham (8 Orchard Place, NG8 6PX), Catalent 
Swindon (Frankland Road, SN5 8YG) ")</f>
        <v> Catalent Bathgate (1 Inchwood Park, EH48 2FY), Catalent Oxford (Thomson 
Avenue, OX11 0GD), Catalent Nottingham (8 Orchard Place, NG8 6PX), Catalent 
Swindon (Frankland Road, SN5 8YG) </v>
      </c>
      <c r="C18" s="6" t="str">
        <f>IFERROR(__xludf.DUMMYFUNCTION("""COMPUTED_VALUE""")," +1 888 765 8846 ")</f>
        <v> +1 888 765 8846 </v>
      </c>
      <c r="D18" s="7" t="str">
        <f>IFERROR(__xludf.DUMMYFUNCTION("""COMPUTED_VALUE""")," http://www.catalent.com ")</f>
        <v> http://www.catalent.com </v>
      </c>
      <c r="E18" s="6" t="str">
        <f>IFERROR(__xludf.DUMMYFUNCTION("""COMPUTED_VALUE"""),"Catalent is the leading global provider of advanced delivery technologies, 
development, and manufacturing solutions for drugs, biologics, cell and 
gene therapies, and consumer health products. With over 85 years’ industry 
experience, Catalent has prove"&amp;"n expertise in bringing more customers’ 
products to market faster, enhancing product performance, and ensuring 
reliable clinical and commercial product supply.")</f>
        <v>Catalent is the leading global provider of advanced delivery technologies, 
development, and manufacturing solutions for drugs, biologics, cell and 
gene therapies, and consumer health products. With over 85 years’ industry 
experience, Catalent has proven expertise in bringing more customers’ 
products to market faster, enhancing product performance, and ensuring 
reliable clinical and commercial product supply.</v>
      </c>
    </row>
    <row r="19">
      <c r="A19" s="6" t="str">
        <f>IFERROR(__xludf.DUMMYFUNCTION("""COMPUTED_VALUE"""),"Catalyx")</f>
        <v>Catalyx</v>
      </c>
      <c r="B19" s="6" t="str">
        <f>IFERROR(__xludf.DUMMYFUNCTION("""COMPUTED_VALUE""")," Little Island Industrial Estate, Wallingstown, Little Island, Cork, 
Ireland, T45 X767 ")</f>
        <v> Little Island Industrial Estate, Wallingstown, Little Island, Cork, 
Ireland, T45 X767 </v>
      </c>
      <c r="C19" s="6" t="str">
        <f>IFERROR(__xludf.DUMMYFUNCTION("""COMPUTED_VALUE""")," +353 21 452 4767 ")</f>
        <v> +353 21 452 4767 </v>
      </c>
      <c r="D19" s="7" t="str">
        <f>IFERROR(__xludf.DUMMYFUNCTION("""COMPUTED_VALUE""")," https://catalyx.ai/insights/ ")</f>
        <v> https://catalyx.ai/insights/ </v>
      </c>
      <c r="E19" s="6" t="str">
        <f>IFERROR(__xludf.DUMMYFUNCTION("""COMPUTED_VALUE"""),"Catalyx specializes in the science of operational processes. With a 
footprint across North America and Europe, the company carefully automates 
and services R&amp;D, production, packaging, and delivery 
processes—globally—with a sophisticated blend of produc"&amp;"ts, technologies, 
and lifecycle services. The company was formed in 2022 after CXV Global 
(Crest Solutions, Xyntek, and VistaLink) and Panacea Technologies joined 
forces. For over three decades, Catalyx’s partnership-based culture has 
helped organizat"&amp;"ions in production-intense, highly regulated industries 
optimize their operational efficiency, performance, and safety. To learn 
more about the company's experience and comprehensive suite of capabilities 
and solutions, visit our website.")</f>
        <v>Catalyx specializes in the science of operational processes. With a 
footprint across North America and Europe, the company carefully automates 
and services R&amp;D, production, packaging, and delivery 
processes—globally—with a sophisticated blend of products, technologies, 
and lifecycle services. The company was formed in 2022 after CXV Global 
(Crest Solutions, Xyntek, and VistaLink) and Panacea Technologies joined 
forces. For over three decades, Catalyx’s partnership-based culture has 
helped organizations in production-intense, highly regulated industries 
optimize their operational efficiency, performance, and safety. To learn 
more about the company's experience and comprehensive suite of capabilities 
and solutions, visit our website.</v>
      </c>
    </row>
    <row r="20">
      <c r="A20" s="6" t="str">
        <f>IFERROR(__xludf.DUMMYFUNCTION("""COMPUTED_VALUE"""),"Chemicals Northwest")</f>
        <v>Chemicals Northwest</v>
      </c>
      <c r="B20" s="6" t="str">
        <f>IFERROR(__xludf.DUMMYFUNCTION("""COMPUTED_VALUE""")," The Innovation Centre, Sci-Tech Daresbury, Keckwick Lane, Daresbury, WA4 
4FS ")</f>
        <v> The Innovation Centre, Sci-Tech Daresbury, Keckwick Lane, Daresbury, WA4 
4FS </v>
      </c>
      <c r="C20" s="6" t="str">
        <f>IFERROR(__xludf.DUMMYFUNCTION("""COMPUTED_VALUE""")," 01925 607 050 ")</f>
        <v> 01925 607 050 </v>
      </c>
      <c r="D20" s="7" t="str">
        <f>IFERROR(__xludf.DUMMYFUNCTION("""COMPUTED_VALUE""")," http://www.chemicalsnorthwest.org.uk ")</f>
        <v> http://www.chemicalsnorthwest.org.uk </v>
      </c>
      <c r="E20" s="6" t="str">
        <f>IFERROR(__xludf.DUMMYFUNCTION("""COMPUTED_VALUE"""),"Business Support for the Chemical Industry")</f>
        <v>Business Support for the Chemical Industry</v>
      </c>
    </row>
    <row r="21">
      <c r="A21" s="6" t="str">
        <f>IFERROR(__xludf.DUMMYFUNCTION("""COMPUTED_VALUE"""),"Chubb European Group SE, UK and Ireland Branches")</f>
        <v>Chubb European Group SE, UK and Ireland Branches</v>
      </c>
      <c r="B21" s="6" t="str">
        <f>IFERROR(__xludf.DUMMYFUNCTION("""COMPUTED_VALUE""")," 14th Floor, 82 King Street, Manchester, M2 4WQ ")</f>
        <v> 14th Floor, 82 King Street, Manchester, M2 4WQ </v>
      </c>
      <c r="C21" s="6" t="str">
        <f>IFERROR(__xludf.DUMMYFUNCTION("""COMPUTED_VALUE""")," 0161 242 4000 ")</f>
        <v> 0161 242 4000 </v>
      </c>
      <c r="D21" s="7" t="str">
        <f>IFERROR(__xludf.DUMMYFUNCTION("""COMPUTED_VALUE""")," https://www.chubb.com/uk-en/business/by-category-life-sciences.aspx ")</f>
        <v> https://www.chubb.com/uk-en/business/by-category-life-sciences.aspx </v>
      </c>
      <c r="E21" s="6" t="str">
        <f>IFERROR(__xludf.DUMMYFUNCTION("""COMPUTED_VALUE"""),"Chubb European Group SE, UK and Ireland Branches has pioneered tailored 
insurance products for life sciences companies for well over a decade and 
we insure many of Europe's pre-eminent life science businesses. As 
befitting a leading life science insure"&amp;"r, we have teams of specialist 
underwriters, loss control engineers and claims handlers worldwide. We know 
that the life sciences sector incorporates an array of business all with 
different needs. We also understand the unique exposures a life sceince "&amp;"
company faces. We believe our life science package policy has a depth and 
breadth of cover that is the best in the market.")</f>
        <v>Chubb European Group SE, UK and Ireland Branches has pioneered tailored 
insurance products for life sciences companies for well over a decade and 
we insure many of Europe's pre-eminent life science businesses. As 
befitting a leading life science insurer, we have teams of specialist 
underwriters, loss control engineers and claims handlers worldwide. We know 
that the life sciences sector incorporates an array of business all with 
different needs. We also understand the unique exposures a life sceince 
company faces. We believe our life science package policy has a depth and 
breadth of cover that is the best in the market.</v>
      </c>
    </row>
    <row r="22">
      <c r="A22" s="6" t="str">
        <f>IFERROR(__xludf.DUMMYFUNCTION("""COMPUTED_VALUE"""),"Clarion Solicitors")</f>
        <v>Clarion Solicitors</v>
      </c>
      <c r="B22" s="6" t="str">
        <f>IFERROR(__xludf.DUMMYFUNCTION("""COMPUTED_VALUE""")," Elizabeth House, Queen Street, Leeds, West Yorkshire, LS1 2TW ")</f>
        <v> Elizabeth House, Queen Street, Leeds, West Yorkshire, LS1 2TW </v>
      </c>
      <c r="C22" s="6" t="str">
        <f>IFERROR(__xludf.DUMMYFUNCTION("""COMPUTED_VALUE""")," 0113 246 0622 ")</f>
        <v> 0113 246 0622 </v>
      </c>
      <c r="D22" s="7" t="str">
        <f>IFERROR(__xludf.DUMMYFUNCTION("""COMPUTED_VALUE""")," https://www.clarionsolicitors.com/ ")</f>
        <v> https://www.clarionsolicitors.com/ </v>
      </c>
      <c r="E22" s="6" t="str">
        <f>IFERROR(__xludf.DUMMYFUNCTION("""COMPUTED_VALUE"""),"Clarion work side by side with our clients across the UK and 
internationally. We make it a priority to invest our time in getting to 
know you and your business. We want to understand your real issues, rather 
than just serving your immediate needs. That"&amp;" way, we can provide the 
insight and expertise your business really needs and understand where we 
can best add value so we can invest in your success. We work with 
organisations across the entire health and life sciences sector including 
with pharmace"&amp;"utical innovators, pharmaceutical generic companies, medical 
device innovators and manufacturers, biotechnology companies and NHS 
trusts. We are passionate about our clients not only surviving but 
thriving. We support them in more than just their legal"&amp;" needs, linking them 
to various partners across their ecosystem and giving them strategic 
support and advice. Collaboration, business strategy and innovation 
continue to be at the heart of the conversations we are having in our 
network. Many businesse"&amp;"s are adapting their models and through, our 
network, we can help our clients make the right connections. We also run 
regular seminars to share insights on emerging trends and potential 
challenges and to bring our networks together for peer-to-peer con"&amp;"nectivity.")</f>
        <v>Clarion work side by side with our clients across the UK and 
internationally. We make it a priority to invest our time in getting to 
know you and your business. We want to understand your real issues, rather 
than just serving your immediate needs. That way, we can provide the 
insight and expertise your business really needs and understand where we 
can best add value so we can invest in your success. We work with 
organisations across the entire health and life sciences sector including 
with pharmaceutical innovators, pharmaceutical generic companies, medical 
device innovators and manufacturers, biotechnology companies and NHS 
trusts. We are passionate about our clients not only surviving but 
thriving. We support them in more than just their legal needs, linking them 
to various partners across their ecosystem and giving them strategic 
support and advice. Collaboration, business strategy and innovation 
continue to be at the heart of the conversations we are having in our 
network. Many businesses are adapting their models and through, our 
network, we can help our clients make the right connections. We also run 
regular seminars to share insights on emerging trends and potential 
challenges and to bring our networks together for peer-to-peer connectivity.</v>
      </c>
    </row>
    <row r="23">
      <c r="A23" s="6" t="str">
        <f>IFERROR(__xludf.DUMMYFUNCTION("""COMPUTED_VALUE"""),"Cresset")</f>
        <v>Cresset</v>
      </c>
      <c r="B23" s="6" t="str">
        <f>IFERROR(__xludf.DUMMYFUNCTION("""COMPUTED_VALUE""")," New Cambridge House, Bassingbourn Road, Litlington, SG8 0SS ")</f>
        <v> New Cambridge House, Bassingbourn Road, Litlington, SG8 0SS </v>
      </c>
      <c r="C23" s="6" t="str">
        <f>IFERROR(__xludf.DUMMYFUNCTION("""COMPUTED_VALUE""")," 01223 858890 ")</f>
        <v> 01223 858890 </v>
      </c>
      <c r="D23" s="7" t="str">
        <f>IFERROR(__xludf.DUMMYFUNCTION("""COMPUTED_VALUE""")," http://www.cresset-group.com ")</f>
        <v> http://www.cresset-group.com </v>
      </c>
      <c r="E23" s="6" t="str">
        <f>IFERROR(__xludf.DUMMYFUNCTION("""COMPUTED_VALUE"""),"Make the molecules that matter: Access CADD software, drug discovery CRO 
expertise and enhanced efficiency by integrating your in silico CADD and 
DMTA discovery solutions with first-class discovery research resources.")</f>
        <v>Make the molecules that matter: Access CADD software, drug discovery CRO 
expertise and enhanced efficiency by integrating your in silico CADD and 
DMTA discovery solutions with first-class discovery research resources.</v>
      </c>
    </row>
    <row r="24">
      <c r="A24" s="6" t="str">
        <f>IFERROR(__xludf.DUMMYFUNCTION("""COMPUTED_VALUE"""),"Durham University")</f>
        <v>Durham University</v>
      </c>
      <c r="B24" s="6" t="str">
        <f>IFERROR(__xludf.DUMMYFUNCTION("""COMPUTED_VALUE""")," The Palatine Centre, Durham University, Stockton Road, Durham, DH1 3LE ")</f>
        <v> The Palatine Centre, Durham University, Stockton Road, Durham, DH1 3LE </v>
      </c>
      <c r="C24" s="6" t="str">
        <f>IFERROR(__xludf.DUMMYFUNCTION("""COMPUTED_VALUE""")," 0191 334 3189 ")</f>
        <v> 0191 334 3189 </v>
      </c>
      <c r="D24" s="7" t="str">
        <f>IFERROR(__xludf.DUMMYFUNCTION("""COMPUTED_VALUE""")," https://www.durham.ac.uk/research/helping-business/ ")</f>
        <v> https://www.durham.ac.uk/research/helping-business/ </v>
      </c>
      <c r="E24" s="6" t="str">
        <f>IFERROR(__xludf.DUMMYFUNCTION("""COMPUTED_VALUE"""),"Durham University has a long-established commitment to research and 
research-led teaching. Research shapes and inspires the disciplinary 
structure of our departments, as well as our college communities. It 
directly informs our teaching of both undergra"&amp;"duates and postgraduates, and 
creates multidisciplinary programmes through our research centres and 
institutes. In partnership with policy-makers, industry, the public sector, 
and communities around the world, Durham’s cross-disciplinary and 
cross-cul"&amp;"tural research shapes local, national and international agendas.")</f>
        <v>Durham University has a long-established commitment to research and 
research-led teaching. Research shapes and inspires the disciplinary 
structure of our departments, as well as our college communities. It 
directly informs our teaching of both undergraduates and postgraduates, and 
creates multidisciplinary programmes through our research centres and 
institutes. In partnership with policy-makers, industry, the public sector, 
and communities around the world, Durham’s cross-disciplinary and 
cross-cultural research shapes local, national and international agendas.</v>
      </c>
    </row>
    <row r="25">
      <c r="A25" s="6" t="str">
        <f>IFERROR(__xludf.DUMMYFUNCTION("""COMPUTED_VALUE"""),"Easyfairs")</f>
        <v>Easyfairs</v>
      </c>
      <c r="B25" s="6" t="str">
        <f>IFERROR(__xludf.DUMMYFUNCTION("""COMPUTED_VALUE""")," Regal House, 70 London Road, Twickenham, TW1 3QS ")</f>
        <v> Regal House, 70 London Road, Twickenham, TW1 3QS </v>
      </c>
      <c r="C25" s="6" t="str">
        <f>IFERROR(__xludf.DUMMYFUNCTION("""COMPUTED_VALUE""")," +44 2031964300 ")</f>
        <v> +44 2031964300 </v>
      </c>
      <c r="D25" s="7" t="str">
        <f>IFERROR(__xludf.DUMMYFUNCTION("""COMPUTED_VALUE""")," https://bit.ly/connectinpharma-homepage ")</f>
        <v> https://bit.ly/connectinpharma-homepage </v>
      </c>
      <c r="E25" s="6" t="str">
        <f>IFERROR(__xludf.DUMMYFUNCTION("""COMPUTED_VALUE"""),"Connect in Pharma the cost-effective market tool, taking place in Geneva 
14-15 June 2023. It is an international one-stop-platform for the 
development, industrialization and contract manufacturing of drug delivery 
systems and pack &amp; filling technology."&amp;" From the concept phase to the 
finished product, every aspect of Connect In Pharma is designed to inspire 
collaboration and innovation between packaging suppliers, drug delivery 
systems, CMO/CDMO and filling &amp; assembling processes. With talks, 
worksho"&amp;"ps, curated networking and the latest products from the best 
suppliers on show, Connect in Pharma will help visitors to solve their 
challenges and build strong partnerships. Join us in 2023 and help shape 
the future of the pharma &amp; biopharma industry.")</f>
        <v>Connect in Pharma the cost-effective market tool, taking place in Geneva 
14-15 June 2023. It is an international one-stop-platform for the 
development, industrialization and contract manufacturing of drug delivery 
systems and pack &amp; filling technology. From the concept phase to the 
finished product, every aspect of Connect In Pharma is designed to inspire 
collaboration and innovation between packaging suppliers, drug delivery 
systems, CMO/CDMO and filling &amp; assembling processes. With talks, 
workshops, curated networking and the latest products from the best 
suppliers on show, Connect in Pharma will help visitors to solve their 
challenges and build strong partnerships. Join us in 2023 and help shape 
the future of the pharma &amp; biopharma industry.</v>
      </c>
    </row>
    <row r="26">
      <c r="A26" s="6" t="str">
        <f>IFERROR(__xludf.DUMMYFUNCTION("""COMPUTED_VALUE"""),"Edge Hill University")</f>
        <v>Edge Hill University</v>
      </c>
      <c r="B26" s="6" t="str">
        <f>IFERROR(__xludf.DUMMYFUNCTION("""COMPUTED_VALUE""")," St. Helens Road, Ormskirk, L39 4QP ")</f>
        <v> St. Helens Road, Ormskirk, L39 4QP </v>
      </c>
      <c r="C26" s="6" t="str">
        <f>IFERROR(__xludf.DUMMYFUNCTION("""COMPUTED_VALUE""")," 01695 657 348 ")</f>
        <v> 01695 657 348 </v>
      </c>
      <c r="D26" s="7" t="str">
        <f>IFERROR(__xludf.DUMMYFUNCTION("""COMPUTED_VALUE""")," http://www.edgehill.ac.uk ")</f>
        <v> http://www.edgehill.ac.uk </v>
      </c>
      <c r="E26" s="6" t="str">
        <f>IFERROR(__xludf.DUMMYFUNCTION("""COMPUTED_VALUE"""),"The leading recruitment consultancy for contract and permanent roles from 
bench to boardroom, Entrust Resource Solutions is dedicated to the 
development and sustainability of the UK and European Life Sciences and 
Healthcare sectors. Our expert Technica"&amp;"l &amp; Quality and Science &amp; Laboratory 
teams are on the ground when it comes to anticipating and responding to 
developments in the fast-evolving Life Sciences sector. With a range of 
tailored solutions based on Reactive, Proactive, Search and Campaign ta"&amp;"lent 
acquisition, we work in partnership with some of the sector’s most 
established and most innovative companies, on some of the most exciting and 
transformative Life Sciences, Healthcare, Pharmaceutical and Biotechnology 
projects around.")</f>
        <v>The leading recruitment consultancy for contract and permanent roles from 
bench to boardroom, Entrust Resource Solutions is dedicated to the 
development and sustainability of the UK and European Life Sciences and 
Healthcare sectors. Our expert Technical &amp; Quality and Science &amp; Laboratory 
teams are on the ground when it comes to anticipating and responding to 
developments in the fast-evolving Life Sciences sector. With a range of 
tailored solutions based on Reactive, Proactive, Search and Campaign talent 
acquisition, we work in partnership with some of the sector’s most 
established and most innovative companies, on some of the most exciting and 
transformative Life Sciences, Healthcare, Pharmaceutical and Biotechnology 
projects around.</v>
      </c>
    </row>
    <row r="27">
      <c r="A27" s="6" t="str">
        <f>IFERROR(__xludf.DUMMYFUNCTION("""COMPUTED_VALUE"""),"Entrust Resource Solutions Group")</f>
        <v>Entrust Resource Solutions Group</v>
      </c>
      <c r="B27" s="6" t="str">
        <f>IFERROR(__xludf.DUMMYFUNCTION("""COMPUTED_VALUE""")," River Court, 5 West Victoria Dock Road, Dundee, DD1 3JT ")</f>
        <v> River Court, 5 West Victoria Dock Road, Dundee, DD1 3JT </v>
      </c>
      <c r="C27" s="6" t="str">
        <f>IFERROR(__xludf.DUMMYFUNCTION("""COMPUTED_VALUE""")," 01606 818290 ")</f>
        <v> 01606 818290 </v>
      </c>
      <c r="D27" s="7" t="str">
        <f>IFERROR(__xludf.DUMMYFUNCTION("""COMPUTED_VALUE""")," https://entrustrs.com ")</f>
        <v> https://entrustrs.com </v>
      </c>
      <c r="E27" s="6" t="str">
        <f>IFERROR(__xludf.DUMMYFUNCTION("""COMPUTED_VALUE"""),"The UK's leading supplier of laboratory chemicals and equipment. The 
breadth and depth of the Fisher Scientific product range creates a virtual 
one-stop shop for scientists, a scenario which is conducive to long-term 
supply contracts and resulting pric"&amp;"e stability. Fisher Scientific offers 
Bionow Members a discounted core list of laboratory consumables and 
chemicals.")</f>
        <v>The UK's leading supplier of laboratory chemicals and equipment. The 
breadth and depth of the Fisher Scientific product range creates a virtual 
one-stop shop for scientists, a scenario which is conducive to long-term 
supply contracts and resulting price stability. Fisher Scientific offers 
Bionow Members a discounted core list of laboratory consumables and 
chemicals.</v>
      </c>
    </row>
    <row r="28">
      <c r="A28" s="6" t="str">
        <f>IFERROR(__xludf.DUMMYFUNCTION("""COMPUTED_VALUE"""),"Fisher Scientific")</f>
        <v>Fisher Scientific</v>
      </c>
      <c r="B28" s="6" t="str">
        <f>IFERROR(__xludf.DUMMYFUNCTION("""COMPUTED_VALUE""")," Bishop meadow Road, Loughborough, Loughborough, le115rg ")</f>
        <v> Bishop meadow Road, Loughborough, Loughborough, le115rg </v>
      </c>
      <c r="C28" s="6" t="str">
        <f>IFERROR(__xludf.DUMMYFUNCTION("""COMPUTED_VALUE""")," 01509 555 555 ")</f>
        <v> 01509 555 555 </v>
      </c>
      <c r="D28" s="7" t="str">
        <f>IFERROR(__xludf.DUMMYFUNCTION("""COMPUTED_VALUE""")," http://www.fisher.co.uk ")</f>
        <v> http://www.fisher.co.uk </v>
      </c>
      <c r="E28" s="6" t="str">
        <f>IFERROR(__xludf.DUMMYFUNCTION("""COMPUTED_VALUE"""),"Intellectual Property Specialists")</f>
        <v>Intellectual Property Specialists</v>
      </c>
    </row>
    <row r="29">
      <c r="A29" s="6" t="str">
        <f>IFERROR(__xludf.DUMMYFUNCTION("""COMPUTED_VALUE"""),"HGF Limited")</f>
        <v>HGF Limited</v>
      </c>
      <c r="B29" s="6" t="str">
        <f>IFERROR(__xludf.DUMMYFUNCTION("""COMPUTED_VALUE""")," 6th Floor, 4 Hardman Street, Manchester, M3 3HF ")</f>
        <v> 6th Floor, 4 Hardman Street, Manchester, M3 3HF </v>
      </c>
      <c r="C29" s="6" t="str">
        <f>IFERROR(__xludf.DUMMYFUNCTION("""COMPUTED_VALUE""")," 0161 247 4900 ")</f>
        <v> 0161 247 4900 </v>
      </c>
      <c r="D29" s="7" t="str">
        <f>IFERROR(__xludf.DUMMYFUNCTION("""COMPUTED_VALUE""")," http://www.hgf.com ")</f>
        <v> http://www.hgf.com </v>
      </c>
      <c r="E29" s="6" t="str">
        <f>IFERROR(__xludf.DUMMYFUNCTION("""COMPUTED_VALUE"""),"A Spin out from ValiRx PLC, Inaphaea BioLabs, Nottingham (UK), is a new 
pharmaceutical services company specialising in oncology and women’s 
health. Offering a range of cell-based assays, including efficacy and 
selectivity of activity against cancer ce"&amp;"lls; mechanistic and binding 
assays; and measurements of production of cell markers and hormones. The 
Inaphaea team have a strong background of preclinical and clinical drug 
development, and of understanding both the commercial and scientific needs 
of"&amp;" the service users from both sides of the table. Inaphaea will provide 
testing services that generate the necessary data, analysis, and insights 
to aid decision making in translational drug development.")</f>
        <v>A Spin out from ValiRx PLC, Inaphaea BioLabs, Nottingham (UK), is a new 
pharmaceutical services company specialising in oncology and women’s 
health. Offering a range of cell-based assays, including efficacy and 
selectivity of activity against cancer cells; mechanistic and binding 
assays; and measurements of production of cell markers and hormones. The 
Inaphaea team have a strong background of preclinical and clinical drug 
development, and of understanding both the commercial and scientific needs 
of the service users from both sides of the table. Inaphaea will provide 
testing services that generate the necessary data, analysis, and insights 
to aid decision making in translational drug development.</v>
      </c>
    </row>
    <row r="30">
      <c r="A30" s="6" t="str">
        <f>IFERROR(__xludf.DUMMYFUNCTION("""COMPUTED_VALUE"""),"Inaphaea Biolabs")</f>
        <v>Inaphaea Biolabs</v>
      </c>
      <c r="B30" s="6" t="str">
        <f>IFERROR(__xludf.DUMMYFUNCTION("""COMPUTED_VALUE""")," MediCity D6, Thane Road, Nottingham, NG90 6BH ")</f>
        <v> MediCity D6, Thane Road, Nottingham, NG90 6BH </v>
      </c>
      <c r="C30" s="6">
        <f>IFERROR(__xludf.DUMMYFUNCTION("""COMPUTED_VALUE"""),4.47932035029E11)</f>
        <v>447932035029</v>
      </c>
      <c r="D30" s="7" t="str">
        <f>IFERROR(__xludf.DUMMYFUNCTION("""COMPUTED_VALUE""")," http://www.inaphaea.com ")</f>
        <v> http://www.inaphaea.com </v>
      </c>
      <c r="E30" s="6" t="str">
        <f>IFERROR(__xludf.DUMMYFUNCTION("""COMPUTED_VALUE"""),"Industrial Technology Systems (ITS), a specialist, independent systems 
integrator, offers a range of automation solutions to enhance the 
performance of life science companies. ITS design and implement GxP 
compliant management information systems, Pharm"&amp;"a 4.0 solutions, 
traceability, serialisation, OEE, process control, SCADA, DCS and vision 
systems from industry-leading suppliers. ITS also offers a range of 
complementary services including computer, equipment and process validation 
engineering servi"&amp;"ces, regulatory compliance training and 24-7-365 support. 
Our solutions are designed to improve operational efficiency, quality, 
control, data visibility, traceability and regulatory compliance. ITS’ 
customers include AstraZeneca, DePuy Synthes, GlaxoS"&amp;"mithKline, and Sanofi. 
We are looking to develop strong customer partnerships with life science 
companies.")</f>
        <v>Industrial Technology Systems (ITS), a specialist, independent systems 
integrator, offers a range of automation solutions to enhance the 
performance of life science companies. ITS design and implement GxP 
compliant management information systems, Pharma 4.0 solutions, 
traceability, serialisation, OEE, process control, SCADA, DCS and vision 
systems from industry-leading suppliers. ITS also offers a range of 
complementary services including computer, equipment and process validation 
engineering services, regulatory compliance training and 24-7-365 support. 
Our solutions are designed to improve operational efficiency, quality, 
control, data visibility, traceability and regulatory compliance. ITS’ 
customers include AstraZeneca, DePuy Synthes, GlaxoSmithKline, and Sanofi. 
We are looking to develop strong customer partnerships with life science 
companies.</v>
      </c>
    </row>
    <row r="31">
      <c r="A31" s="6" t="str">
        <f>IFERROR(__xludf.DUMMYFUNCTION("""COMPUTED_VALUE"""),"Industrial Technology Systems Ltd (ITS)")</f>
        <v>Industrial Technology Systems Ltd (ITS)</v>
      </c>
      <c r="B31" s="6" t="str">
        <f>IFERROR(__xludf.DUMMYFUNCTION("""COMPUTED_VALUE""")," ITS House, High Force Road, Riverside Park, Middlesbrough, TS2 1RH ")</f>
        <v> ITS House, High Force Road, Riverside Park, Middlesbrough, TS2 1RH </v>
      </c>
      <c r="C31" s="6" t="str">
        <f>IFERROR(__xludf.DUMMYFUNCTION("""COMPUTED_VALUE""")," +44 (0)1642 222232 ")</f>
        <v> +44 (0)1642 222232 </v>
      </c>
      <c r="D31" s="7" t="str">
        <f>IFERROR(__xludf.DUMMYFUNCTION("""COMPUTED_VALUE""")," http://www.its-ltd.co.uk ")</f>
        <v> http://www.its-ltd.co.uk </v>
      </c>
      <c r="E31" s="6" t="str">
        <f>IFERROR(__xludf.DUMMYFUNCTION("""COMPUTED_VALUE"""),"The Innovation Forum is an accelerator for science-based ventures. It is 
supported by a global grassroots network of over 10,000 innovators that 
seeks to build bridges between industry, academia and government. We focus 
on the future and the evolution "&amp;"of today’s technologies, which range from 
the nascent stage to the cusp of commercial application.")</f>
        <v>The Innovation Forum is an accelerator for science-based ventures. It is 
supported by a global grassroots network of over 10,000 innovators that 
seeks to build bridges between industry, academia and government. We focus 
on the future and the evolution of today’s technologies, which range from 
the nascent stage to the cusp of commercial application.</v>
      </c>
    </row>
    <row r="32">
      <c r="A32" s="6" t="str">
        <f>IFERROR(__xludf.DUMMYFUNCTION("""COMPUTED_VALUE"""),"Innovation Forum")</f>
        <v>Innovation Forum</v>
      </c>
      <c r="B32" s="6" t="str">
        <f>IFERROR(__xludf.DUMMYFUNCTION("""COMPUTED_VALUE""")," Suite 1, 3rd Floor, 11-12 St James’s Square, London, SW1Y 4LB ")</f>
        <v> Suite 1, 3rd Floor, 11-12 St James’s Square, London, SW1Y 4LB </v>
      </c>
      <c r="C32" s="6" t="str">
        <f>IFERROR(__xludf.DUMMYFUNCTION("""COMPUTED_VALUE""")," 07784 628249 ")</f>
        <v> 07784 628249 </v>
      </c>
      <c r="D32" s="7" t="str">
        <f>IFERROR(__xludf.DUMMYFUNCTION("""COMPUTED_VALUE""")," https://inno-forum.org/ ")</f>
        <v> https://inno-forum.org/ </v>
      </c>
      <c r="E32" s="6" t="str">
        <f>IFERROR(__xludf.DUMMYFUNCTION("""COMPUTED_VALUE"""),"Keele University prides itself on releasing the power of leading research 
and education to the world at large while still being especially effective 
locally. Keele is ranked first in England for Student Satisfaction in the 
National Student Survey 2018 "&amp;"(of broad-based universities) and was awarded 
Gold in the Teaching Excellence Framework. In the most recent Research 
Excellence Framework, 97% of the University’s research as deemed to be 
world-leading or of international importance.")</f>
        <v>Keele University prides itself on releasing the power of leading research 
and education to the world at large while still being especially effective 
locally. Keele is ranked first in England for Student Satisfaction in the 
National Student Survey 2018 (of broad-based universities) and was awarded 
Gold in the Teaching Excellence Framework. In the most recent Research 
Excellence Framework, 97% of the University’s research as deemed to be 
world-leading or of international importance.</v>
      </c>
    </row>
    <row r="33">
      <c r="A33" s="6" t="str">
        <f>IFERROR(__xludf.DUMMYFUNCTION("""COMPUTED_VALUE"""),"Keele University")</f>
        <v>Keele University</v>
      </c>
      <c r="B33" s="6" t="str">
        <f>IFERROR(__xludf.DUMMYFUNCTION("""COMPUTED_VALUE""")," Keele University, Keele, Staffordshire, ST5 5BG ")</f>
        <v> Keele University, Keele, Staffordshire, ST5 5BG </v>
      </c>
      <c r="C33" s="6" t="str">
        <f>IFERROR(__xludf.DUMMYFUNCTION("""COMPUTED_VALUE""")," 01782 733843 ")</f>
        <v> 01782 733843 </v>
      </c>
      <c r="D33" s="7" t="str">
        <f>IFERROR(__xludf.DUMMYFUNCTION("""COMPUTED_VALUE""")," https://www.keele.ac.uk/ ")</f>
        <v> https://www.keele.ac.uk/ </v>
      </c>
      <c r="E33" s="6" t="str">
        <f>IFERROR(__xludf.DUMMYFUNCTION("""COMPUTED_VALUE"""),"One of the UK’s leading Universities. We are proud of our international 
reputation as a centre for excellence in teaching and research.")</f>
        <v>One of the UK’s leading Universities. We are proud of our international 
reputation as a centre for excellence in teaching and research.</v>
      </c>
    </row>
    <row r="34">
      <c r="A34" s="6" t="str">
        <f>IFERROR(__xludf.DUMMYFUNCTION("""COMPUTED_VALUE"""),"Lancaster University")</f>
        <v>Lancaster University</v>
      </c>
      <c r="B34" s="6" t="str">
        <f>IFERROR(__xludf.DUMMYFUNCTION("""COMPUTED_VALUE""")," Bailrigg, Lancaster, LA1 4YW ")</f>
        <v> Bailrigg, Lancaster, LA1 4YW </v>
      </c>
      <c r="C34" s="6" t="str">
        <f>IFERROR(__xludf.DUMMYFUNCTION("""COMPUTED_VALUE""")," 01524 652 01 ")</f>
        <v> 01524 652 01 </v>
      </c>
      <c r="D34" s="7" t="str">
        <f>IFERROR(__xludf.DUMMYFUNCTION("""COMPUTED_VALUE""")," https://www.lancaster.ac.uk/health-innovation/support/ ")</f>
        <v> https://www.lancaster.ac.uk/health-innovation/support/ </v>
      </c>
      <c r="E34" s="6" t="str">
        <f>IFERROR(__xludf.DUMMYFUNCTION("""COMPUTED_VALUE"""),"Liverpool John Moores University (LJMU) has a world-class record in the 
field of Life Sciences.It is a record built on our expertise in teaching, 
research, consultancy, Knowledge Transfer Partnerships, Continuing 
Professional Development programmes and"&amp;" scientific testing.We are committed 
to working collaboratively with businesses, agencies and teams locally, 
nationally and internationally, to develop innovative solutions and 
technologies to meet the current and emerging needs of industry and new 
so"&amp;"cietal and legislative initiatives.")</f>
        <v>Liverpool John Moores University (LJMU) has a world-class record in the 
field of Life Sciences.It is a record built on our expertise in teaching, 
research, consultancy, Knowledge Transfer Partnerships, Continuing 
Professional Development programmes and scientific testing.We are committed 
to working collaboratively with businesses, agencies and teams locally, 
nationally and internationally, to develop innovative solutions and 
technologies to meet the current and emerging needs of industry and new 
societal and legislative initiatives.</v>
      </c>
    </row>
    <row r="35">
      <c r="A35" s="6" t="str">
        <f>IFERROR(__xludf.DUMMYFUNCTION("""COMPUTED_VALUE"""),"Liverpool John Moores University")</f>
        <v>Liverpool John Moores University</v>
      </c>
      <c r="B35" s="6" t="str">
        <f>IFERROR(__xludf.DUMMYFUNCTION("""COMPUTED_VALUE""")," Exchange Station, Tithebarn Street, Liverpool, L2 2QP ")</f>
        <v> Exchange Station, Tithebarn Street, Liverpool, L2 2QP </v>
      </c>
      <c r="C35" s="6" t="str">
        <f>IFERROR(__xludf.DUMMYFUNCTION("""COMPUTED_VALUE""")," 0151 904 6371 ")</f>
        <v> 0151 904 6371 </v>
      </c>
      <c r="D35" s="7" t="str">
        <f>IFERROR(__xludf.DUMMYFUNCTION("""COMPUTED_VALUE""")," http://www.ljmu.ac.uk ")</f>
        <v> http://www.ljmu.ac.uk </v>
      </c>
      <c r="E35" s="6" t="str">
        <f>IFERROR(__xludf.DUMMYFUNCTION("""COMPUTED_VALUE"""),"Lonza is the preferred global partner to the pharmaceutical, biotech and 
nutrition markets. We work to prevent illness and enable a healthier world 
by supporting our customers to deliver new and innovative medicines that 
help treat a wide range of dise"&amp;"ases. We achieve this by combining 
technological insight with world-class manufacturing, scientific expertise 
and process excellence. These enable our customers to commercialize their 
discoveries and innovations in the healthcare sector. Founded in 189"&amp;"7 in 
the Swiss Alps, today Lonza operates across five continents. With 
approximately 14,000 full-time employees, we are built from high-performing 
teams and of individual talent who make a meaningful difference to our own 
business, as well as to the c"&amp;"ommunities in which we operate. The company 
generated sales of CHF 4.5 billion in 2020 with a CORE EBITDA of CHF 1.4 
billion. Find out more at www.lonza.com")</f>
        <v>Lonza is the preferred global partner to the pharmaceutical, biotech and 
nutrition markets. We work to prevent illness and enable a healthier world 
by supporting our customers to deliver new and innovative medicines that 
help treat a wide range of diseases. We achieve this by combining 
technological insight with world-class manufacturing, scientific expertise 
and process excellence. These enable our customers to commercialize their 
discoveries and innovations in the healthcare sector. Founded in 1897 in 
the Swiss Alps, today Lonza operates across five continents. With 
approximately 14,000 full-time employees, we are built from high-performing 
teams and of individual talent who make a meaningful difference to our own 
business, as well as to the communities in which we operate. The company 
generated sales of CHF 4.5 billion in 2020 with a CORE EBITDA of CHF 1.4 
billion. Find out more at www.lonza.com</v>
      </c>
    </row>
    <row r="36">
      <c r="A36" s="6" t="str">
        <f>IFERROR(__xludf.DUMMYFUNCTION("""COMPUTED_VALUE"""),"Lonza")</f>
        <v>Lonza</v>
      </c>
      <c r="B36" s="6" t="str">
        <f>IFERROR(__xludf.DUMMYFUNCTION("""COMPUTED_VALUE""")," Muenchensteinerstrasse 38, Basel, CH-4002 ")</f>
        <v> Muenchensteinerstrasse 38, Basel, CH-4002 </v>
      </c>
      <c r="C36" s="6" t="str">
        <f>IFERROR(__xludf.DUMMYFUNCTION("""COMPUTED_VALUE""")," +41 61 316 81 11 ")</f>
        <v> +41 61 316 81 11 </v>
      </c>
      <c r="D36" s="7" t="str">
        <f>IFERROR(__xludf.DUMMYFUNCTION("""COMPUTED_VALUE""")," https://www.lonza.com/ ")</f>
        <v> https://www.lonza.com/ </v>
      </c>
      <c r="E36" s="6" t="str">
        <f>IFERROR(__xludf.DUMMYFUNCTION("""COMPUTED_VALUE"""),"Medicines Discovery Catapult (MDC) is an independent, not-for-profit 
organisation and part of the Catapult Network established by Innovate UK. 
MDC's vision is to reshape drug discovery for patient benefit by 
transforming great UK science into better tr"&amp;"eatments through partnership. 
MDC supports drug discovery innovators by making world-class expertise, 
facilities, complex technologies and advanced analytics accessible. We 
connect the life sciences ecosystem, driving a global focus on barriers to 
inn"&amp;"ovation in areas of unmet patient and technological need. By 
industrialising new technologies to drive the adoption of new scientific 
tools and techniques, MDC enables successful medicines discovery.")</f>
        <v>Medicines Discovery Catapult (MDC) is an independent, not-for-profit 
organisation and part of the Catapult Network established by Innovate UK. 
MDC's vision is to reshape drug discovery for patient benefit by 
transforming great UK science into better treatments through partnership. 
MDC supports drug discovery innovators by making world-class expertise, 
facilities, complex technologies and advanced analytics accessible. We 
connect the life sciences ecosystem, driving a global focus on barriers to 
innovation in areas of unmet patient and technological need. By 
industrialising new technologies to drive the adoption of new scientific 
tools and techniques, MDC enables successful medicines discovery.</v>
      </c>
    </row>
    <row r="37">
      <c r="A37" s="6" t="str">
        <f>IFERROR(__xludf.DUMMYFUNCTION("""COMPUTED_VALUE"""),"Medicines Discovery Catapult")</f>
        <v>Medicines Discovery Catapult</v>
      </c>
      <c r="B37" s="6" t="str">
        <f>IFERROR(__xludf.DUMMYFUNCTION("""COMPUTED_VALUE""")," Block 35G, Alderley Park, Alderley Edge, SK10 4TG ")</f>
        <v> Block 35G, Alderley Park, Alderley Edge, SK10 4TG </v>
      </c>
      <c r="C37" s="6" t="str">
        <f>IFERROR(__xludf.DUMMYFUNCTION("""COMPUTED_VALUE""")," 01625 238734 ")</f>
        <v> 01625 238734 </v>
      </c>
      <c r="D37" s="7" t="str">
        <f>IFERROR(__xludf.DUMMYFUNCTION("""COMPUTED_VALUE""")," https://md.catapult.org.uk/ ")</f>
        <v> https://md.catapult.org.uk/ </v>
      </c>
      <c r="E37" s="6" t="str">
        <f>IFERROR(__xludf.DUMMYFUNCTION("""COMPUTED_VALUE"""),"MediWales is the life science network for Wales, working alongside 250 
members to create a community in the life science sector in Wales. As the 
independent life science network for Wales, MediWales brings together 
industry, academia and the clinical c"&amp;"ommunity to support the advancement of 
human life science in Wales and create collaborations and business 
opportunities for our members")</f>
        <v>MediWales is the life science network for Wales, working alongside 250 
members to create a community in the life science sector in Wales. As the 
independent life science network for Wales, MediWales brings together 
industry, academia and the clinical community to support the advancement of 
human life science in Wales and create collaborations and business 
opportunities for our members</v>
      </c>
    </row>
    <row r="38">
      <c r="A38" s="6" t="str">
        <f>IFERROR(__xludf.DUMMYFUNCTION("""COMPUTED_VALUE"""),"MediWales")</f>
        <v>MediWales</v>
      </c>
      <c r="B38" s="6" t="str">
        <f>IFERROR(__xludf.DUMMYFUNCTION("""COMPUTED_VALUE""")," The Maltings, East Tyndall Street, Cardiff, CF245EA ")</f>
        <v> The Maltings, East Tyndall Street, Cardiff, CF245EA </v>
      </c>
      <c r="C38" s="6" t="str">
        <f>IFERROR(__xludf.DUMMYFUNCTION("""COMPUTED_VALUE""")," +44 (0) 2920 47 34 56 ")</f>
        <v> +44 (0) 2920 47 34 56 </v>
      </c>
      <c r="D38" s="7" t="str">
        <f>IFERROR(__xludf.DUMMYFUNCTION("""COMPUTED_VALUE""")," https://mediwales.com ")</f>
        <v> https://mediwales.com </v>
      </c>
      <c r="E38" s="6" t="str">
        <f>IFERROR(__xludf.DUMMYFUNCTION("""COMPUTED_VALUE"""),"Manchester's investment agency to help you and your business with 
relocation and expansion plans.")</f>
        <v>Manchester's investment agency to help you and your business with 
relocation and expansion plans.</v>
      </c>
    </row>
    <row r="39">
      <c r="A39" s="6" t="str">
        <f>IFERROR(__xludf.DUMMYFUNCTION("""COMPUTED_VALUE"""),"MIDAS, Manchester's Inward Investment Agency")</f>
        <v>MIDAS, Manchester's Inward Investment Agency</v>
      </c>
      <c r="B39" s="6" t="str">
        <f>IFERROR(__xludf.DUMMYFUNCTION("""COMPUTED_VALUE""")," Churchgate House, 56 Oxford Street, Manchester, M1 6EU ")</f>
        <v> Churchgate House, 56 Oxford Street, Manchester, M1 6EU </v>
      </c>
      <c r="C39" s="6" t="str">
        <f>IFERROR(__xludf.DUMMYFUNCTION("""COMPUTED_VALUE""")," 0161 237 4470 ")</f>
        <v> 0161 237 4470 </v>
      </c>
      <c r="D39" s="7" t="str">
        <f>IFERROR(__xludf.DUMMYFUNCTION("""COMPUTED_VALUE""")," http://www.investinmanchester.com ")</f>
        <v> http://www.investinmanchester.com </v>
      </c>
      <c r="E39" s="6" t="str">
        <f>IFERROR(__xludf.DUMMYFUNCTION("""COMPUTED_VALUE"""),"Renowned for a uniquely collaborative way of working and outstanding client 
service, Mills &amp; Reeve is one of the top performing law firms in the UK.Our 
expert teams of lawyers utilise a global network of leading legal and 
industry experts to deliver co"&amp;"mmercial advice to clients wherever they are 
in the world in our open, personal and transparent way.We have six offices 
in Birmingham, Cambridge, Leeds, London, Manchester and Norwich. The firm 
has a strong sector focus with expertise in life sciences,"&amp;" technology, 
charities, education, food and agribusiness, health, insurance, private 
wealth, real estate investment and sport. The legal advisers behind some of 
the UK’s most successful technology businesses.")</f>
        <v>Renowned for a uniquely collaborative way of working and outstanding client 
service, Mills &amp; Reeve is one of the top performing law firms in the UK.Our 
expert teams of lawyers utilise a global network of leading legal and 
industry experts to deliver commercial advice to clients wherever they are 
in the world in our open, personal and transparent way.We have six offices 
in Birmingham, Cambridge, Leeds, London, Manchester and Norwich. The firm 
has a strong sector focus with expertise in life sciences, technology, 
charities, education, food and agribusiness, health, insurance, private 
wealth, real estate investment and sport. The legal advisers behind some of 
the UK’s most successful technology businesses.</v>
      </c>
    </row>
    <row r="40">
      <c r="A40" s="6" t="str">
        <f>IFERROR(__xludf.DUMMYFUNCTION("""COMPUTED_VALUE"""),"Mills &amp; Reeve LLP")</f>
        <v>Mills &amp; Reeve LLP</v>
      </c>
      <c r="B40" s="6" t="str">
        <f>IFERROR(__xludf.DUMMYFUNCTION("""COMPUTED_VALUE""")," 9th Floor, 1 New York St, Manchester, M1 4HD ")</f>
        <v> 9th Floor, 1 New York St, Manchester, M1 4HD </v>
      </c>
      <c r="C40" s="6" t="str">
        <f>IFERROR(__xludf.DUMMYFUNCTION("""COMPUTED_VALUE""")," 0161 235 5420 ")</f>
        <v> 0161 235 5420 </v>
      </c>
      <c r="D40" s="7" t="str">
        <f>IFERROR(__xludf.DUMMYFUNCTION("""COMPUTED_VALUE""")," http://www.mills-reeve.com ")</f>
        <v> http://www.mills-reeve.com </v>
      </c>
      <c r="E40" s="6" t="str">
        <f>IFERROR(__xludf.DUMMYFUNCTION("""COMPUTED_VALUE"""),"Mitigo offers proportionate, affordable, ongoing cybersecurity, operational 
resilience, routine and emergency support, tailor-made for your business, 
whatever sector you’re in, including specialisms in financial services, 
accountancy, architectural and"&amp;" legal practices. Cybercriminals might not 
like it. But spoiling their day can make our clients’ day.")</f>
        <v>Mitigo offers proportionate, affordable, ongoing cybersecurity, operational 
resilience, routine and emergency support, tailor-made for your business, 
whatever sector you’re in, including specialisms in financial services, 
accountancy, architectural and legal practices. Cybercriminals might not 
like it. But spoiling their day can make our clients’ day.</v>
      </c>
    </row>
    <row r="41">
      <c r="A41" s="6" t="str">
        <f>IFERROR(__xludf.DUMMYFUNCTION("""COMPUTED_VALUE"""),"Mitigo Cyber Security")</f>
        <v>Mitigo Cyber Security</v>
      </c>
      <c r="B41" s="6" t="str">
        <f>IFERROR(__xludf.DUMMYFUNCTION("""COMPUTED_VALUE""")," Southgate 2, 321 Wilmslow Road, Cheadle,, Cheshire, SK8 3PW ")</f>
        <v> Southgate 2, 321 Wilmslow Road, Cheadle,, Cheshire, SK8 3PW </v>
      </c>
      <c r="C41" s="6" t="str">
        <f>IFERROR(__xludf.DUMMYFUNCTION("""COMPUTED_VALUE""")," 0161 711 0201 ")</f>
        <v> 0161 711 0201 </v>
      </c>
      <c r="D41" s="7" t="str">
        <f>IFERROR(__xludf.DUMMYFUNCTION("""COMPUTED_VALUE""")," https://mitigogroup.com/partnership-pages/bionow/ ")</f>
        <v> https://mitigogroup.com/partnership-pages/bionow/ </v>
      </c>
      <c r="E41" s="6" t="str">
        <f>IFERROR(__xludf.DUMMYFUNCTION("""COMPUTED_VALUE"""),"The North East Technology Park is a dynamic and supportive environment that 
helps accelerate the growth of science, technology and engineering 
companies in global markets. NETPark encourages collaborative 
multidisciplinary links, driving innovation, en"&amp;"terprise and economic 
prosperity. We provide companies with access to a focused and international 
community where talent flourishes, ideas are generated and businesses have 
the support and resources to compete with the best in the world. NETPark is 
ho"&amp;"me to over 40 companies employing over 600 people from university 
spin-outs, start-ups to more established companies. Sectors include 
advanced materials and manufacturing, nanotechnology, X-Ray technology, 
semiconductors, defence, electronics, photonic"&amp;"s, robotics, pharmaceutical 
and space/satellites. The only UK Science Park with two National Catapult 
Centres – High Value Manufacturing Catapult (managed by CPI) &amp; North East 
Satellite Applications Centre of Excellence (managed by Business Durham). 
D"&amp;"urham County Council has approved £50M capital investment and granted 
planning permission to develop 270,000 sq ft of new laboratory, office, 
production and storage space. It is hoped that development work will start 
Q3 2022.")</f>
        <v>The North East Technology Park is a dynamic and supportive environment that 
helps accelerate the growth of science, technology and engineering 
companies in global markets. NETPark encourages collaborative 
multidisciplinary links, driving innovation, enterprise and economic 
prosperity. We provide companies with access to a focused and international 
community where talent flourishes, ideas are generated and businesses have 
the support and resources to compete with the best in the world. NETPark is 
home to over 40 companies employing over 600 people from university 
spin-outs, start-ups to more established companies. Sectors include 
advanced materials and manufacturing, nanotechnology, X-Ray technology, 
semiconductors, defence, electronics, photonics, robotics, pharmaceutical 
and space/satellites. The only UK Science Park with two National Catapult 
Centres – High Value Manufacturing Catapult (managed by CPI) &amp; North East 
Satellite Applications Centre of Excellence (managed by Business Durham). 
Durham County Council has approved £50M capital investment and granted 
planning permission to develop 270,000 sq ft of new laboratory, office, 
production and storage space. It is hoped that development work will start 
Q3 2022.</v>
      </c>
    </row>
    <row r="42">
      <c r="A42" s="6" t="str">
        <f>IFERROR(__xludf.DUMMYFUNCTION("""COMPUTED_VALUE"""),"NETPark")</f>
        <v>NETPark</v>
      </c>
      <c r="B42" s="6" t="str">
        <f>IFERROR(__xludf.DUMMYFUNCTION("""COMPUTED_VALUE""")," Thomas Wright Way, Sedgefield, County Durham, TS21 3FD ")</f>
        <v> Thomas Wright Way, Sedgefield, County Durham, TS21 3FD </v>
      </c>
      <c r="C42" s="6" t="str">
        <f>IFERROR(__xludf.DUMMYFUNCTION("""COMPUTED_VALUE""")," (+44) 01740 625250 ")</f>
        <v> (+44) 01740 625250 </v>
      </c>
      <c r="D42" s="7" t="str">
        <f>IFERROR(__xludf.DUMMYFUNCTION("""COMPUTED_VALUE""")," https://www.northeasttechnologypark.com/ ")</f>
        <v> https://www.northeasttechnologypark.com/ </v>
      </c>
      <c r="E42" s="6" t="str">
        <f>IFERROR(__xludf.DUMMYFUNCTION("""COMPUTED_VALUE"""),"New Scientist is the world's leading science and technology weekly, 
published by Reed Business Information.")</f>
        <v>New Scientist is the world's leading science and technology weekly, 
published by Reed Business Information.</v>
      </c>
    </row>
    <row r="43">
      <c r="A43" s="6" t="str">
        <f>IFERROR(__xludf.DUMMYFUNCTION("""COMPUTED_VALUE"""),"New Scientist")</f>
        <v>New Scientist</v>
      </c>
      <c r="B43" s="6" t="str">
        <f>IFERROR(__xludf.DUMMYFUNCTION("""COMPUTED_VALUE""")," 110 High Holborn, London, WC1V 6JS ")</f>
        <v> 110 High Holborn, London, WC1V 6JS </v>
      </c>
      <c r="C43" s="6" t="str">
        <f>IFERROR(__xludf.DUMMYFUNCTION("""COMPUTED_VALUE""")," 020 8652 4811 ")</f>
        <v> 020 8652 4811 </v>
      </c>
      <c r="D43" s="7" t="str">
        <f>IFERROR(__xludf.DUMMYFUNCTION("""COMPUTED_VALUE""")," http://www.newscientist.com ")</f>
        <v> http://www.newscientist.com </v>
      </c>
      <c r="E43" s="6" t="str">
        <f>IFERROR(__xludf.DUMMYFUNCTION("""COMPUTED_VALUE"""),"Newcastle University is helping people to live longer, healthier, happier 
lives through research, education and working with business. Our key focus 
areas include ageing, stem cells, cancer, cell biology, genetics, drug 
development, medicine in society"&amp;", and neuroscience. We aim to translate 
scientific advances made at Newcastle University into direct benefits for 
patients. Newcastle University offers help and assistance to researchers 
and businesses in all aspects of development. We can enable knowl"&amp;"edge and 
technology exchange between academia and industry and help recruit students 
or graduates to support business growth. Through a combination of clinical 
and laboratory-based research, we can facilitate bench to bedside research 
and provide oppo"&amp;"rtunities for continuing professional development to 
healthcare professionals . We can also provide a range of specialist 
equipment and expertise, to support and enhance the work of commercial 
partners and customers.")</f>
        <v>Newcastle University is helping people to live longer, healthier, happier 
lives through research, education and working with business. Our key focus 
areas include ageing, stem cells, cancer, cell biology, genetics, drug 
development, medicine in society, and neuroscience. We aim to translate 
scientific advances made at Newcastle University into direct benefits for 
patients. Newcastle University offers help and assistance to researchers 
and businesses in all aspects of development. We can enable knowledge and 
technology exchange between academia and industry and help recruit students 
or graduates to support business growth. Through a combination of clinical 
and laboratory-based research, we can facilitate bench to bedside research 
and provide opportunities for continuing professional development to 
healthcare professionals . We can also provide a range of specialist 
equipment and expertise, to support and enhance the work of commercial 
partners and customers.</v>
      </c>
    </row>
    <row r="44">
      <c r="A44" s="6" t="str">
        <f>IFERROR(__xludf.DUMMYFUNCTION("""COMPUTED_VALUE"""),"Newcastle University")</f>
        <v>Newcastle University</v>
      </c>
      <c r="B44" s="6" t="str">
        <f>IFERROR(__xludf.DUMMYFUNCTION("""COMPUTED_VALUE""")," Newcastle upon Tyne, Tyne and Wear, NE1 7RU ")</f>
        <v> Newcastle upon Tyne, Tyne and Wear, NE1 7RU </v>
      </c>
      <c r="C44" s="6" t="str">
        <f>IFERROR(__xludf.DUMMYFUNCTION("""COMPUTED_VALUE""")," 0191 222 6000 ")</f>
        <v> 0191 222 6000 </v>
      </c>
      <c r="D44" s="7" t="str">
        <f>IFERROR(__xludf.DUMMYFUNCTION("""COMPUTED_VALUE""")," https://www.ncl.ac.uk/work-with-us/ ")</f>
        <v> https://www.ncl.ac.uk/work-with-us/ </v>
      </c>
      <c r="E44" s="6" t="str">
        <f>IFERROR(__xludf.DUMMYFUNCTION("""COMPUTED_VALUE"""),"Nexus is a vibrant community for innovators and entrepreneurs based on the 
University of Leeds campus. We help turn your big ideas into reality, 
whether that’s developing a new product or growing a successful business. 
Our state-of-the-art office, lab "&amp;"and co-working spaces are the perfect base 
for businesses who want to enable growth and innovation. As a Nexus member, 
you’ll join a growing community of like-minded individuals, which helps you 
to stimulate new ideas and opportunities. Contact us to l"&amp;"earn more about 
how workspace at Nexus can take your business to the next level.")</f>
        <v>Nexus is a vibrant community for innovators and entrepreneurs based on the 
University of Leeds campus. We help turn your big ideas into reality, 
whether that’s developing a new product or growing a successful business. 
Our state-of-the-art office, lab and co-working spaces are the perfect base 
for businesses who want to enable growth and innovation. As a Nexus member, 
you’ll join a growing community of like-minded individuals, which helps you 
to stimulate new ideas and opportunities. Contact us to learn more about 
how workspace at Nexus can take your business to the next level.</v>
      </c>
    </row>
    <row r="45">
      <c r="A45" s="6" t="str">
        <f>IFERROR(__xludf.DUMMYFUNCTION("""COMPUTED_VALUE"""),"Nexus")</f>
        <v>Nexus</v>
      </c>
      <c r="B45" s="6" t="str">
        <f>IFERROR(__xludf.DUMMYFUNCTION("""COMPUTED_VALUE""")," Discovery Way, University of Leeds, Leeds, Yorkshire, LS2 3AA ")</f>
        <v> Discovery Way, University of Leeds, Leeds, Yorkshire, LS2 3AA </v>
      </c>
      <c r="C45" s="6" t="str">
        <f>IFERROR(__xludf.DUMMYFUNCTION("""COMPUTED_VALUE""")," 0113 3061 444 ")</f>
        <v> 0113 3061 444 </v>
      </c>
      <c r="D45" s="7" t="str">
        <f>IFERROR(__xludf.DUMMYFUNCTION("""COMPUTED_VALUE""")," https://nexusleeds.co.uk/ ")</f>
        <v> https://nexusleeds.co.uk/ </v>
      </c>
      <c r="E45" s="6" t="str">
        <f>IFERROR(__xludf.DUMMYFUNCTION("""COMPUTED_VALUE"""),"We are a student led initiative based at the University of Manchester. We 
organise events aiming to bridge the gap between academia and industry.")</f>
        <v>We are a student led initiative based at the University of Manchester. We 
organise events aiming to bridge the gap between academia and industry.</v>
      </c>
    </row>
    <row r="46">
      <c r="A46" s="6" t="str">
        <f>IFERROR(__xludf.DUMMYFUNCTION("""COMPUTED_VALUE"""),"North West Biotech Initiative")</f>
        <v>North West Biotech Initiative</v>
      </c>
      <c r="B46" s="6" t="str">
        <f>IFERROR(__xludf.DUMMYFUNCTION("""COMPUTED_VALUE""")," The University of Manchester, Oxford Road, Manchester, Greater Manchester, 
M13 9PL ")</f>
        <v> The University of Manchester, Oxford Road, Manchester, Greater Manchester, 
M13 9PL </v>
      </c>
      <c r="C46" s="6">
        <f>IFERROR(__xludf.DUMMYFUNCTION("""COMPUTED_VALUE"""),7.511536701E9)</f>
        <v>7511536701</v>
      </c>
      <c r="D46" s="7" t="str">
        <f>IFERROR(__xludf.DUMMYFUNCTION("""COMPUTED_VALUE""")," https://www.nwbiotech.co.uk/ ")</f>
        <v> https://www.nwbiotech.co.uk/ </v>
      </c>
      <c r="E46" s="6" t="str">
        <f>IFERROR(__xludf.DUMMYFUNCTION("""COMPUTED_VALUE"""),"Northumbria University is the largest University in North East England with 
a significant global presence. We provide innovative research and knowledge 
exchange, as well as employer-focused education and customised training 
addressing the needs of indu"&amp;"stry and government organisations. Our 
experience of working with chemical, petrochemical, speciality chemical, 
pharmaceutical, polymer, biotechnology, automotive, food and other 
manufacturing industries (over 1000 clients worldwide) has resulted in th"&amp;"e 
University's export of research, education and expert technical and policy 
advice accounting for 20% of its annual turnover. Northumbria University is 
now in the UK top 50 for research power and has been recognised by Times 
Higher Education as havin"&amp;"g the biggest rise in research power of any 
university in a national assessment of research quality in UK universities.")</f>
        <v>Northumbria University is the largest University in North East England with 
a significant global presence. We provide innovative research and knowledge 
exchange, as well as employer-focused education and customised training 
addressing the needs of industry and government organisations. Our 
experience of working with chemical, petrochemical, speciality chemical, 
pharmaceutical, polymer, biotechnology, automotive, food and other 
manufacturing industries (over 1000 clients worldwide) has resulted in the 
University's export of research, education and expert technical and policy 
advice accounting for 20% of its annual turnover. Northumbria University is 
now in the UK top 50 for research power and has been recognised by Times 
Higher Education as having the biggest rise in research power of any 
university in a national assessment of research quality in UK universities.</v>
      </c>
    </row>
    <row r="47">
      <c r="A47" s="6" t="str">
        <f>IFERROR(__xludf.DUMMYFUNCTION("""COMPUTED_VALUE"""),"Northumbria University")</f>
        <v>Northumbria University</v>
      </c>
      <c r="B47" s="6" t="str">
        <f>IFERROR(__xludf.DUMMYFUNCTION("""COMPUTED_VALUE""")," Northumbria University, Research and Business Services, Mea House, Ellison 
Place, Newcastle upon Tyne, Tyne &amp; Wear, NE1 8ST ")</f>
        <v> Northumbria University, Research and Business Services, Mea House, Ellison 
Place, Newcastle upon Tyne, Tyne &amp; Wear, NE1 8ST </v>
      </c>
      <c r="C47" s="6" t="str">
        <f>IFERROR(__xludf.DUMMYFUNCTION("""COMPUTED_VALUE""")," 0191 243 7667 ")</f>
        <v> 0191 243 7667 </v>
      </c>
      <c r="D47" s="7" t="str">
        <f>IFERROR(__xludf.DUMMYFUNCTION("""COMPUTED_VALUE""")," http://www.northumbria.ac.uk ")</f>
        <v> http://www.northumbria.ac.uk </v>
      </c>
      <c r="E47" s="6" t="str">
        <f>IFERROR(__xludf.DUMMYFUNCTION("""COMPUTED_VALUE"""),"One Nucleus is a not-for-profit Life Sciences &amp; Healthcare membership 
organisation centred on the Greater London-Cambridge-East of England 
corridor. Headquartered in Cambridge, at the heart of Europe’s largest Life 
Sciences &amp; Healthcare cluster, we sup"&amp;"port those institutions, companies and 
individuals undertaking activity in or with the above region.")</f>
        <v>One Nucleus is a not-for-profit Life Sciences &amp; Healthcare membership 
organisation centred on the Greater London-Cambridge-East of England 
corridor. Headquartered in Cambridge, at the heart of Europe’s largest Life 
Sciences &amp; Healthcare cluster, we support those institutions, companies and 
individuals undertaking activity in or with the above region.</v>
      </c>
    </row>
    <row r="48">
      <c r="A48" s="6" t="str">
        <f>IFERROR(__xludf.DUMMYFUNCTION("""COMPUTED_VALUE"""),"One Nucleus")</f>
        <v>One Nucleus</v>
      </c>
      <c r="B48" s="6" t="str">
        <f>IFERROR(__xludf.DUMMYFUNCTION("""COMPUTED_VALUE""")," 1012 Riverside, Babraham Research Campus, Cambridge, CB22 3AT ")</f>
        <v> 1012 Riverside, Babraham Research Campus, Cambridge, CB22 3AT </v>
      </c>
      <c r="C48" s="6" t="str">
        <f>IFERROR(__xludf.DUMMYFUNCTION("""COMPUTED_VALUE""")," 01223 896460 ")</f>
        <v> 01223 896460 </v>
      </c>
      <c r="D48" s="7" t="str">
        <f>IFERROR(__xludf.DUMMYFUNCTION("""COMPUTED_VALUE""")," http://www.onenucleus.com/ ")</f>
        <v> http://www.onenucleus.com/ </v>
      </c>
      <c r="E48" s="6" t="str">
        <f>IFERROR(__xludf.DUMMYFUNCTION("""COMPUTED_VALUE"""),"We are award winning product design, innovation and project management 
specialists. Our client base extends to individuals, SMEs, manufacturers, 
Universities and investors. We work in the medical, healthcare, consumer, 
industrial, lighting and nursery "&amp;"sectors.")</f>
        <v>We are award winning product design, innovation and project management 
specialists. Our client base extends to individuals, SMEs, manufacturers, 
Universities and investors. We work in the medical, healthcare, consumer, 
industrial, lighting and nursery sectors.</v>
      </c>
    </row>
    <row r="49">
      <c r="A49" s="6" t="str">
        <f>IFERROR(__xludf.DUMMYFUNCTION("""COMPUTED_VALUE"""),"Pd-m International")</f>
        <v>Pd-m International</v>
      </c>
      <c r="B49" s="6" t="str">
        <f>IFERROR(__xludf.DUMMYFUNCTION("""COMPUTED_VALUE""")," Riverside Studio, 23 Finkle Street, Low Mill Road, Thirsk, Yorkshire, YO7 
1DA ")</f>
        <v> Riverside Studio, 23 Finkle Street, Low Mill Road, Thirsk, Yorkshire, YO7 
1DA </v>
      </c>
      <c r="C49" s="6" t="str">
        <f>IFERROR(__xludf.DUMMYFUNCTION("""COMPUTED_VALUE""")," 01765 602600 ")</f>
        <v> 01765 602600 </v>
      </c>
      <c r="D49" s="7" t="str">
        <f>IFERROR(__xludf.DUMMYFUNCTION("""COMPUTED_VALUE""")," http://pd-m.com ")</f>
        <v> http://pd-m.com </v>
      </c>
      <c r="E49" s="6" t="str">
        <f>IFERROR(__xludf.DUMMYFUNCTION("""COMPUTED_VALUE"""),"At Pharmalicensing we enable our clients to identify and engage with 
appropriate partners for all elements of their partnering, licensing and 
business development activities. We offer a unique combined Strategic 
Partnering Search and on-line Business P"&amp;"rofiling service through which the 
international life science industries can identify and engage with 
prospective licensing and discovery / development partners around the world.")</f>
        <v>At Pharmalicensing we enable our clients to identify and engage with 
appropriate partners for all elements of their partnering, licensing and 
business development activities. We offer a unique combined Strategic 
Partnering Search and on-line Business Profiling service through which the 
international life science industries can identify and engage with 
prospective licensing and discovery / development partners around the world.</v>
      </c>
    </row>
    <row r="50">
      <c r="A50" s="6" t="str">
        <f>IFERROR(__xludf.DUMMYFUNCTION("""COMPUTED_VALUE"""),"Pharmalicensing")</f>
        <v>Pharmalicensing</v>
      </c>
      <c r="B50" s="6" t="str">
        <f>IFERROR(__xludf.DUMMYFUNCTION("""COMPUTED_VALUE""")," 1st Floor, Marlborough House, Westminster Place, York Business Park, York, 
YO26 6RW ")</f>
        <v> 1st Floor, Marlborough House, Westminster Place, York Business Park, York, 
YO26 6RW </v>
      </c>
      <c r="C50" s="6" t="str">
        <f>IFERROR(__xludf.DUMMYFUNCTION("""COMPUTED_VALUE""")," 01904 435190 ")</f>
        <v> 01904 435190 </v>
      </c>
      <c r="D50" s="7" t="str">
        <f>IFERROR(__xludf.DUMMYFUNCTION("""COMPUTED_VALUE""")," http://www.pharmalicensing.com ")</f>
        <v> http://www.pharmalicensing.com </v>
      </c>
      <c r="E50" s="6" t="str">
        <f>IFERROR(__xludf.DUMMYFUNCTION("""COMPUTED_VALUE"""),"Pharmaron Biologics is a strategic partner for gene therapy developers and 
operates from state-of-the-art cGMP biomanufacturing facilities in 
Liverpool. We apply pharma industry-leading expertise and cutting-edge 
technologies to support customers devel"&amp;"op, test and commercialise their 
innovative medicines.")</f>
        <v>Pharmaron Biologics is a strategic partner for gene therapy developers and 
operates from state-of-the-art cGMP biomanufacturing facilities in 
Liverpool. We apply pharma industry-leading expertise and cutting-edge 
technologies to support customers develop, test and commercialise their 
innovative medicines.</v>
      </c>
    </row>
    <row r="51">
      <c r="A51" s="6" t="str">
        <f>IFERROR(__xludf.DUMMYFUNCTION("""COMPUTED_VALUE"""),"Pharmaron Gene Therapy")</f>
        <v>Pharmaron Gene Therapy</v>
      </c>
      <c r="B51" s="6" t="str">
        <f>IFERROR(__xludf.DUMMYFUNCTION("""COMPUTED_VALUE""")," 12 Estuary Banks, Speke, Estuary Commerce Park, Speke Road, Liverpool, L24 
8RB ")</f>
        <v> 12 Estuary Banks, Speke, Estuary Commerce Park, Speke Road, Liverpool, L24 
8RB </v>
      </c>
      <c r="C51" s="6" t="str">
        <f>IFERROR(__xludf.DUMMYFUNCTION("""COMPUTED_VALUE""")," 0151 728 1750 ")</f>
        <v> 0151 728 1750 </v>
      </c>
      <c r="D51" s="7" t="str">
        <f>IFERROR(__xludf.DUMMYFUNCTION("""COMPUTED_VALUE""")," https://www.pharmaron.com/ ")</f>
        <v> https://www.pharmaron.com/ </v>
      </c>
      <c r="E51" s="6" t="str">
        <f>IFERROR(__xludf.DUMMYFUNCTION("""COMPUTED_VALUE"""),"Praetura are a venture capital firm in the North West, who invest in 
early-stage businesses and provide 'more than money' support. We have 
developed a reputation for being a supportive and proactive investor who 
injects more than just capital. We can e"&amp;"vidence the value from our 
differentiated approach from both investment returns and testament from our 
portfolio companies. Our partnered entrepreneurs embrace the shoulder to 
shoulder Praetura approach and utilise our experience and resource to 
maxim"&amp;"ise their businesses’ potential.")</f>
        <v>Praetura are a venture capital firm in the North West, who invest in 
early-stage businesses and provide 'more than money' support. We have 
developed a reputation for being a supportive and proactive investor who 
injects more than just capital. We can evidence the value from our 
differentiated approach from both investment returns and testament from our 
portfolio companies. Our partnered entrepreneurs embrace the shoulder to 
shoulder Praetura approach and utilise our experience and resource to 
maximise their businesses’ potential.</v>
      </c>
    </row>
    <row r="52">
      <c r="A52" s="6" t="str">
        <f>IFERROR(__xludf.DUMMYFUNCTION("""COMPUTED_VALUE"""),"Praetura Ventures")</f>
        <v>Praetura Ventures</v>
      </c>
      <c r="B52" s="6" t="str">
        <f>IFERROR(__xludf.DUMMYFUNCTION("""COMPUTED_VALUE""")," Level 8, Bauhaus, 27 Quay St,, Manchester, Please select..., M33GY ")</f>
        <v> Level 8, Bauhaus, 27 Quay St,, Manchester, Please select..., M33GY </v>
      </c>
      <c r="C52" s="6" t="str">
        <f>IFERROR(__xludf.DUMMYFUNCTION("""COMPUTED_VALUE""")," 0161 641 9475 ")</f>
        <v> 0161 641 9475 </v>
      </c>
      <c r="D52" s="7" t="str">
        <f>IFERROR(__xludf.DUMMYFUNCTION("""COMPUTED_VALUE""")," https://www.praeturaventures.com/ ")</f>
        <v> https://www.praeturaventures.com/ </v>
      </c>
      <c r="E52" s="6" t="str">
        <f>IFERROR(__xludf.DUMMYFUNCTION("""COMPUTED_VALUE"""),"Companion Diagnostics")</f>
        <v>Companion Diagnostics</v>
      </c>
    </row>
    <row r="53">
      <c r="A53" s="6" t="str">
        <f>IFERROR(__xludf.DUMMYFUNCTION("""COMPUTED_VALUE"""),"Qiagen Manchester Ltd")</f>
        <v>Qiagen Manchester Ltd</v>
      </c>
      <c r="B53" s="6" t="str">
        <f>IFERROR(__xludf.DUMMYFUNCTION("""COMPUTED_VALUE""")," Skelton House, Lloyd Street North, Manchester, M15 6SH ")</f>
        <v> Skelton House, Lloyd Street North, Manchester, M15 6SH </v>
      </c>
      <c r="C53" s="6" t="str">
        <f>IFERROR(__xludf.DUMMYFUNCTION("""COMPUTED_VALUE""")," 0161 204 1100 ")</f>
        <v> 0161 204 1100 </v>
      </c>
      <c r="D53" s="7" t="str">
        <f>IFERROR(__xludf.DUMMYFUNCTION("""COMPUTED_VALUE""")," http://www.qiagen.com ")</f>
        <v> http://www.qiagen.com </v>
      </c>
      <c r="E53" s="6" t="str">
        <f>IFERROR(__xludf.DUMMYFUNCTION("""COMPUTED_VALUE"""),"Sci-Tech Daresbury (previously Daresbury Science and Innovation Campus) is 
one of two national science and innovation campuses and one of the 
government's enterprise zones. It is home to over 100 high-tech companies 
along with Daresbury Laboratory, the"&amp;" Cockcroft Institute and a nubmer of 
collaborative facilities involving UK universities.It provides about 80,000 
sq ft of office and laboratory facilities along with a range of business 
support services to help high-tech companies accelerate their busi"&amp;"ness 
growth.")</f>
        <v>Sci-Tech Daresbury (previously Daresbury Science and Innovation Campus) is 
one of two national science and innovation campuses and one of the 
government's enterprise zones. It is home to over 100 high-tech companies 
along with Daresbury Laboratory, the Cockcroft Institute and a nubmer of 
collaborative facilities involving UK universities.It provides about 80,000 
sq ft of office and laboratory facilities along with a range of business 
support services to help high-tech companies accelerate their business 
growth.</v>
      </c>
    </row>
    <row r="54">
      <c r="A54" s="6" t="str">
        <f>IFERROR(__xludf.DUMMYFUNCTION("""COMPUTED_VALUE"""),"Sci-Tech Daresbury")</f>
        <v>Sci-Tech Daresbury</v>
      </c>
      <c r="B54" s="6" t="str">
        <f>IFERROR(__xludf.DUMMYFUNCTION("""COMPUTED_VALUE""")," The Innovation Centre, Keckwick Lane, Daresbury, WA4 4FS ")</f>
        <v> The Innovation Centre, Keckwick Lane, Daresbury, WA4 4FS </v>
      </c>
      <c r="C54" s="6" t="str">
        <f>IFERROR(__xludf.DUMMYFUNCTION("""COMPUTED_VALUE""")," 01925 607001 ")</f>
        <v> 01925 607001 </v>
      </c>
      <c r="D54" s="7" t="str">
        <f>IFERROR(__xludf.DUMMYFUNCTION("""COMPUTED_VALUE""")," http://www.sci-techdaresbury.com ")</f>
        <v> http://www.sci-techdaresbury.com </v>
      </c>
      <c r="E54" s="6" t="str">
        <f>IFERROR(__xludf.DUMMYFUNCTION("""COMPUTED_VALUE"""),"Science Solutions is a specialist scientific and technical recruitment 
consultancy providing solutions across the UK and Europe. Science Solutions 
provides a flexible service tailored to our client’s needs. Our values are 
based on honesty, integrity, a"&amp;"nd excellent customer service. We aim to be 
the most trusted niche recruitment consultancy, offering a truly 
personalised service. With a combined 50 years experience within scientific 
&amp; technical recruitment we are able to provide expert knowledge and"&amp;" 
services across a range of sectors")</f>
        <v>Science Solutions is a specialist scientific and technical recruitment 
consultancy providing solutions across the UK and Europe. Science Solutions 
provides a flexible service tailored to our client’s needs. Our values are 
based on honesty, integrity, and excellent customer service. We aim to be 
the most trusted niche recruitment consultancy, offering a truly 
personalised service. With a combined 50 years experience within scientific 
&amp; technical recruitment we are able to provide expert knowledge and 
services across a range of sectors</v>
      </c>
    </row>
    <row r="55">
      <c r="A55" s="6" t="str">
        <f>IFERROR(__xludf.DUMMYFUNCTION("""COMPUTED_VALUE"""),"Science &amp; Technology Facilities Council")</f>
        <v>Science &amp; Technology Facilities Council</v>
      </c>
      <c r="B55" s="6" t="str">
        <f>IFERROR(__xludf.DUMMYFUNCTION("""COMPUTED_VALUE""")," Daresbury Laboratory, Sci-Tech Daresbury, Warrington, WA4 4AD ")</f>
        <v> Daresbury Laboratory, Sci-Tech Daresbury, Warrington, WA4 4AD </v>
      </c>
      <c r="C55" s="6" t="str">
        <f>IFERROR(__xludf.DUMMYFUNCTION("""COMPUTED_VALUE""")," 01925 603141 ")</f>
        <v> 01925 603141 </v>
      </c>
      <c r="D55" s="7" t="str">
        <f>IFERROR(__xludf.DUMMYFUNCTION("""COMPUTED_VALUE""")," http://www.stfc.ac.uk ")</f>
        <v> http://www.stfc.ac.uk </v>
      </c>
      <c r="E55" s="6" t="str">
        <f>IFERROR(__xludf.DUMMYFUNCTION("""COMPUTED_VALUE"""),"Vaccine manufacturer.")</f>
        <v>Vaccine manufacturer.</v>
      </c>
    </row>
    <row r="56">
      <c r="A56" s="6" t="str">
        <f>IFERROR(__xludf.DUMMYFUNCTION("""COMPUTED_VALUE"""),"Science Solutions Recruitment Ltd")</f>
        <v>Science Solutions Recruitment Ltd</v>
      </c>
      <c r="B56" s="6" t="str">
        <f>IFERROR(__xludf.DUMMYFUNCTION("""COMPUTED_VALUE""")," 512 Chadwick House, Birchwood Park, Warrington Road, Warrington, WA3 6AE ")</f>
        <v> 512 Chadwick House, Birchwood Park, Warrington Road, Warrington, WA3 6AE </v>
      </c>
      <c r="C56" s="6" t="str">
        <f>IFERROR(__xludf.DUMMYFUNCTION("""COMPUTED_VALUE""")," 01925 377 815 ")</f>
        <v> 01925 377 815 </v>
      </c>
      <c r="D56" s="7" t="str">
        <f>IFERROR(__xludf.DUMMYFUNCTION("""COMPUTED_VALUE""")," http://www.sciencesolutionsrecruitment.com/ ")</f>
        <v> http://www.sciencesolutionsrecruitment.com/ </v>
      </c>
      <c r="E56" s="6" t="str">
        <f>IFERROR(__xludf.DUMMYFUNCTION("""COMPUTED_VALUE"""),"As a global STEM network with over thirty years of experience, we apply our 
specialist knowledge and expertise to a full spectrum of roles and talent 
solutions. We cover the full product life cycle, from scientific research 
and technology, clinical tri"&amp;"als, manufacturing and engineering disciplines 
to market. We know our success comes from talent and connections, that’s 
why we put people first. We focus on building lasting relationships with 
clients and candidates to help them reach their potential.")</f>
        <v>As a global STEM network with over thirty years of experience, we apply our 
specialist knowledge and expertise to a full spectrum of roles and talent 
solutions. We cover the full product life cycle, from scientific research 
and technology, clinical trials, manufacturing and engineering disciplines 
to market. We know our success comes from talent and connections, that’s 
why we put people first. We focus on building lasting relationships with 
clients and candidates to help them reach their potential.</v>
      </c>
    </row>
    <row r="57">
      <c r="A57" s="6" t="str">
        <f>IFERROR(__xludf.DUMMYFUNCTION("""COMPUTED_VALUE"""),"Seqirus Vaccines Limited")</f>
        <v>Seqirus Vaccines Limited</v>
      </c>
      <c r="B57" s="6" t="str">
        <f>IFERROR(__xludf.DUMMYFUNCTION("""COMPUTED_VALUE""")," Gaskill Road, Speke, Liverpool, L24 9GR ")</f>
        <v> Gaskill Road, Speke, Liverpool, L24 9GR </v>
      </c>
      <c r="C57" s="6" t="str">
        <f>IFERROR(__xludf.DUMMYFUNCTION("""COMPUTED_VALUE""")," 0151 705 5000 ")</f>
        <v> 0151 705 5000 </v>
      </c>
      <c r="D57" s="7" t="str">
        <f>IFERROR(__xludf.DUMMYFUNCTION("""COMPUTED_VALUE""")," http://www.seqirus.com ")</f>
        <v> http://www.seqirus.com </v>
      </c>
      <c r="E57" s="6" t="str">
        <f>IFERROR(__xludf.DUMMYFUNCTION("""COMPUTED_VALUE"""),"Teesside University is close to some of the most advanced pharmaceutical, 
biotechnological, chemical and food processing companies in the world, and 
our Darlington campus is adjacent to the National Biologics Manufacturing 
Centre, with whom we share st"&amp;"aff. The University will also house, on the 
same campus, the National College for Manufacturing in this sector, 
creating a world leading centre for biologics innovation and training. By 
fostering close links with regional and national businesses, and i"&amp;"nvolving 
employers and professionals in the development and delivery of our courses, 
we ensure that our students, in addition to gaining an in-depth knowledge 
of their subject, also develop the skills to apply that knowledge with 
confidence to real-wo"&amp;"rld situations, thus substantially improving their 
employment prospects. The University provides specialised facilities which 
include molecular biology, microbiology, food technology, anatomy and 
physiology. We have also developed a specialised tissue "&amp;"culture laboratory 
and a facility to research the ability of micro-organisms to clean polluted 
environments.")</f>
        <v>Teesside University is close to some of the most advanced pharmaceutical, 
biotechnological, chemical and food processing companies in the world, and 
our Darlington campus is adjacent to the National Biologics Manufacturing 
Centre, with whom we share staff. The University will also house, on the 
same campus, the National College for Manufacturing in this sector, 
creating a world leading centre for biologics innovation and training. By 
fostering close links with regional and national businesses, and involving 
employers and professionals in the development and delivery of our courses, 
we ensure that our students, in addition to gaining an in-depth knowledge 
of their subject, also develop the skills to apply that knowledge with 
confidence to real-world situations, thus substantially improving their 
employment prospects. The University provides specialised facilities which 
include molecular biology, microbiology, food technology, anatomy and 
physiology. We have also developed a specialised tissue culture laboratory 
and a facility to research the ability of micro-organisms to clean polluted 
environments.</v>
      </c>
    </row>
    <row r="58">
      <c r="A58" s="6" t="str">
        <f>IFERROR(__xludf.DUMMYFUNCTION("""COMPUTED_VALUE"""),"SRG")</f>
        <v>SRG</v>
      </c>
      <c r="B58" s="6" t="str">
        <f>IFERROR(__xludf.DUMMYFUNCTION("""COMPUTED_VALUE""")," 1st Floor Anchorage One,, Salford Quays,, Salford, M50 3XE ")</f>
        <v> 1st Floor Anchorage One,, Salford Quays,, Salford, M50 3XE </v>
      </c>
      <c r="C58" s="6" t="str">
        <f>IFERROR(__xludf.DUMMYFUNCTION("""COMPUTED_VALUE""")," 0161 868 2200 ")</f>
        <v> 0161 868 2200 </v>
      </c>
      <c r="D58" s="7" t="str">
        <f>IFERROR(__xludf.DUMMYFUNCTION("""COMPUTED_VALUE""")," http://www.srgtalent.com ")</f>
        <v> http://www.srgtalent.com </v>
      </c>
      <c r="E58" s="6" t="str">
        <f>IFERROR(__xludf.DUMMYFUNCTION("""COMPUTED_VALUE"""),"The Biosphere Newcastle is a specialist facility tailored to the 
commercialisation of life sciences and innovation, research and development 
in the North East of England’s regional and economic capital. We offer 
high-quality biology and chemistry labor"&amp;"atories, Grade A offices and 
conference space in Newcastle upon Tyne’s bustling city centre.")</f>
        <v>The Biosphere Newcastle is a specialist facility tailored to the 
commercialisation of life sciences and innovation, research and development 
in the North East of England’s regional and economic capital. We offer 
high-quality biology and chemistry laboratories, Grade A offices and 
conference space in Newcastle upon Tyne’s bustling city centre.</v>
      </c>
    </row>
    <row r="59">
      <c r="A59" s="6" t="str">
        <f>IFERROR(__xludf.DUMMYFUNCTION("""COMPUTED_VALUE"""),"Teesside University")</f>
        <v>Teesside University</v>
      </c>
      <c r="B59" s="6" t="str">
        <f>IFERROR(__xludf.DUMMYFUNCTION("""COMPUTED_VALUE""")," Teesside University, Middlesbrough, TS1 3BA ")</f>
        <v> Teesside University, Middlesbrough, TS1 3BA </v>
      </c>
      <c r="C59" s="6" t="str">
        <f>IFERROR(__xludf.DUMMYFUNCTION("""COMPUTED_VALUE""")," 01642 342567 ")</f>
        <v> 01642 342567 </v>
      </c>
      <c r="D59" s="7" t="str">
        <f>IFERROR(__xludf.DUMMYFUNCTION("""COMPUTED_VALUE""")," http://www.tees.ac.uk ")</f>
        <v> http://www.tees.ac.uk </v>
      </c>
      <c r="E59" s="6" t="str">
        <f>IFERROR(__xludf.DUMMYFUNCTION("""COMPUTED_VALUE"""),"The University of Bradford is a research active technology University with 
almost 50 years of research experience. Advanced Healhcare is one of our 
major research themes with biomedical and life sciences expertise in 
medicines development and pharmaceu"&amp;"tical sciences, pharmacology and 
experimental therapeutics, medicines optimisation, skin sciences and cancer 
therapeutics. Our Centre for Skin ciences is one of the largest academic 
centres in Britain for fundamental and translational skin and hair fol"&amp;"lical 
reserach and home to the Plastic Surgery and Burns research Unit. Our 
Centre for Pharmaceutical Engineering Sciences encompasses pharmaceutical 
sciences, polymer and process engineering disciplines in the areas of 
pharmaceutical materials, drug "&amp;"delivery systems, novel process development, 
reactive extrusion, material characterisation and Process Analytical 
Technology (PAT). Our Business Partnership Team will identify an 
appropriate expert and service for your needs.")</f>
        <v>The University of Bradford is a research active technology University with 
almost 50 years of research experience. Advanced Healhcare is one of our 
major research themes with biomedical and life sciences expertise in 
medicines development and pharmaceutical sciences, pharmacology and 
experimental therapeutics, medicines optimisation, skin sciences and cancer 
therapeutics. Our Centre for Skin ciences is one of the largest academic 
centres in Britain for fundamental and translational skin and hair follical 
reserach and home to the Plastic Surgery and Burns research Unit. Our 
Centre for Pharmaceutical Engineering Sciences encompasses pharmaceutical 
sciences, polymer and process engineering disciplines in the areas of 
pharmaceutical materials, drug delivery systems, novel process development, 
reactive extrusion, material characterisation and Process Analytical 
Technology (PAT). Our Business Partnership Team will identify an 
appropriate expert and service for your needs.</v>
      </c>
    </row>
    <row r="60">
      <c r="A60" s="6" t="str">
        <f>IFERROR(__xludf.DUMMYFUNCTION("""COMPUTED_VALUE"""),"The Biosphere")</f>
        <v>The Biosphere</v>
      </c>
      <c r="B60" s="6" t="str">
        <f>IFERROR(__xludf.DUMMYFUNCTION("""COMPUTED_VALUE""")," The Biosphere, Draymans Way, Newcastle Helix, Newcastle upon Tyne, NE4 5BX ")</f>
        <v> The Biosphere, Draymans Way, Newcastle Helix, Newcastle upon Tyne, NE4 5BX </v>
      </c>
      <c r="C60" s="6" t="str">
        <f>IFERROR(__xludf.DUMMYFUNCTION("""COMPUTED_VALUE""")," 0191 5806150 ")</f>
        <v> 0191 5806150 </v>
      </c>
      <c r="D60" s="7" t="str">
        <f>IFERROR(__xludf.DUMMYFUNCTION("""COMPUTED_VALUE""")," https://thebiospherenewcastle.co.uk/ ")</f>
        <v> https://thebiospherenewcastle.co.uk/ </v>
      </c>
      <c r="E60" s="6" t="str">
        <f>IFERROR(__xludf.DUMMYFUNCTION("""COMPUTED_VALUE"""),"The University of Huddersfield is a vibrant research-engaged University 
with a focus on user-inspired and applied research. We have strong 
relationships with local, national and international clinicians, research 
groups and industrial collaborators ran"&amp;"ging from UK SMEs to global 
pharmaceutical companies. The areas of research excellence allied to 
Biomedical Sciences and Technology are: Molecular and Cell Biology, 
Glycobiology, Pharmaceutical Sciences, Evolutionary Genetics, Chemical 
Sciences, Synth"&amp;"etic and Physical Organic Chemistry, Supramolecular and 
Structural Chemistry Research, Materials and Catalysis, Chemical 
Engineering, Analytical and Process Chemistry, Hygiene and Disinfection 
Centre, Institute of Skin Integrity and infection Preventio"&amp;"n.")</f>
        <v>The University of Huddersfield is a vibrant research-engaged University 
with a focus on user-inspired and applied research. We have strong 
relationships with local, national and international clinicians, research 
groups and industrial collaborators ranging from UK SMEs to global 
pharmaceutical companies. The areas of research excellence allied to 
Biomedical Sciences and Technology are: Molecular and Cell Biology, 
Glycobiology, Pharmaceutical Sciences, Evolutionary Genetics, Chemical 
Sciences, Synthetic and Physical Organic Chemistry, Supramolecular and 
Structural Chemistry Research, Materials and Catalysis, Chemical 
Engineering, Analytical and Process Chemistry, Hygiene and Disinfection 
Centre, Institute of Skin Integrity and infection Prevention.</v>
      </c>
    </row>
    <row r="61">
      <c r="A61" s="6" t="str">
        <f>IFERROR(__xludf.DUMMYFUNCTION("""COMPUTED_VALUE"""),"University of Bradford")</f>
        <v>University of Bradford</v>
      </c>
      <c r="B61" s="6" t="str">
        <f>IFERROR(__xludf.DUMMYFUNCTION("""COMPUTED_VALUE""")," University of Bradford, Richmond Road, Bradford, BD7 1DP ")</f>
        <v> University of Bradford, Richmond Road, Bradford, BD7 1DP </v>
      </c>
      <c r="C61" s="6" t="str">
        <f>IFERROR(__xludf.DUMMYFUNCTION("""COMPUTED_VALUE""")," 01274 236000 ")</f>
        <v> 01274 236000 </v>
      </c>
      <c r="D61" s="7" t="str">
        <f>IFERROR(__xludf.DUMMYFUNCTION("""COMPUTED_VALUE""")," http://www.bradford.ac.uk ")</f>
        <v> http://www.bradford.ac.uk </v>
      </c>
      <c r="E61" s="6" t="str">
        <f>IFERROR(__xludf.DUMMYFUNCTION("""COMPUTED_VALUE"""),"The University of Leeds is a world top 100 university and a UK top 10 
research institution with over 33,000 students including over 8,000 
postgraduate students from all over the UK and another 144 countries. The 
Medical Technologies Hub is founded arou"&amp;"nd Europe’s largest integrated 
multi-disciplinary medical engineering centre; the Institute of Medical and 
Biological Engineering. The medical technologies hub focuses on translating 
the University’s unique capabilities and knowledge in joint replaceme"&amp;"nts, 
stem cells and biological scaffolds for musculoskeletal and cardiovascular 
repair. The Pharmaceutical and Biopharmaceutical Innovation Hub brings 
together expertise in a range of physical and biological sciences to 
pioneer innovative approaches t"&amp;"o drug discovery. We work with 
pharmaceutical and biopharmaceutical companies, as well as supporting 
industries, to help the sector discover safe new medicines faster.")</f>
        <v>The University of Leeds is a world top 100 university and a UK top 10 
research institution with over 33,000 students including over 8,000 
postgraduate students from all over the UK and another 144 countries. The 
Medical Technologies Hub is founded around Europe’s largest integrated 
multi-disciplinary medical engineering centre; the Institute of Medical and 
Biological Engineering. The medical technologies hub focuses on translating 
the University’s unique capabilities and knowledge in joint replacements, 
stem cells and biological scaffolds for musculoskeletal and cardiovascular 
repair. The Pharmaceutical and Biopharmaceutical Innovation Hub brings 
together expertise in a range of physical and biological sciences to 
pioneer innovative approaches to drug discovery. We work with 
pharmaceutical and biopharmaceutical companies, as well as supporting 
industries, to help the sector discover safe new medicines faster.</v>
      </c>
    </row>
    <row r="62">
      <c r="A62" s="6" t="str">
        <f>IFERROR(__xludf.DUMMYFUNCTION("""COMPUTED_VALUE"""),"University of Edinburgh")</f>
        <v>University of Edinburgh</v>
      </c>
      <c r="B62" s="6" t="str">
        <f>IFERROR(__xludf.DUMMYFUNCTION("""COMPUTED_VALUE""")," The University of Edinburgh, 10 Max Borne Crescent, Edinburgh, EH9 3BF ")</f>
        <v> The University of Edinburgh, 10 Max Borne Crescent, Edinburgh, EH9 3BF </v>
      </c>
      <c r="C62" s="6" t="str">
        <f>IFERROR(__xludf.DUMMYFUNCTION("""COMPUTED_VALUE""")," +44 (0)7971579850 ")</f>
        <v> +44 (0)7971579850 </v>
      </c>
      <c r="D62" s="7" t="str">
        <f>IFERROR(__xludf.DUMMYFUNCTION("""COMPUTED_VALUE""")," https://www.ed.ac.uk/ ")</f>
        <v> https://www.ed.ac.uk/ </v>
      </c>
      <c r="E62" s="6" t="str">
        <f>IFERROR(__xludf.DUMMYFUNCTION("""COMPUTED_VALUE"""),"Founded in 1881, the University of Liverpool has an impressive history of 
pioneering education and research, with a particular emphasis on 'education 
for the professions'.")</f>
        <v>Founded in 1881, the University of Liverpool has an impressive history of 
pioneering education and research, with a particular emphasis on 'education 
for the professions'.</v>
      </c>
    </row>
    <row r="63">
      <c r="A63" s="6" t="str">
        <f>IFERROR(__xludf.DUMMYFUNCTION("""COMPUTED_VALUE"""),"University of Huddersfield")</f>
        <v>University of Huddersfield</v>
      </c>
      <c r="B63" s="6" t="str">
        <f>IFERROR(__xludf.DUMMYFUNCTION("""COMPUTED_VALUE""")," Queensgate, Huddersfield, HD1 3DH ")</f>
        <v> Queensgate, Huddersfield, HD1 3DH </v>
      </c>
      <c r="C63" s="6" t="str">
        <f>IFERROR(__xludf.DUMMYFUNCTION("""COMPUTED_VALUE""")," 01484 422288 ")</f>
        <v> 01484 422288 </v>
      </c>
      <c r="D63" s="7" t="str">
        <f>IFERROR(__xludf.DUMMYFUNCTION("""COMPUTED_VALUE""")," http://www.hud.ac.uk ")</f>
        <v> http://www.hud.ac.uk </v>
      </c>
      <c r="E63" s="6" t="str">
        <f>IFERROR(__xludf.DUMMYFUNCTION("""COMPUTED_VALUE"""),"Britains largest single-site university with a proud history of achievement 
and an ambitious agenda for the future.")</f>
        <v>Britains largest single-site university with a proud history of achievement 
and an ambitious agenda for the future.</v>
      </c>
    </row>
    <row r="64">
      <c r="A64" s="6" t="str">
        <f>IFERROR(__xludf.DUMMYFUNCTION("""COMPUTED_VALUE"""),"University of Leeds")</f>
        <v>University of Leeds</v>
      </c>
      <c r="B64" s="6" t="str">
        <f>IFERROR(__xludf.DUMMYFUNCTION("""COMPUTED_VALUE""")," Medical Technologies Innovation and Knowledge Centre, X102 Medical and 
Biological Engineering, University of Leeds, Leeds, LS2 9JT ")</f>
        <v> Medical Technologies Innovation and Knowledge Centre, X102 Medical and 
Biological Engineering, University of Leeds, Leeds, LS2 9JT </v>
      </c>
      <c r="C64" s="6" t="str">
        <f>IFERROR(__xludf.DUMMYFUNCTION("""COMPUTED_VALUE""")," +44 (0)113 3430923 ")</f>
        <v> +44 (0)113 3430923 </v>
      </c>
      <c r="D64" s="7" t="str">
        <f>IFERROR(__xludf.DUMMYFUNCTION("""COMPUTED_VALUE""")," http://www.leeds.ac.uk ")</f>
        <v> http://www.leeds.ac.uk </v>
      </c>
      <c r="E64" s="6" t="str">
        <f>IFERROR(__xludf.DUMMYFUNCTION("""COMPUTED_VALUE"""),"Designed to be one of Europe’s most effective University Technology 
Transfer offices, the University of Manchester Innovation Factory has built 
a new team and processes for commercialising the University’s innovations 
and intellectual property.")</f>
        <v>Designed to be one of Europe’s most effective University Technology 
Transfer offices, the University of Manchester Innovation Factory has built 
a new team and processes for commercialising the University’s innovations 
and intellectual property.</v>
      </c>
    </row>
    <row r="65">
      <c r="A65" s="6" t="str">
        <f>IFERROR(__xludf.DUMMYFUNCTION("""COMPUTED_VALUE"""),"University of Liverpool")</f>
        <v>University of Liverpool</v>
      </c>
      <c r="B65" s="6" t="str">
        <f>IFERROR(__xludf.DUMMYFUNCTION("""COMPUTED_VALUE""")," The University of Liverpool, Liverpool, L69 3BX ")</f>
        <v> The University of Liverpool, Liverpool, L69 3BX </v>
      </c>
      <c r="C65" s="6" t="str">
        <f>IFERROR(__xludf.DUMMYFUNCTION("""COMPUTED_VALUE""")," 0151 794 2000 ")</f>
        <v> 0151 794 2000 </v>
      </c>
      <c r="D65" s="7" t="str">
        <f>IFERROR(__xludf.DUMMYFUNCTION("""COMPUTED_VALUE""")," http://www.liv.ac.uk ")</f>
        <v> http://www.liv.ac.uk </v>
      </c>
      <c r="E65" s="6" t="str">
        <f>IFERROR(__xludf.DUMMYFUNCTION("""COMPUTED_VALUE"""),"Rising to the challenge of a changing world, our multi-disciplinary 
courses, research priorities and industry collaborations, will shape the 
next generation of urbanists, scientists, engineers and industry leaders.")</f>
        <v>Rising to the challenge of a changing world, our multi-disciplinary 
courses, research priorities and industry collaborations, will shape the 
next generation of urbanists, scientists, engineers and industry leaders.</v>
      </c>
    </row>
    <row r="66">
      <c r="A66" s="6" t="str">
        <f>IFERROR(__xludf.DUMMYFUNCTION("""COMPUTED_VALUE"""),"University of Manchester")</f>
        <v>University of Manchester</v>
      </c>
      <c r="B66" s="6" t="str">
        <f>IFERROR(__xludf.DUMMYFUNCTION("""COMPUTED_VALUE""")," Oxford Road, Manchester, M13 9PL ")</f>
        <v> Oxford Road, Manchester, M13 9PL </v>
      </c>
      <c r="C66" s="6" t="str">
        <f>IFERROR(__xludf.DUMMYFUNCTION("""COMPUTED_VALUE""")," 0161 306 6000 ")</f>
        <v> 0161 306 6000 </v>
      </c>
      <c r="D66" s="7" t="str">
        <f>IFERROR(__xludf.DUMMYFUNCTION("""COMPUTED_VALUE""")," http://www.manchester.ac.uk ")</f>
        <v> http://www.manchester.ac.uk </v>
      </c>
      <c r="E66" s="6" t="str">
        <f>IFERROR(__xludf.DUMMYFUNCTION("""COMPUTED_VALUE"""),"The Sheffield Healthcare Gateway web portal provides a single point of 
access via the experienced business managers for business to our healthcare 
facilities and expertise.Our Gateway team provides a responsive service, 
tailored to meet your innovation"&amp;" needs on a case-by-case basis. We will 
match you up with the expertise, services and facilities which best suit 
your requirements, combining academic rigour, credibility and quality with 
an understanding of the business environment. Browse the gateway"&amp;" for: 
Clinical, scientific, technology-based and healthcare evaluation expertise 
All our service offerings explained Case studies of previous industrial 
collaborations")</f>
        <v>The Sheffield Healthcare Gateway web portal provides a single point of 
access via the experienced business managers for business to our healthcare 
facilities and expertise.Our Gateway team provides a responsive service, 
tailored to meet your innovation needs on a case-by-case basis. We will 
match you up with the expertise, services and facilities which best suit 
your requirements, combining academic rigour, credibility and quality with 
an understanding of the business environment. Browse the gateway for: 
Clinical, scientific, technology-based and healthcare evaluation expertise 
All our service offerings explained Case studies of previous industrial 
collaborations</v>
      </c>
    </row>
    <row r="67">
      <c r="A67" s="6" t="str">
        <f>IFERROR(__xludf.DUMMYFUNCTION("""COMPUTED_VALUE"""),"University of Manchester Innovation factory")</f>
        <v>University of Manchester Innovation factory</v>
      </c>
      <c r="B67" s="6" t="str">
        <f>IFERROR(__xludf.DUMMYFUNCTION("""COMPUTED_VALUE""")," UMI3 Ltd, Core Technology Facility, 46 Grafton Street, Manchester, M13 9NT ")</f>
        <v> UMI3 Ltd, Core Technology Facility, 46 Grafton Street, Manchester, M13 9NT </v>
      </c>
      <c r="C67" s="6" t="str">
        <f>IFERROR(__xludf.DUMMYFUNCTION("""COMPUTED_VALUE""")," 01616 067233 ")</f>
        <v> 01616 067233 </v>
      </c>
      <c r="D67" s="7" t="str">
        <f>IFERROR(__xludf.DUMMYFUNCTION("""COMPUTED_VALUE""")," http://www.umip.com ")</f>
        <v> http://www.umip.com </v>
      </c>
      <c r="E67" s="6" t="str">
        <f>IFERROR(__xludf.DUMMYFUNCTION("""COMPUTED_VALUE"""),"At the University of Sunderland our research is carried out by 
multi-disciplinary teams that span the fundamental and applied sciences and 
also commonly include clinicians and practitioners. Health Sciences 
research is focused around two key themes, Ph"&amp;"armaceutical and biological 
sciences and Mental health, healthcare and health behaviours. Our School of 
Pharmacy is one of the largest in the UK and enquiry into the development, 
testing and use of medicines features strongly in our research. Our staff"&amp;" 
come from a wide range of scientific disciplines, including chemistry, 
pharmaceutical sciences, immunology as well as practitioners from pharmacy, 
nursing, medicine and allied health professions. •The University of 
Sunderland hosts the 6th ranked Pha"&amp;"rmacy School in the UK, Guardian League 
Table 2013•Over £8.5m invested in the new Sciences Complex, opened in 
2011•Over 100 years of teaching Science•90 years of teaching Pharmacy: 1921 
- 2011•The University of Sunderland houses two Sim Man 3G simulati"&amp;"on 
manikins which are used throughout the Pharmacy and Health Programmes. Sim 
Man 3G provides the students with the closest possible real life 
scenario•‘World leading’ research in Pharmacy and Environmental Sciences, 
Latest Research Assessment Exercis"&amp;"e•No.1 in the North East for pharmacy and 
pharmacology, according to The Guardian University Guide 2012.")</f>
        <v>At the University of Sunderland our research is carried out by 
multi-disciplinary teams that span the fundamental and applied sciences and 
also commonly include clinicians and practitioners. Health Sciences 
research is focused around two key themes, Pharmaceutical and biological 
sciences and Mental health, healthcare and health behaviours. Our School of 
Pharmacy is one of the largest in the UK and enquiry into the development, 
testing and use of medicines features strongly in our research. Our staff 
come from a wide range of scientific disciplines, including chemistry, 
pharmaceutical sciences, immunology as well as practitioners from pharmacy, 
nursing, medicine and allied health professions. •The University of 
Sunderland hosts the 6th ranked Pharmacy School in the UK, Guardian League 
Table 2013•Over £8.5m invested in the new Sciences Complex, opened in 
2011•Over 100 years of teaching Science•90 years of teaching Pharmacy: 1921 
- 2011•The University of Sunderland houses two Sim Man 3G simulation 
manikins which are used throughout the Pharmacy and Health Programmes. Sim 
Man 3G provides the students with the closest possible real life 
scenario•‘World leading’ research in Pharmacy and Environmental Sciences, 
Latest Research Assessment Exercise•No.1 in the North East for pharmacy and 
pharmacology, according to The Guardian University Guide 2012.</v>
      </c>
    </row>
    <row r="68">
      <c r="A68" s="6" t="str">
        <f>IFERROR(__xludf.DUMMYFUNCTION("""COMPUTED_VALUE"""),"University of Salford")</f>
        <v>University of Salford</v>
      </c>
      <c r="B68" s="6" t="str">
        <f>IFERROR(__xludf.DUMMYFUNCTION("""COMPUTED_VALUE""")," University of Salford, 43 Crescent, Salford, M5 4WT ")</f>
        <v> University of Salford, 43 Crescent, Salford, M5 4WT </v>
      </c>
      <c r="C68" s="6" t="str">
        <f>IFERROR(__xludf.DUMMYFUNCTION("""COMPUTED_VALUE""")," 0161 2952905 ")</f>
        <v> 0161 2952905 </v>
      </c>
      <c r="D68" s="7" t="str">
        <f>IFERROR(__xludf.DUMMYFUNCTION("""COMPUTED_VALUE""")," https://www.salford.ac.uk/school-of-science-engineering-and-environment ")</f>
        <v> https://www.salford.ac.uk/school-of-science-engineering-and-environment </v>
      </c>
      <c r="E68" s="6" t="str">
        <f>IFERROR(__xludf.DUMMYFUNCTION("""COMPUTED_VALUE"""),"AMS’ advanced woundcare products are based on an extensive range of 
technologies including alginates, silver alginates and hydrophilic 
polyurethane foams. Vertically integrated, we have the capability to 
deliver product design and development through t"&amp;"o production and 
distribution into customer markets.")</f>
        <v>AMS’ advanced woundcare products are based on an extensive range of 
technologies including alginates, silver alginates and hydrophilic 
polyurethane foams. Vertically integrated, we have the capability to 
deliver product design and development through to production and 
distribution into customer markets.</v>
      </c>
    </row>
    <row r="69">
      <c r="A69" s="6" t="str">
        <f>IFERROR(__xludf.DUMMYFUNCTION("""COMPUTED_VALUE"""),"University of Sheffield")</f>
        <v>University of Sheffield</v>
      </c>
      <c r="B69" s="6" t="str">
        <f>IFERROR(__xludf.DUMMYFUNCTION("""COMPUTED_VALUE""")," The University of Sheffield, Barber House, 387 Glossop Road, Sheffield, 
S10 2HQ ")</f>
        <v> The University of Sheffield, Barber House, 387 Glossop Road, Sheffield, 
S10 2HQ </v>
      </c>
      <c r="C69" s="6" t="str">
        <f>IFERROR(__xludf.DUMMYFUNCTION("""COMPUTED_VALUE""")," 0114 222 8723 ")</f>
        <v> 0114 222 8723 </v>
      </c>
      <c r="D69" s="7" t="str">
        <f>IFERROR(__xludf.DUMMYFUNCTION("""COMPUTED_VALUE""")," http://shg.sheffield.ac.uk/aboutus/aboutus.aspx ")</f>
        <v> http://shg.sheffield.ac.uk/aboutus/aboutus.aspx </v>
      </c>
      <c r="E69" s="6" t="str">
        <f>IFERROR(__xludf.DUMMYFUNCTION("""COMPUTED_VALUE"""),"Provide chemistry services to bio, pharma and chemical industries")</f>
        <v>Provide chemistry services to bio, pharma and chemical industries</v>
      </c>
    </row>
    <row r="70">
      <c r="A70" s="6" t="str">
        <f>IFERROR(__xludf.DUMMYFUNCTION("""COMPUTED_VALUE"""),"University of Sunderland")</f>
        <v>University of Sunderland</v>
      </c>
      <c r="B70" s="6" t="str">
        <f>IFERROR(__xludf.DUMMYFUNCTION("""COMPUTED_VALUE""")," Edinburgh Building, City Campus, Chester Road, Sunderland, SR1 3SD ")</f>
        <v> Edinburgh Building, City Campus, Chester Road, Sunderland, SR1 3SD </v>
      </c>
      <c r="C70" s="6" t="str">
        <f>IFERROR(__xludf.DUMMYFUNCTION("""COMPUTED_VALUE""")," 0191 515 3000 ")</f>
        <v> 0191 515 3000 </v>
      </c>
      <c r="D70" s="7" t="str">
        <f>IFERROR(__xludf.DUMMYFUNCTION("""COMPUTED_VALUE""")," http://www.sunderland.ac.uk/faculties/apsc/ourdepartments/phw/ ")</f>
        <v> http://www.sunderland.ac.uk/faculties/apsc/ourdepartments/phw/ </v>
      </c>
      <c r="E70" s="6" t="str">
        <f>IFERROR(__xludf.DUMMYFUNCTION("""COMPUTED_VALUE"""),"Agile Life Sciences have developed an innovative diagnostic test which can 
diagnose perimenopause.")</f>
        <v>Agile Life Sciences have developed an innovative diagnostic test which can 
diagnose perimenopause.</v>
      </c>
    </row>
    <row r="71">
      <c r="A71" s="6" t="str">
        <f>IFERROR(__xludf.DUMMYFUNCTION("""COMPUTED_VALUE"""),"Advanced Medical Solutions")</f>
        <v>Advanced Medical Solutions</v>
      </c>
      <c r="B71" s="6" t="str">
        <f>IFERROR(__xludf.DUMMYFUNCTION("""COMPUTED_VALUE""")," Premier Park, 33 Road 1, Winsford, Cheshire, CW7 3RT ")</f>
        <v> Premier Park, 33 Road 1, Winsford, Cheshire, CW7 3RT </v>
      </c>
      <c r="C71" s="6" t="str">
        <f>IFERROR(__xludf.DUMMYFUNCTION("""COMPUTED_VALUE""")," 01606 863 500 ")</f>
        <v> 01606 863 500 </v>
      </c>
      <c r="D71" s="7" t="str">
        <f>IFERROR(__xludf.DUMMYFUNCTION("""COMPUTED_VALUE""")," http://www.admedsol.com ")</f>
        <v> http://www.admedsol.com </v>
      </c>
      <c r="E71" s="6" t="str">
        <f>IFERROR(__xludf.DUMMYFUNCTION("""COMPUTED_VALUE"""),"Advancing your products, raising your profile. With over 25 years’ 
experience in the healthcare and life science sectors we support our 
clients in advancing and promoting their products, business and services. 
Development With expertise across pharmace"&amp;"uticals, regenerative medicine 
and digital health, we specialise in getting ideas from concept to market. 
Strategy We ensure our clients have the optimum strategies in place for 
their products, business and fund raising. Communications The true benefit"&amp;"s 
of innovation are often poorly communicated. We work with our clients to 
raise their profile and ensure the real impact of their science is 
portrayed.")</f>
        <v>Advancing your products, raising your profile. With over 25 years’ 
experience in the healthcare and life science sectors we support our 
clients in advancing and promoting their products, business and services. 
Development With expertise across pharmaceuticals, regenerative medicine 
and digital health, we specialise in getting ideas from concept to market. 
Strategy We ensure our clients have the optimum strategies in place for 
their products, business and fund raising. Communications The true benefits 
of innovation are often poorly communicated. We work with our clients to 
raise their profile and ensure the real impact of their science is 
portrayed.</v>
      </c>
    </row>
    <row r="72">
      <c r="A72" s="6" t="str">
        <f>IFERROR(__xludf.DUMMYFUNCTION("""COMPUTED_VALUE"""),"AF Chempharm Ltd")</f>
        <v>AF Chempharm Ltd</v>
      </c>
      <c r="B72" s="6" t="str">
        <f>IFERROR(__xludf.DUMMYFUNCTION("""COMPUTED_VALUE""")," Bailey House, 3 Bailey St, Sheffield, S1 4EH ")</f>
        <v> Bailey House, 3 Bailey St, Sheffield, S1 4EH </v>
      </c>
      <c r="C72" s="6" t="str">
        <f>IFERROR(__xludf.DUMMYFUNCTION("""COMPUTED_VALUE""")," 0114 327 7279 ")</f>
        <v> 0114 327 7279 </v>
      </c>
      <c r="D72" s="7" t="str">
        <f>IFERROR(__xludf.DUMMYFUNCTION("""COMPUTED_VALUE""")," http://www.afchempharm.co.uk ")</f>
        <v> http://www.afchempharm.co.uk </v>
      </c>
      <c r="E72" s="6" t="str">
        <f>IFERROR(__xludf.DUMMYFUNCTION("""COMPUTED_VALUE"""),"For nearly half a century AGMA has built up a reputation for quality and 
service providing innovative solutions for cleaning and sanitisation. AGMA 
specialies in the manufacture of both sterile and non-sterile cleaning and 
disinfectant products for use"&amp;" within the Healthcare Industry.")</f>
        <v>For nearly half a century AGMA has built up a reputation for quality and 
service providing innovative solutions for cleaning and sanitisation. AGMA 
specialies in the manufacture of both sterile and non-sterile cleaning and 
disinfectant products for use within the Healthcare Industry.</v>
      </c>
    </row>
    <row r="73">
      <c r="A73" s="6" t="str">
        <f>IFERROR(__xludf.DUMMYFUNCTION("""COMPUTED_VALUE"""),"Agile Life Sciences")</f>
        <v>Agile Life Sciences</v>
      </c>
      <c r="B73" s="6" t="str">
        <f>IFERROR(__xludf.DUMMYFUNCTION("""COMPUTED_VALUE""")," The Innovation Centre, Sci Tech Daresbury, Warrington, Cheshire, WA44FS ")</f>
        <v> The Innovation Centre, Sci Tech Daresbury, Warrington, Cheshire, WA44FS </v>
      </c>
      <c r="C73" s="6">
        <f>IFERROR(__xludf.DUMMYFUNCTION("""COMPUTED_VALUE"""),1.925607102E9)</f>
        <v>1925607102</v>
      </c>
      <c r="D73" s="7" t="str">
        <f>IFERROR(__xludf.DUMMYFUNCTION("""COMPUTED_VALUE""")," http://www.agilelifesciences.com ")</f>
        <v> http://www.agilelifesciences.com </v>
      </c>
      <c r="E73" s="6" t="str">
        <f>IFERROR(__xludf.DUMMYFUNCTION("""COMPUTED_VALUE"""),"The Academic Health Science Network for the North East and North Cumbria 
supports the health and care system to accelerate innovation which improves 
people’s health and thehealth and care system to accelerate innovation 
which improves people’s health a"&amp;"nd the regional economy. We work closely 
with the NENC ICS and our Member Organisations, including the NHS Trusts 
and Universities, across the NENC to help them identify, evaluate, adopt 
and disseminate transformative innovation. We work a lot with ind"&amp;"ustry too, 
as a source of innovation and also to help industry access the expertise 
within the NHS that is so crucial to the development, testing and 
deployment of products and services that are the basis of the UK’s Life 
Sciences sector.")</f>
        <v>The Academic Health Science Network for the North East and North Cumbria 
supports the health and care system to accelerate innovation which improves 
people’s health and thehealth and care system to accelerate innovation 
which improves people’s health and the regional economy. We work closely 
with the NENC ICS and our Member Organisations, including the NHS Trusts 
and Universities, across the NENC to help them identify, evaluate, adopt 
and disseminate transformative innovation. We work a lot with industry too, 
as a source of innovation and also to help industry access the expertise 
within the NHS that is so crucial to the development, testing and 
deployment of products and services that are the basis of the UK’s Life 
Sciences sector.</v>
      </c>
    </row>
    <row r="74">
      <c r="A74" s="6" t="str">
        <f>IFERROR(__xludf.DUMMYFUNCTION("""COMPUTED_VALUE"""),"Agility Life Sciences")</f>
        <v>Agility Life Sciences</v>
      </c>
      <c r="B74" s="6" t="str">
        <f>IFERROR(__xludf.DUMMYFUNCTION("""COMPUTED_VALUE""")," Delmar, The Street, Sheering, Bishop's Stortford, United Kingdom, CM22 7LS ")</f>
        <v> Delmar, The Street, Sheering, Bishop's Stortford, United Kingdom, CM22 7LS </v>
      </c>
      <c r="C74" s="6">
        <f>IFERROR(__xludf.DUMMYFUNCTION("""COMPUTED_VALUE"""),7.885591187E9)</f>
        <v>7885591187</v>
      </c>
      <c r="D74" s="7" t="str">
        <f>IFERROR(__xludf.DUMMYFUNCTION("""COMPUTED_VALUE""")," http://www.agilityhealthtech.com ")</f>
        <v> http://www.agilityhealthtech.com </v>
      </c>
      <c r="E74" s="6" t="str">
        <f>IFERROR(__xludf.DUMMYFUNCTION("""COMPUTED_VALUE"""),"Air Liquide UK Limited, part of the world leading Air Liquide Group, 
provides your single source of expertise for the full range of industrial, 
laboratory &amp; medical gases and related technologies. We are the Preferred 
Supplier for all laboratory gases "&amp;"and dry ice, with attractive pricing for 
all premium members of Bionow.Air Liquide UK also offer:• Specialty Gases 
in cylinders, pressure cans and lecture bottles• Dry Ice (Cardice®)• 
Industrial Gases in cylinders• Bulk Carbon Dioxide, Air gases (Nitro"&amp;"gen, 
Oxygen and Argon)• Engineering Support Services")</f>
        <v>Air Liquide UK Limited, part of the world leading Air Liquide Group, 
provides your single source of expertise for the full range of industrial, 
laboratory &amp; medical gases and related technologies. We are the Preferred 
Supplier for all laboratory gases and dry ice, with attractive pricing for 
all premium members of Bionow.Air Liquide UK also offer:• Specialty Gases 
in cylinders, pressure cans and lecture bottles• Dry Ice (Cardice®)• 
Industrial Gases in cylinders• Bulk Carbon Dioxide, Air gases (Nitrogen, 
Oxygen and Argon)• Engineering Support Services</v>
      </c>
    </row>
    <row r="75">
      <c r="A75" s="6" t="str">
        <f>IFERROR(__xludf.DUMMYFUNCTION("""COMPUTED_VALUE"""),"AGMA Limited")</f>
        <v>AGMA Limited</v>
      </c>
      <c r="B75" s="6" t="str">
        <f>IFERROR(__xludf.DUMMYFUNCTION("""COMPUTED_VALUE""")," Gemini Works, Haltwhistle, NE49 9HA ")</f>
        <v> Gemini Works, Haltwhistle, NE49 9HA </v>
      </c>
      <c r="C75" s="6" t="str">
        <f>IFERROR(__xludf.DUMMYFUNCTION("""COMPUTED_VALUE""")," 07921 471 022 ")</f>
        <v> 07921 471 022 </v>
      </c>
      <c r="D75" s="7" t="str">
        <f>IFERROR(__xludf.DUMMYFUNCTION("""COMPUTED_VALUE""")," http://agma.co.uk ")</f>
        <v> http://agma.co.uk </v>
      </c>
      <c r="E75" s="6" t="str">
        <f>IFERROR(__xludf.DUMMYFUNCTION("""COMPUTED_VALUE"""),"Air Products is one of the world’s largest merchant gas companies, and as a 
BioNow Preferred supplier, members are entitled to preferential pricing on 
our standard products. Our range consists of not only industrial gases, but 
also speciality gases to "&amp;"satisfy all of your laboratory gas requirements, 
from ultra-high purity gases, certified gas mixtures to liquified gases for 
cooling. Our market leading, cryogenic and ultra-low temperature freezers 
not only ensure sample security but also reduce liqui"&amp;"d/gas consumption and 
energy costs. Whether you store on a small scale or if you need a complete 
cryogenic lab project managed, we provide a purpose built solution offering 
as much or as little as your business needs.")</f>
        <v>Air Products is one of the world’s largest merchant gas companies, and as a 
BioNow Preferred supplier, members are entitled to preferential pricing on 
our standard products. Our range consists of not only industrial gases, but 
also speciality gases to satisfy all of your laboratory gas requirements, 
from ultra-high purity gases, certified gas mixtures to liquified gases for 
cooling. Our market leading, cryogenic and ultra-low temperature freezers 
not only ensure sample security but also reduce liquid/gas consumption and 
energy costs. Whether you store on a small scale or if you need a complete 
cryogenic lab project managed, we provide a purpose built solution offering 
as much or as little as your business needs.</v>
      </c>
    </row>
    <row r="76">
      <c r="A76" s="6" t="str">
        <f>IFERROR(__xludf.DUMMYFUNCTION("""COMPUTED_VALUE"""),"AHSN NENC")</f>
        <v>AHSN NENC</v>
      </c>
      <c r="B76" s="6" t="str">
        <f>IFERROR(__xludf.DUMMYFUNCTION("""COMPUTED_VALUE""")," Room 2.13, Biomedical Research Building, The Campus for Ageing and 
Vitality, Nuns Moor Road, Newcastle upon Tyne, Tyne and Wear, NE4 5PL ")</f>
        <v> Room 2.13, Biomedical Research Building, The Campus for Ageing and 
Vitality, Nuns Moor Road, Newcastle upon Tyne, Tyne and Wear, NE4 5PL </v>
      </c>
      <c r="C76" s="6" t="str">
        <f>IFERROR(__xludf.DUMMYFUNCTION("""COMPUTED_VALUE""")," 0191 208 1326 ")</f>
        <v> 0191 208 1326 </v>
      </c>
      <c r="D76" s="7" t="str">
        <f>IFERROR(__xludf.DUMMYFUNCTION("""COMPUTED_VALUE""")," https://ahsn-nenc.org.uk/ ")</f>
        <v> https://ahsn-nenc.org.uk/ </v>
      </c>
      <c r="E76" s="6" t="str">
        <f>IFERROR(__xludf.DUMMYFUNCTION("""COMPUTED_VALUE"""),"Alcyomics specialises in predicting adverse immune reactions/ skin 
sensitisation and potency to compounds and therapeutics eg chemicals , 
cosmetics, monoclonal antibodies , Biobetters and Biosimilars. Alcyomics 
assays can also assess efficacy of therpe"&amp;"uitc immunomodulatory drugs.")</f>
        <v>Alcyomics specialises in predicting adverse immune reactions/ skin 
sensitisation and potency to compounds and therapeutics eg chemicals , 
cosmetics, monoclonal antibodies , Biobetters and Biosimilars. Alcyomics 
assays can also assess efficacy of therpeuitc immunomodulatory drugs.</v>
      </c>
    </row>
    <row r="77">
      <c r="A77" s="6" t="str">
        <f>IFERROR(__xludf.DUMMYFUNCTION("""COMPUTED_VALUE"""),"Air Liquide")</f>
        <v>Air Liquide</v>
      </c>
      <c r="B77" s="6" t="str">
        <f>IFERROR(__xludf.DUMMYFUNCTION("""COMPUTED_VALUE""")," Air Liquide, Station Road, Coleshill, Birmingham, B46 1JY ")</f>
        <v> Air Liquide, Station Road, Coleshill, Birmingham, B46 1JY </v>
      </c>
      <c r="C77" s="6" t="str">
        <f>IFERROR(__xludf.DUMMYFUNCTION("""COMPUTED_VALUE""")," 01675 462 424 ")</f>
        <v> 01675 462 424 </v>
      </c>
      <c r="D77" s="7" t="str">
        <f>IFERROR(__xludf.DUMMYFUNCTION("""COMPUTED_VALUE""")," http://www.uk.airliquide.com ")</f>
        <v> http://www.uk.airliquide.com </v>
      </c>
      <c r="E77" s="6" t="str">
        <f>IFERROR(__xludf.DUMMYFUNCTION("""COMPUTED_VALUE"""),"Alderley Analytical is an independent UK-based bioanalytical service 
provider supporting clients bioanalytical needs in discovery, through 
pre-clinical development and into clinical development. We are a GLP and 
GCP compliant facility and have the capa"&amp;"bility to perform both regulated 
and non-regulated bioanalysis. The lab is equipped with state of the art 
Mass Spectrometers, including the Waters Xevo TQ-S, Sciex 6500+ and the 
Thermo Q-exactive Focus HRMS/MS detectors all coupled to UPLC 
Chromatogra"&amp;"phic systems. We also have ELISA and HPLC-UV capability.The team 
at Alderley Analytical have a wealth of experience from working in large 
Pharma companies and CRO’s, with the co-founders alone having over 100 
years of experience between them, ensuring "&amp;"that we deliver the right 
science, on-time to meet your budget.")</f>
        <v>Alderley Analytical is an independent UK-based bioanalytical service 
provider supporting clients bioanalytical needs in discovery, through 
pre-clinical development and into clinical development. We are a GLP and 
GCP compliant facility and have the capability to perform both regulated 
and non-regulated bioanalysis. The lab is equipped with state of the art 
Mass Spectrometers, including the Waters Xevo TQ-S, Sciex 6500+ and the 
Thermo Q-exactive Focus HRMS/MS detectors all coupled to UPLC 
Chromatographic systems. We also have ELISA and HPLC-UV capability.The team 
at Alderley Analytical have a wealth of experience from working in large 
Pharma companies and CRO’s, with the co-founders alone having over 100 
years of experience between them, ensuring that we deliver the right 
science, on-time to meet your budget.</v>
      </c>
    </row>
    <row r="78">
      <c r="A78" s="6" t="str">
        <f>IFERROR(__xludf.DUMMYFUNCTION("""COMPUTED_VALUE"""),"Air Products")</f>
        <v>Air Products</v>
      </c>
      <c r="B78" s="6" t="str">
        <f>IFERROR(__xludf.DUMMYFUNCTION("""COMPUTED_VALUE""")," 2 Millenium Gate, Westmere Drive, Crewe, Cheshire, CW1 6AP ")</f>
        <v> 2 Millenium Gate, Westmere Drive, Crewe, Cheshire, CW1 6AP </v>
      </c>
      <c r="C78" s="6" t="str">
        <f>IFERROR(__xludf.DUMMYFUNCTION("""COMPUTED_VALUE""")," 0800 389 0202 ")</f>
        <v> 0800 389 0202 </v>
      </c>
      <c r="D78" s="7" t="str">
        <f>IFERROR(__xludf.DUMMYFUNCTION("""COMPUTED_VALUE""")," http://www.airproducts.co.uk ")</f>
        <v> http://www.airproducts.co.uk </v>
      </c>
      <c r="E78" s="6" t="str">
        <f>IFERROR(__xludf.DUMMYFUNCTION("""COMPUTED_VALUE"""),"Alderley Park Accelerator, operated by the specialist life science 
incubation company BioCity, helps to support the creation and growth of 
successful life science companies. This is achieved by creating the optimum 
environment for emerging businesses t"&amp;"o thrive by offering world class 
state-of-the-art laboratories and commercial office space, shared services, 
training, business support and access to investment.")</f>
        <v>Alderley Park Accelerator, operated by the specialist life science 
incubation company BioCity, helps to support the creation and growth of 
successful life science companies. This is achieved by creating the optimum 
environment for emerging businesses to thrive by offering world class 
state-of-the-art laboratories and commercial office space, shared services, 
training, business support and access to investment.</v>
      </c>
    </row>
    <row r="79">
      <c r="A79" s="6" t="str">
        <f>IFERROR(__xludf.DUMMYFUNCTION("""COMPUTED_VALUE"""),"Alcyomics Ltd")</f>
        <v>Alcyomics Ltd</v>
      </c>
      <c r="B79" s="6" t="str">
        <f>IFERROR(__xludf.DUMMYFUNCTION("""COMPUTED_VALUE""")," The Biosphere, Draymans Way, Newcastle Helix, Newcastle upon Tyne, NE4 5BX ")</f>
        <v> The Biosphere, Draymans Way, Newcastle Helix, Newcastle upon Tyne, NE4 5BX </v>
      </c>
      <c r="C79" s="6" t="str">
        <f>IFERROR(__xludf.DUMMYFUNCTION("""COMPUTED_VALUE""")," 0191 5806157 ")</f>
        <v> 0191 5806157 </v>
      </c>
      <c r="D79" s="7" t="str">
        <f>IFERROR(__xludf.DUMMYFUNCTION("""COMPUTED_VALUE""")," http://www.alcyomics.com ")</f>
        <v> http://www.alcyomics.com </v>
      </c>
      <c r="E79" s="6" t="str">
        <f>IFERROR(__xludf.DUMMYFUNCTION("""COMPUTED_VALUE"""),"Individual patients with a shared ailment can respond very differently to 
the same drug. This highly variable clinical response to drugs is 
reflective of the current ‘one size fits all’ approach adopted in much of 
clinical care, and effectively represe"&amp;"nts an extremely large unmet medical 
need across the disease spectrum. AlphaBiomics is developing precision 
medicine solutions based on the gut microbiome of patients in order to 
deliver safer and more efficacious drug therapies.")</f>
        <v>Individual patients with a shared ailment can respond very differently to 
the same drug. This highly variable clinical response to drugs is 
reflective of the current ‘one size fits all’ approach adopted in much of 
clinical care, and effectively represents an extremely large unmet medical 
need across the disease spectrum. AlphaBiomics is developing precision 
medicine solutions based on the gut microbiome of patients in order to 
deliver safer and more efficacious drug therapies.</v>
      </c>
    </row>
    <row r="80">
      <c r="A80" s="6" t="str">
        <f>IFERROR(__xludf.DUMMYFUNCTION("""COMPUTED_VALUE"""),"Alderley Analytical")</f>
        <v>Alderley Analytical</v>
      </c>
      <c r="B80" s="6" t="str">
        <f>IFERROR(__xludf.DUMMYFUNCTION("""COMPUTED_VALUE""")," Alderley Park, Alderley Edge, Macclesfield, SK10 4TG ")</f>
        <v> Alderley Park, Alderley Edge, Macclesfield, SK10 4TG </v>
      </c>
      <c r="C80" s="6" t="str">
        <f>IFERROR(__xludf.DUMMYFUNCTION("""COMPUTED_VALUE""")," 01625 238 610 ")</f>
        <v> 01625 238 610 </v>
      </c>
      <c r="D80" s="7" t="str">
        <f>IFERROR(__xludf.DUMMYFUNCTION("""COMPUTED_VALUE""")," http://www.alderleyanalytical.com ")</f>
        <v> http://www.alderleyanalytical.com </v>
      </c>
      <c r="E80" s="6" t="str">
        <f>IFERROR(__xludf.DUMMYFUNCTION("""COMPUTED_VALUE"""),"AMLo Biosciences Limited is dedicated to providing a prognostic test for 
early AJCC Stage I and Stage II melanoma to better identify patients true 
risk of disease progression. AMLo Biosciences’s first product AMBLorTM 
addresses the unmet need for melan"&amp;"oma prognosis in early stage disease 
identifying patients with genuinely low or high risk disease by 
immunohistochemical analysis of the primary tumour. The test is simple to 
use and fits seamlessly into current melanoma diagnostic practice.")</f>
        <v>AMLo Biosciences Limited is dedicated to providing a prognostic test for 
early AJCC Stage I and Stage II melanoma to better identify patients true 
risk of disease progression. AMLo Biosciences’s first product AMBLorTM 
addresses the unmet need for melanoma prognosis in early stage disease 
identifying patients with genuinely low or high risk disease by 
immunohistochemical analysis of the primary tumour. The test is simple to 
use and fits seamlessly into current melanoma diagnostic practice.</v>
      </c>
    </row>
    <row r="81">
      <c r="A81" s="6" t="str">
        <f>IFERROR(__xludf.DUMMYFUNCTION("""COMPUTED_VALUE"""),"Alderley Park Accelerator")</f>
        <v>Alderley Park Accelerator</v>
      </c>
      <c r="B81" s="6" t="str">
        <f>IFERROR(__xludf.DUMMYFUNCTION("""COMPUTED_VALUE""")," Alderley Park Accelerator, Alderley Park, Nether Alderley, Cheshire, SK10 
4TG ")</f>
        <v> Alderley Park Accelerator, Alderley Park, Nether Alderley, Cheshire, SK10 
4TG </v>
      </c>
      <c r="C81" s="6" t="str">
        <f>IFERROR(__xludf.DUMMYFUNCTION("""COMPUTED_VALUE""")," 0788 7727 999 ")</f>
        <v> 0788 7727 999 </v>
      </c>
      <c r="D81" s="7" t="str">
        <f>IFERROR(__xludf.DUMMYFUNCTION("""COMPUTED_VALUE""")," https://www.alderleypark.co.uk/accelerator ")</f>
        <v> https://www.alderleypark.co.uk/accelerator </v>
      </c>
      <c r="E81" s="6" t="str">
        <f>IFERROR(__xludf.DUMMYFUNCTION("""COMPUTED_VALUE"""),"Novel Biologics. Designed by Evolution. Discovered by AI. AMPLY Discovery 
uses machine learning and synthetic biology to mine vast biological data to 
discover novel biologic drug and nutraceutical candidates. Using a 
proprietary in silico and in vitro "&amp;"hybrid platform to discover 
best-in-class molecules AMPLY is helping tackle some of humankind's 
greatest challenges such as cancer, MDR infections and metabolic diseases. 
Based in Belfast, Northern Ireland. Spin out from Queen's University 
Belfast.")</f>
        <v>Novel Biologics. Designed by Evolution. Discovered by AI. AMPLY Discovery 
uses machine learning and synthetic biology to mine vast biological data to 
discover novel biologic drug and nutraceutical candidates. Using a 
proprietary in silico and in vitro hybrid platform to discover 
best-in-class molecules AMPLY is helping tackle some of humankind's 
greatest challenges such as cancer, MDR infections and metabolic diseases. 
Based in Belfast, Northern Ireland. Spin out from Queen's University 
Belfast.</v>
      </c>
    </row>
    <row r="82">
      <c r="A82" s="6" t="str">
        <f>IFERROR(__xludf.DUMMYFUNCTION("""COMPUTED_VALUE"""),"AlphaBiomics")</f>
        <v>AlphaBiomics</v>
      </c>
      <c r="B82" s="6" t="str">
        <f>IFERROR(__xludf.DUMMYFUNCTION("""COMPUTED_VALUE""")," Victoria Mews, London, SW4 0PA ")</f>
        <v> Victoria Mews, London, SW4 0PA </v>
      </c>
      <c r="C82" s="6">
        <f>IFERROR(__xludf.DUMMYFUNCTION("""COMPUTED_VALUE"""),20.0)</f>
        <v>20</v>
      </c>
      <c r="D82" s="7" t="str">
        <f>IFERROR(__xludf.DUMMYFUNCTION("""COMPUTED_VALUE""")," https://alphabiomics.com/ ")</f>
        <v> https://alphabiomics.com/ </v>
      </c>
      <c r="E82" s="6" t="str">
        <f>IFERROR(__xludf.DUMMYFUNCTION("""COMPUTED_VALUE"""),"AML believe that in conjunction with their American shareholders they have 
produced a polymeric additive, using novel technology that is unique to the 
global market. AML's team of specialists look to introduce a newly invented 
chemical additive that wh"&amp;"en mixed with any porous material such as Paint, 
vinyl, leather, cardboard, pastic, and any fabric renders the fabric free 
from viruses and bacteria including SARS and Covid without loosing ant 
efficany throught the products lifespan. It also allows th"&amp;"e product to be 
mostly cleaned using only soap and water thus avoiding the damage caused to 
both the environment and product by constant cleaning with 
detergents/bleaches.")</f>
        <v>AML believe that in conjunction with their American shareholders they have 
produced a polymeric additive, using novel technology that is unique to the 
global market. AML's team of specialists look to introduce a newly invented 
chemical additive that when mixed with any porous material such as Paint, 
vinyl, leather, cardboard, pastic, and any fabric renders the fabric free 
from viruses and bacteria including SARS and Covid without loosing ant 
efficany throught the products lifespan. It also allows the product to be 
mostly cleaned using only soap and water thus avoiding the damage caused to 
both the environment and product by constant cleaning with 
detergents/bleaches.</v>
      </c>
    </row>
    <row r="83">
      <c r="A83" s="6" t="str">
        <f>IFERROR(__xludf.DUMMYFUNCTION("""COMPUTED_VALUE"""),"AMLo Biosciences Ltd")</f>
        <v>AMLo Biosciences Ltd</v>
      </c>
      <c r="B83" s="6" t="str">
        <f>IFERROR(__xludf.DUMMYFUNCTION("""COMPUTED_VALUE""")," AMLo Biosciences Limited, Newcastle University, The Medical School, 
Framlington Place, Newcastle Upon Tyne, NE2 4HH ")</f>
        <v> AMLo Biosciences Limited, Newcastle University, The Medical School, 
Framlington Place, Newcastle Upon Tyne, NE2 4HH </v>
      </c>
      <c r="C83" s="6" t="str">
        <f>IFERROR(__xludf.DUMMYFUNCTION("""COMPUTED_VALUE""")," 0191 208 7290 ")</f>
        <v> 0191 208 7290 </v>
      </c>
      <c r="D83" s="7" t="str">
        <f>IFERROR(__xludf.DUMMYFUNCTION("""COMPUTED_VALUE""")," http://www.amlo-biosciences.com ")</f>
        <v> http://www.amlo-biosciences.com </v>
      </c>
      <c r="E83" s="6" t="str">
        <f>IFERROR(__xludf.DUMMYFUNCTION("""COMPUTED_VALUE"""),"Aon devises risk management, insurance and reinsurance solutions as well as 
other services aimed at helping your clients to achieve their operational 
and financial objectives. Aon's insights into the industry, combined with 
its experts’ experience and "&amp;"knowledge of global insurance markets, enable 
Aon to devise a vast variety of tailor-made risk transfer – and other – 
solutions by which to meet the manifold needs of clients in the 
chemicals/pharmaceuticals and life science industries. Irrespective of"&amp;" 
whether your company operates internationally or is a start-up, its growth 
depends on your understanding and overcoming the risks you face from day to 
day – such as, for example, consolidation within the industry, 
globalisation, constantly-changing l"&amp;"egislation, the protection of patents 
and rights, product shortages, supply chain management and business 
continuity")</f>
        <v>Aon devises risk management, insurance and reinsurance solutions as well as 
other services aimed at helping your clients to achieve their operational 
and financial objectives. Aon's insights into the industry, combined with 
its experts’ experience and knowledge of global insurance markets, enable 
Aon to devise a vast variety of tailor-made risk transfer – and other – 
solutions by which to meet the manifold needs of clients in the 
chemicals/pharmaceuticals and life science industries. Irrespective of 
whether your company operates internationally or is a start-up, its growth 
depends on your understanding and overcoming the risks you face from day to 
day – such as, for example, consolidation within the industry, 
globalisation, constantly-changing legislation, the protection of patents 
and rights, product shortages, supply chain management and business 
continuity</v>
      </c>
    </row>
    <row r="84">
      <c r="A84" s="6" t="str">
        <f>IFERROR(__xludf.DUMMYFUNCTION("""COMPUTED_VALUE"""),"AMPLY Discovery")</f>
        <v>AMPLY Discovery</v>
      </c>
      <c r="B84" s="6" t="str">
        <f>IFERROR(__xludf.DUMMYFUNCTION("""COMPUTED_VALUE""")," 63 University Road, Belfast, BT7 1NF ")</f>
        <v> 63 University Road, Belfast, BT7 1NF </v>
      </c>
      <c r="C84" s="6">
        <f>IFERROR(__xludf.DUMMYFUNCTION("""COMPUTED_VALUE"""),28.0)</f>
        <v>28</v>
      </c>
      <c r="D84" s="7" t="str">
        <f>IFERROR(__xludf.DUMMYFUNCTION("""COMPUTED_VALUE""")," https://amplydiscovery.com/ ")</f>
        <v> https://amplydiscovery.com/ </v>
      </c>
      <c r="E84" s="6" t="str">
        <f>IFERROR(__xludf.DUMMYFUNCTION("""COMPUTED_VALUE"""),"ApconiX is a team of world-renowned nonclinical safety experts with over 
300 years of drug discovery and development expertise.  We will work with 
you to provide the advice you need, at the right time to make better 
decisions on drug safety, from proje"&amp;"ct initiation through to worldwide 
marketing approval.  ApconiX has a team of experienced scientists covering 
all major safety disciplines, our own ion channel laboratory and a 
commitment to advancing the science of drug safety.")</f>
        <v>ApconiX is a team of world-renowned nonclinical safety experts with over 
300 years of drug discovery and development expertise.  We will work with 
you to provide the advice you need, at the right time to make better 
decisions on drug safety, from project initiation through to worldwide 
marketing approval.  ApconiX has a team of experienced scientists covering 
all major safety disciplines, our own ion channel laboratory and a 
commitment to advancing the science of drug safety.</v>
      </c>
    </row>
    <row r="85">
      <c r="A85" s="6" t="str">
        <f>IFERROR(__xludf.DUMMYFUNCTION("""COMPUTED_VALUE"""),"Antimicrobials Ltd")</f>
        <v>Antimicrobials Ltd</v>
      </c>
      <c r="B85" s="6" t="str">
        <f>IFERROR(__xludf.DUMMYFUNCTION("""COMPUTED_VALUE""")," 91 Princess Street, Manchester, M1 4HT ")</f>
        <v> 91 Princess Street, Manchester, M1 4HT </v>
      </c>
      <c r="C85" s="6">
        <f>IFERROR(__xludf.DUMMYFUNCTION("""COMPUTED_VALUE"""),161.0)</f>
        <v>161</v>
      </c>
      <c r="D85" s="7" t="str">
        <f>IFERROR(__xludf.DUMMYFUNCTION("""COMPUTED_VALUE""")," https://antimicrobial.ltd/ ")</f>
        <v> https://antimicrobial.ltd/ </v>
      </c>
      <c r="E85" s="6" t="str">
        <f>IFERROR(__xludf.DUMMYFUNCTION("""COMPUTED_VALUE"""),"Custom Chemistry CRO providing Pre-Clinical chemistry services in standard 
and High Potency fields.")</f>
        <v>Custom Chemistry CRO providing Pre-Clinical chemistry services in standard 
and High Potency fields.</v>
      </c>
    </row>
    <row r="86">
      <c r="A86" s="6" t="str">
        <f>IFERROR(__xludf.DUMMYFUNCTION("""COMPUTED_VALUE"""),"Aon")</f>
        <v>Aon</v>
      </c>
      <c r="B86" s="6" t="str">
        <f>IFERROR(__xludf.DUMMYFUNCTION("""COMPUTED_VALUE""")," Quayside House, 110 Quayside, Newcastle upon Tyne, Tyne &amp; Wear, NE1 3DX ")</f>
        <v> Quayside House, 110 Quayside, Newcastle upon Tyne, Tyne &amp; Wear, NE1 3DX </v>
      </c>
      <c r="C86" s="6" t="str">
        <f>IFERROR(__xludf.DUMMYFUNCTION("""COMPUTED_VALUE""")," 07795 246 943 ")</f>
        <v> 07795 246 943 </v>
      </c>
      <c r="D86" s="7" t="str">
        <f>IFERROR(__xludf.DUMMYFUNCTION("""COMPUTED_VALUE""")," https://www.aon.com/unitedkingdom/default.jsp ")</f>
        <v> https://www.aon.com/unitedkingdom/default.jsp </v>
      </c>
      <c r="E86" s="6" t="str">
        <f>IFERROR(__xludf.DUMMYFUNCTION("""COMPUTED_VALUE"""),"Animal and Plant Health Agency (APHA) is a world leader for its expertise 
in the animal and plant health. We provide a wide range of research and 
consultancy to the UK Government and commercial customers. APHA is a 
reference laboratory for a number of "&amp;"animal diseases at national and 
international level. APHA Scientific is the commercial department of the 
APHA. Our Services include • Biological reagents and test kits for animal 
diseases • Proficiency testing for veterinary laboratories (VETQAS) • 
Wi"&amp;"ldlife management • Laboratory diagnostic testing • Vaccine development 
and testing • Virus discovery • Pathology and bio-imaging • Bacterial 
identification and characterisation • Veterinary research and development • 
Access to Animal and Plant Health "&amp;"Agency intellectual property through 
licensing.")</f>
        <v>Animal and Plant Health Agency (APHA) is a world leader for its expertise 
in the animal and plant health. We provide a wide range of research and 
consultancy to the UK Government and commercial customers. APHA is a 
reference laboratory for a number of animal diseases at national and 
international level. APHA Scientific is the commercial department of the 
APHA. Our Services include • Biological reagents and test kits for animal 
diseases • Proficiency testing for veterinary laboratories (VETQAS) • 
Wildlife management • Laboratory diagnostic testing • Vaccine development 
and testing • Virus discovery • Pathology and bio-imaging • Bacterial 
identification and characterisation • Veterinary research and development • 
Access to Animal and Plant Health Agency intellectual property through 
licensing.</v>
      </c>
    </row>
    <row r="87">
      <c r="A87" s="6" t="str">
        <f>IFERROR(__xludf.DUMMYFUNCTION("""COMPUTED_VALUE"""),"ApconiX")</f>
        <v>ApconiX</v>
      </c>
      <c r="B87" s="6" t="str">
        <f>IFERROR(__xludf.DUMMYFUNCTION("""COMPUTED_VALUE""")," Alderley Park, Alderley Edge, Macclesfield, Cheshire, SK10 4TG ")</f>
        <v> Alderley Park, Alderley Edge, Macclesfield, Cheshire, SK10 4TG </v>
      </c>
      <c r="C87" s="6">
        <f>IFERROR(__xludf.DUMMYFUNCTION("""COMPUTED_VALUE"""),1.625238858E9)</f>
        <v>1625238858</v>
      </c>
      <c r="D87" s="7" t="str">
        <f>IFERROR(__xludf.DUMMYFUNCTION("""COMPUTED_VALUE""")," http://www.apconix.com ")</f>
        <v> http://www.apconix.com </v>
      </c>
      <c r="E87" s="6" t="str">
        <f>IFERROR(__xludf.DUMMYFUNCTION("""COMPUTED_VALUE"""),"We are committed at Apis Assay Technologies Ltd, to realise the clinical 
potential of systems biology and medicine in the diagnosis and 
personalisation of treatment. We seek to develop biomarkers that deliver 
significant improvements in the prediction "&amp;"and prevention of disease. There 
are 3 main workstreams of our business: 1. Biomarker Industrial Research 
Programme. This structured R&amp;D programme undertakes industrial research on 
biomarker-based diagnostic assays, targeting oncology, inflammatory, 
c"&amp;"ardiovascular, infectious disease and inherited disease areas. 2. The 
‘Fast-Tracking’ of Biomarkers and Diagnostic Platforms for market sale. 3. 
The Contract Development activity operates as a distinct commercial service 
line, with focus on the tailore"&amp;"d development of novel molecular diagnostic 
tests on new medical diagnostic platforms.")</f>
        <v>We are committed at Apis Assay Technologies Ltd, to realise the clinical 
potential of systems biology and medicine in the diagnosis and 
personalisation of treatment. We seek to develop biomarkers that deliver 
significant improvements in the prediction and prevention of disease. There 
are 3 main workstreams of our business: 1. Biomarker Industrial Research 
Programme. This structured R&amp;D programme undertakes industrial research on 
biomarker-based diagnostic assays, targeting oncology, inflammatory, 
cardiovascular, infectious disease and inherited disease areas. 2. The 
‘Fast-Tracking’ of Biomarkers and Diagnostic Platforms for market sale. 3. 
The Contract Development activity operates as a distinct commercial service 
line, with focus on the tailored development of novel molecular diagnostic 
tests on new medical diagnostic platforms.</v>
      </c>
    </row>
    <row r="88">
      <c r="A88" s="6" t="str">
        <f>IFERROR(__xludf.DUMMYFUNCTION("""COMPUTED_VALUE"""),"Apex Molecular")</f>
        <v>Apex Molecular</v>
      </c>
      <c r="B88" s="6" t="str">
        <f>IFERROR(__xludf.DUMMYFUNCTION("""COMPUTED_VALUE""")," Alderley Park, Alderley Edge, SK10 4TG ")</f>
        <v> Alderley Park, Alderley Edge, SK10 4TG </v>
      </c>
      <c r="C88" s="6" t="str">
        <f>IFERROR(__xludf.DUMMYFUNCTION("""COMPUTED_VALUE""")," 01625 238885 ")</f>
        <v> 01625 238885 </v>
      </c>
      <c r="D88" s="7" t="str">
        <f>IFERROR(__xludf.DUMMYFUNCTION("""COMPUTED_VALUE""")," http://www.apexmolecular.com ")</f>
        <v> http://www.apexmolecular.com </v>
      </c>
      <c r="E88" s="6" t="str">
        <f>IFERROR(__xludf.DUMMYFUNCTION("""COMPUTED_VALUE"""),"Appleyard Lees is a leading firm of patent and trade mark attorneys with a 
dedicated and experienced life science team. We have a strong presence in 
the North of England and assist businesses and individuals by providing 
practical and cost-effective pl"&amp;"ans for capturing and protecting their 
intellectual property rights (patents, designs, trade marks, copyright and 
know-how) within the UK and internationally.")</f>
        <v>Appleyard Lees is a leading firm of patent and trade mark attorneys with a 
dedicated and experienced life science team. We have a strong presence in 
the North of England and assist businesses and individuals by providing 
practical and cost-effective plans for capturing and protecting their 
intellectual property rights (patents, designs, trade marks, copyright and 
know-how) within the UK and internationally.</v>
      </c>
    </row>
    <row r="89">
      <c r="A89" s="6" t="str">
        <f>IFERROR(__xludf.DUMMYFUNCTION("""COMPUTED_VALUE"""),"APHA Scientific")</f>
        <v>APHA Scientific</v>
      </c>
      <c r="B89" s="6" t="str">
        <f>IFERROR(__xludf.DUMMYFUNCTION("""COMPUTED_VALUE""")," APHA Scientific, APHA Weybridge, New Haw, Addlestone, Surrey, KT15 3NB ")</f>
        <v> APHA Scientific, APHA Weybridge, New Haw, Addlestone, Surrey, KT15 3NB </v>
      </c>
      <c r="C89" s="6" t="str">
        <f>IFERROR(__xludf.DUMMYFUNCTION("""COMPUTED_VALUE""")," 03000 600001 ")</f>
        <v> 03000 600001 </v>
      </c>
      <c r="D89" s="7" t="str">
        <f>IFERROR(__xludf.DUMMYFUNCTION("""COMPUTED_VALUE""")," http://www.aphascientific.com ")</f>
        <v> http://www.aphascientific.com </v>
      </c>
      <c r="E89" s="6" t="str">
        <f>IFERROR(__xludf.DUMMYFUNCTION("""COMPUTED_VALUE"""),"ARC Regulatory is a niche consultancy, offering global regulatory and 
clinical research solutions including being a full CRO to the precision 
medicine and in vitro diagnostic medical device industry. ARC’s mission is 
simple. From its headquarters in No"&amp;"rthern Ireland, it supports companies, 
from the world’s top pharmaceutical and biotech leaders to medical device 
start-ups, in the search to find kinder patient treatments. By guiding 
customers through the complex, myriad of international regulatory an"&amp;"d 
research requirements, ARC facilitates market access for new medical 
discoveries. ARC is proud to be a trusted partner in the global ambition to 
improve patient care, leveraging its team’s expertise in delivering high 
quality, accelerated clinical r"&amp;"esearch for biomarker diagnostics. Learn 
more at www.arc-regulatory.com")</f>
        <v>ARC Regulatory is a niche consultancy, offering global regulatory and 
clinical research solutions including being a full CRO to the precision 
medicine and in vitro diagnostic medical device industry. ARC’s mission is 
simple. From its headquarters in Northern Ireland, it supports companies, 
from the world’s top pharmaceutical and biotech leaders to medical device 
start-ups, in the search to find kinder patient treatments. By guiding 
customers through the complex, myriad of international regulatory and 
research requirements, ARC facilitates market access for new medical 
discoveries. ARC is proud to be a trusted partner in the global ambition to 
improve patient care, leveraging its team’s expertise in delivering high 
quality, accelerated clinical research for biomarker diagnostics. Learn 
more at www.arc-regulatory.com</v>
      </c>
    </row>
    <row r="90">
      <c r="A90" s="6" t="str">
        <f>IFERROR(__xludf.DUMMYFUNCTION("""COMPUTED_VALUE"""),"Apis Assay Technologies Ltd.")</f>
        <v>Apis Assay Technologies Ltd.</v>
      </c>
      <c r="B90" s="6" t="str">
        <f>IFERROR(__xludf.DUMMYFUNCTION("""COMPUTED_VALUE""")," Apis Assay Technologies Ltd., Citylabs 1.0, Manchester, M13 9NQ ")</f>
        <v> Apis Assay Technologies Ltd., Citylabs 1.0, Manchester, M13 9NQ </v>
      </c>
      <c r="C90" s="6">
        <f>IFERROR(__xludf.DUMMYFUNCTION("""COMPUTED_VALUE"""),7.9363498E9)</f>
        <v>7936349800</v>
      </c>
      <c r="D90" s="7" t="str">
        <f>IFERROR(__xludf.DUMMYFUNCTION("""COMPUTED_VALUE""")," http://www.apisassay.com/ ")</f>
        <v> http://www.apisassay.com/ </v>
      </c>
      <c r="E90" s="6" t="str">
        <f>IFERROR(__xludf.DUMMYFUNCTION("""COMPUTED_VALUE"""),"We help your Life Science business; get found, connect with your audience, 
generate investment and build authority. Specialist Branding – Web Design – 
Search – Visual Communications – Print Design. Distilling scientific and 
healthcare multi-layered pro"&amp;"ducts and services and presenting them with 
clarity. Providing you with world-leading brand identity, website design, 
and digital strategy. Helping life science businesses like yours build a 
global reach.")</f>
        <v>We help your Life Science business; get found, connect with your audience, 
generate investment and build authority. Specialist Branding – Web Design – 
Search – Visual Communications – Print Design. Distilling scientific and 
healthcare multi-layered products and services and presenting them with 
clarity. Providing you with world-leading brand identity, website design, 
and digital strategy. Helping life science businesses like yours build a 
global reach.</v>
      </c>
    </row>
    <row r="91">
      <c r="A91" s="6" t="str">
        <f>IFERROR(__xludf.DUMMYFUNCTION("""COMPUTED_VALUE"""),"Appleyard Lees IP LLP")</f>
        <v>Appleyard Lees IP LLP</v>
      </c>
      <c r="B91" s="6" t="str">
        <f>IFERROR(__xludf.DUMMYFUNCTION("""COMPUTED_VALUE""")," The Lexicon, Mount Street, Manchester, M2 5NT ")</f>
        <v> The Lexicon, Mount Street, Manchester, M2 5NT </v>
      </c>
      <c r="C91" s="6" t="str">
        <f>IFERROR(__xludf.DUMMYFUNCTION("""COMPUTED_VALUE""")," 0161 835 9655 ")</f>
        <v> 0161 835 9655 </v>
      </c>
      <c r="D91" s="7" t="str">
        <f>IFERROR(__xludf.DUMMYFUNCTION("""COMPUTED_VALUE""")," http://www.appleyardlees.com ")</f>
        <v> http://www.appleyardlees.com </v>
      </c>
      <c r="E91" s="6" t="str">
        <f>IFERROR(__xludf.DUMMYFUNCTION("""COMPUTED_VALUE"""),"Working in the pharmaceutical sector with startup companies through to the 
Global corporations. AS-Tec through their partners supplies Chemical 
synthesis, Bio reagents, formulation and expertise from drug discovery 
through to licensed products.")</f>
        <v>Working in the pharmaceutical sector with startup companies through to the 
Global corporations. AS-Tec through their partners supplies Chemical 
synthesis, Bio reagents, formulation and expertise from drug discovery 
through to licensed products.</v>
      </c>
    </row>
    <row r="92">
      <c r="A92" s="6" t="str">
        <f>IFERROR(__xludf.DUMMYFUNCTION("""COMPUTED_VALUE"""),"ARC Regulatory")</f>
        <v>ARC Regulatory</v>
      </c>
      <c r="B92" s="6" t="str">
        <f>IFERROR(__xludf.DUMMYFUNCTION("""COMPUTED_VALUE""")," 1 The Cornstore, Market Street,, Moneymore, Magherafelt,, N. Ireland., 
Moneymore, County Derry/Londonderry, BT45 7PE ")</f>
        <v> 1 The Cornstore, Market Street,, Moneymore, Magherafelt,, N. Ireland., 
Moneymore, County Derry/Londonderry, BT45 7PE </v>
      </c>
      <c r="C92" s="6" t="str">
        <f>IFERROR(__xludf.DUMMYFUNCTION("""COMPUTED_VALUE""")," +44 28 7963 9304 ")</f>
        <v> +44 28 7963 9304 </v>
      </c>
      <c r="D92" s="7" t="str">
        <f>IFERROR(__xludf.DUMMYFUNCTION("""COMPUTED_VALUE""")," https://www.arc-regulatory.com/ ")</f>
        <v> https://www.arc-regulatory.com/ </v>
      </c>
      <c r="E92" s="6" t="str">
        <f>IFERROR(__xludf.DUMMYFUNCTION("""COMPUTED_VALUE"""),"ASep Healthcare is a spin-out company from Imperial Innovations LLP, 
founded by Ryan Kerstein and Christian Fellowes. The team brings together a 
unique blend of commercial, medical and marketing experience. Alan Edwards 
(Chairman) together have 40+ yea"&amp;"rs healthcare industry experience. Ryan and 
Christian, both doctors, invented Tournistrip as a direct result of an 
unmet clinical need and Imperial Innovations has a strong track record of 
backing successful companies.")</f>
        <v>ASep Healthcare is a spin-out company from Imperial Innovations LLP, 
founded by Ryan Kerstein and Christian Fellowes. The team brings together a 
unique blend of commercial, medical and marketing experience. Alan Edwards 
(Chairman) together have 40+ years healthcare industry experience. Ryan and 
Christian, both doctors, invented Tournistrip as a direct result of an 
unmet clinical need and Imperial Innovations has a strong track record of 
backing successful companies.</v>
      </c>
    </row>
    <row r="93">
      <c r="A93" s="6" t="str">
        <f>IFERROR(__xludf.DUMMYFUNCTION("""COMPUTED_VALUE"""),"Arttia Creative Limited")</f>
        <v>Arttia Creative Limited</v>
      </c>
      <c r="B93" s="6" t="str">
        <f>IFERROR(__xludf.DUMMYFUNCTION("""COMPUTED_VALUE""")," 19 Landsdowne Terrace, Newcastle upon Tyne, NE3 1HP ")</f>
        <v> 19 Landsdowne Terrace, Newcastle upon Tyne, NE3 1HP </v>
      </c>
      <c r="C93" s="6" t="str">
        <f>IFERROR(__xludf.DUMMYFUNCTION("""COMPUTED_VALUE""")," +44 (0) 191 500 7118 ")</f>
        <v> +44 (0) 191 500 7118 </v>
      </c>
      <c r="D93" s="7" t="str">
        <f>IFERROR(__xludf.DUMMYFUNCTION("""COMPUTED_VALUE""")," https://arttia.co.uk ")</f>
        <v> https://arttia.co.uk </v>
      </c>
      <c r="E93" s="6" t="str">
        <f>IFERROR(__xludf.DUMMYFUNCTION("""COMPUTED_VALUE"""),"Antimicrobial film for screens, tablets, mobiles, kiosks and other surfaces.")</f>
        <v>Antimicrobial film for screens, tablets, mobiles, kiosks and other surfaces.</v>
      </c>
    </row>
    <row r="94">
      <c r="A94" s="6" t="str">
        <f>IFERROR(__xludf.DUMMYFUNCTION("""COMPUTED_VALUE"""),"AS-Tec Chemicals Ltd")</f>
        <v>AS-Tec Chemicals Ltd</v>
      </c>
      <c r="B94" s="6" t="str">
        <f>IFERROR(__xludf.DUMMYFUNCTION("""COMPUTED_VALUE""")," Unit 5e Barnfield Way, Barnfield Way, Preston, PR2 5DB ")</f>
        <v> Unit 5e Barnfield Way, Barnfield Way, Preston, PR2 5DB </v>
      </c>
      <c r="C94" s="6" t="str">
        <f>IFERROR(__xludf.DUMMYFUNCTION("""COMPUTED_VALUE""")," 01772 495 123 ")</f>
        <v> 01772 495 123 </v>
      </c>
      <c r="D94" s="7" t="str">
        <f>IFERROR(__xludf.DUMMYFUNCTION("""COMPUTED_VALUE""")," http://www.as-tec-chemicals.co.uk ")</f>
        <v> http://www.as-tec-chemicals.co.uk </v>
      </c>
      <c r="E94" s="6" t="str">
        <f>IFERROR(__xludf.DUMMYFUNCTION("""COMPUTED_VALUE"""),"Asymchem is a USFDA-inspected contract manufacturer operating out of eight, 
state-of-the-art facilities in China providing clients with an extensive 
array of API scale-up and optimisation services. Asymchem is also 
proficient in a broad range of cuttin"&amp;"g-edge technologies, such as 
continuous flow, biocatalysis, highly-potent API, peptides, 
oligonucleotides, ADC linkers &amp; toxins, carbapenem APIs and significant 
drug product (solid dose and sterile fill) development and manufacturing 
capabilities. Rec"&amp;"ent investments include a new 7200m2 biologics R&amp;D centre 
and GMP manufacturing facility, which opened in late 2019, and extensive 
back-integration capacity for key raw materials and building blocks via its 
two non-GMP manufacturing facilities (with a "&amp;"third site under 
construction). With an unrivalled track-record of success over the past 20 
years in the development and optimisation of complex processes, Asymchem 
remains the leading choice for clients looking for a partner focused on 
providing prac"&amp;"tical and sustainable solutions to their problems.")</f>
        <v>Asymchem is a USFDA-inspected contract manufacturer operating out of eight, 
state-of-the-art facilities in China providing clients with an extensive 
array of API scale-up and optimisation services. Asymchem is also 
proficient in a broad range of cutting-edge technologies, such as 
continuous flow, biocatalysis, highly-potent API, peptides, 
oligonucleotides, ADC linkers &amp; toxins, carbapenem APIs and significant 
drug product (solid dose and sterile fill) development and manufacturing 
capabilities. Recent investments include a new 7200m2 biologics R&amp;D centre 
and GMP manufacturing facility, which opened in late 2019, and extensive 
back-integration capacity for key raw materials and building blocks via its 
two non-GMP manufacturing facilities (with a third site under 
construction). With an unrivalled track-record of success over the past 20 
years in the development and optimisation of complex processes, Asymchem 
remains the leading choice for clients looking for a partner focused on 
providing practical and sustainable solutions to their problems.</v>
      </c>
    </row>
    <row r="95">
      <c r="A95" s="6" t="str">
        <f>IFERROR(__xludf.DUMMYFUNCTION("""COMPUTED_VALUE"""),"ASep Healthcare")</f>
        <v>ASep Healthcare</v>
      </c>
      <c r="B95" s="6" t="str">
        <f>IFERROR(__xludf.DUMMYFUNCTION("""COMPUTED_VALUE""")," Units T9 -T10, Liverpool Science Park, 131 Mount Pleasant, Liverpool, L3 
5TF ")</f>
        <v> Units T9 -T10, Liverpool Science Park, 131 Mount Pleasant, Liverpool, L3 
5TF </v>
      </c>
      <c r="C95" s="6" t="str">
        <f>IFERROR(__xludf.DUMMYFUNCTION("""COMPUTED_VALUE""")," 01442 899 942 ")</f>
        <v> 01442 899 942 </v>
      </c>
      <c r="D95" s="7" t="str">
        <f>IFERROR(__xludf.DUMMYFUNCTION("""COMPUTED_VALUE""")," http://www.asephealthcare.com ")</f>
        <v> http://www.asephealthcare.com </v>
      </c>
      <c r="E95" s="6" t="str">
        <f>IFERROR(__xludf.DUMMYFUNCTION("""COMPUTED_VALUE"""),"Specilaising in innovative laboratory products and equipment solutions for 
science and industry in areas such as drug research, life sciences, 
analytical chemistry and materials characterisation. Examples include 
biomolecular interactions, mass spectro"&amp;"metry, sample preparation, oral 
solid dosage forms and powder analysis. The Company also offers expertise 
in improving labs with purposely designed mobile benches, elevating tables 
and soundproof enclosures which reduce noise, save space and improve sa"&amp;"fety.")</f>
        <v>Specilaising in innovative laboratory products and equipment solutions for 
science and industry in areas such as drug research, life sciences, 
analytical chemistry and materials characterisation. Examples include 
biomolecular interactions, mass spectrometry, sample preparation, oral 
solid dosage forms and powder analysis. The Company also offers expertise 
in improving labs with purposely designed mobile benches, elevating tables 
and soundproof enclosures which reduce noise, save space and improve safety.</v>
      </c>
    </row>
    <row r="96">
      <c r="A96" s="6" t="str">
        <f>IFERROR(__xludf.DUMMYFUNCTION("""COMPUTED_VALUE"""),"Aspect PPF Ltd")</f>
        <v>Aspect PPF Ltd</v>
      </c>
      <c r="B96" s="6" t="str">
        <f>IFERROR(__xludf.DUMMYFUNCTION("""COMPUTED_VALUE""")," Lond Acre, Biddenfield Lane, Fareham, Hampshire, PO17 5NU ")</f>
        <v> Lond Acre, Biddenfield Lane, Fareham, Hampshire, PO17 5NU </v>
      </c>
      <c r="C96" s="6">
        <f>IFERROR(__xludf.DUMMYFUNCTION("""COMPUTED_VALUE"""),7.889718595E9)</f>
        <v>7889718595</v>
      </c>
      <c r="D96" s="7" t="str">
        <f>IFERROR(__xludf.DUMMYFUNCTION("""COMPUTED_VALUE""")," https://aspectppf.co.uk/ ")</f>
        <v> https://aspectppf.co.uk/ </v>
      </c>
      <c r="E96" s="6" t="str">
        <f>IFERROR(__xludf.DUMMYFUNCTION("""COMPUTED_VALUE"""),"Having worked in the Advanced Ceramics industry for over a decade in the 
90’s, founder, Dr. Ian Birkby recognized that engineers, designers and 
scientists often required educating in the potential uses and applications 
of Advanced Materials before they"&amp;" could utilize them in their products and 
processes. This recognition of market demand and the emerging power of the 
internet led to the launch of our first site, AZoM.com – The A to Z of 
Materials in 2000. Although the business has grown significantly"&amp;" to include 
a range of science, technology, medical and life science platforms, it has 
always stayed true to its principal aim: We love telling science, 
technology and medical stories to people who can make a difference. 
Everything else follows from t"&amp;"hat. Today we tell these stories across all 
digital platforms to a monthly addressable audience in excess of 5 million 
unique individuals. Our customers come from all scientific, technological 
and medical sectors. Our extensive web footprint and subscr"&amp;"iber base allows 
us to display a measurable return on investment to billion dollar 
multi-nationals and SME start-ups. From Content Creation, through targeted 
distribution to closing the loop with the unique AZoIntel Content 
Performance analytics platf"&amp;"orm, AZoNetwork now provides a highly effective 
Science Marketing Platform based on its own unique Marketing Science. The 
company is an Australian Public Company with headquarters in Sydney, 
Australia and satellite offices in London, Manchester, UK and"&amp;" Upstate New 
York, USA.")</f>
        <v>Having worked in the Advanced Ceramics industry for over a decade in the 
90’s, founder, Dr. Ian Birkby recognized that engineers, designers and 
scientists often required educating in the potential uses and applications 
of Advanced Materials before they could utilize them in their products and 
processes. This recognition of market demand and the emerging power of the 
internet led to the launch of our first site, AZoM.com – The A to Z of 
Materials in 2000. Although the business has grown significantly to include 
a range of science, technology, medical and life science platforms, it has 
always stayed true to its principal aim: We love telling science, 
technology and medical stories to people who can make a difference. 
Everything else follows from that. Today we tell these stories across all 
digital platforms to a monthly addressable audience in excess of 5 million 
unique individuals. Our customers come from all scientific, technological 
and medical sectors. Our extensive web footprint and subscriber base allows 
us to display a measurable return on investment to billion dollar 
multi-nationals and SME start-ups. From Content Creation, through targeted 
distribution to closing the loop with the unique AZoIntel Content 
Performance analytics platform, AZoNetwork now provides a highly effective 
Science Marketing Platform based on its own unique Marketing Science. The 
company is an Australian Public Company with headquarters in Sydney, 
Australia and satellite offices in London, Manchester, UK and Upstate New 
York, USA.</v>
      </c>
    </row>
    <row r="97">
      <c r="A97" s="6" t="str">
        <f>IFERROR(__xludf.DUMMYFUNCTION("""COMPUTED_VALUE"""),"Associates of Cape Cod")</f>
        <v>Associates of Cape Cod</v>
      </c>
      <c r="B97" s="6" t="str">
        <f>IFERROR(__xludf.DUMMYFUNCTION("""COMPUTED_VALUE""")," Associates of Cape Cod, Deacon Park, Moorgate Road, Knowsley, L30 1RT ")</f>
        <v> Associates of Cape Cod, Deacon Park, Moorgate Road, Knowsley, L30 1RT </v>
      </c>
      <c r="C97" s="6" t="str">
        <f>IFERROR(__xludf.DUMMYFUNCTION("""COMPUTED_VALUE""")," 0151 547 7444 ")</f>
        <v> 0151 547 7444 </v>
      </c>
      <c r="D97" s="7" t="str">
        <f>IFERROR(__xludf.DUMMYFUNCTION("""COMPUTED_VALUE""")," http://www.acciusa.com ")</f>
        <v> http://www.acciusa.com </v>
      </c>
      <c r="E97" s="6" t="str">
        <f>IFERROR(__xludf.DUMMYFUNCTION("""COMPUTED_VALUE"""),"Bawden and Associates is a specialist intellectual property (IP) law 
firm.At Bawden and Associates we provide professional legal services and 
management consultancy on UK, European and global intellectual property 
matters including patents, designs, co"&amp;"pyright, trade marks and the 
protection of confidential information.We specialise in the medical, 
chemical, petrochemical, pharmaceutical and biotechnology fields as well as 
in engineering (chemical, process and mechanical).")</f>
        <v>Bawden and Associates is a specialist intellectual property (IP) law 
firm.At Bawden and Associates we provide professional legal services and 
management consultancy on UK, European and global intellectual property 
matters including patents, designs, copyright, trade marks and the 
protection of confidential information.We specialise in the medical, 
chemical, petrochemical, pharmaceutical and biotechnology fields as well as 
in engineering (chemical, process and mechanical).</v>
      </c>
    </row>
    <row r="98">
      <c r="A98" s="6" t="str">
        <f>IFERROR(__xludf.DUMMYFUNCTION("""COMPUTED_VALUE"""),"Asymchem Limited")</f>
        <v>Asymchem Limited</v>
      </c>
      <c r="B98" s="6" t="str">
        <f>IFERROR(__xludf.DUMMYFUNCTION("""COMPUTED_VALUE""")," 5th Floor, One New Change, London, EC4M 9AF ")</f>
        <v> 5th Floor, One New Change, London, EC4M 9AF </v>
      </c>
      <c r="C98" s="6">
        <f>IFERROR(__xludf.DUMMYFUNCTION("""COMPUTED_VALUE"""),4.47979036012E11)</f>
        <v>447979036012</v>
      </c>
      <c r="D98" s="7" t="str">
        <f>IFERROR(__xludf.DUMMYFUNCTION("""COMPUTED_VALUE""")," http://asymchem.com ")</f>
        <v> http://asymchem.com </v>
      </c>
      <c r="E98" s="6" t="str">
        <f>IFERROR(__xludf.DUMMYFUNCTION("""COMPUTED_VALUE"""),"***COVID-19 Update*** Despite the challenging situation, Biocair is fully 
committed to delivering continuity of service within the life sciences 
supply chain and ensuring safety to its clients, patients and employees. 
The vital work we support does not"&amp;" stop in times of crisis. Clinical 
trials, organ transportation, the very attempts to produce a vaccine for 
COVID-19 are all underpinned by a global logistics system that moves live 
materials safely and swiftly. *** Description*** Biocair is a global 
"&amp;"specialist courier with over 30 years of dedicated experience in the 
pharmaceutical, biotechnology and life science sectors. Specifically, we 
provide dedicated, specialised logistics services – both the systems and 
the people – for the scientific secto"&amp;"r and our services are the most 
comprehensive of its kind available on the market. The Biocair network 
spans more than 850 locations in over 160 countries across Europe, Africa, 
Asia and the Americas.")</f>
        <v>***COVID-19 Update*** Despite the challenging situation, Biocair is fully 
committed to delivering continuity of service within the life sciences 
supply chain and ensuring safety to its clients, patients and employees. 
The vital work we support does not stop in times of crisis. Clinical 
trials, organ transportation, the very attempts to produce a vaccine for 
COVID-19 are all underpinned by a global logistics system that moves live 
materials safely and swiftly. *** Description*** Biocair is a global 
specialist courier with over 30 years of dedicated experience in the 
pharmaceutical, biotechnology and life science sectors. Specifically, we 
provide dedicated, specialised logistics services – both the systems and 
the people – for the scientific sector and our services are the most 
comprehensive of its kind available on the market. The Biocair network 
spans more than 850 locations in over 160 countries across Europe, Africa, 
Asia and the Americas.</v>
      </c>
    </row>
    <row r="99">
      <c r="A99" s="6" t="str">
        <f>IFERROR(__xludf.DUMMYFUNCTION("""COMPUTED_VALUE"""),"ATG Scientific Ltd")</f>
        <v>ATG Scientific Ltd</v>
      </c>
      <c r="B99" s="6" t="str">
        <f>IFERROR(__xludf.DUMMYFUNCTION("""COMPUTED_VALUE""")," Oxford Centre for Innovation, New Road, Oxford, Oxfordshire, OX1 1BY ")</f>
        <v> Oxford Centre for Innovation, New Road, Oxford, Oxfordshire, OX1 1BY </v>
      </c>
      <c r="C99" s="6" t="str">
        <f>IFERROR(__xludf.DUMMYFUNCTION("""COMPUTED_VALUE""")," 01865-261423 ")</f>
        <v> 01865-261423 </v>
      </c>
      <c r="D99" s="7" t="str">
        <f>IFERROR(__xludf.DUMMYFUNCTION("""COMPUTED_VALUE""")," https://atgscientific.co.uk ")</f>
        <v> https://atgscientific.co.uk </v>
      </c>
      <c r="E99" s="6" t="str">
        <f>IFERROR(__xludf.DUMMYFUNCTION("""COMPUTED_VALUE"""),"Biofortuna is a leading diagnostics company offering both custom IVD 
development &amp; manufacturing services and molecular diagnostic products. 
Being ISO13485 certified and FDA registered, we are your partner of choice 
for IVD immunoassay and molecular di"&amp;"agnostic development and manufacture.We 
also specialise in freeze-drying diagnostic products enabling complete PCR 
reactions and immunoassay reagents to be transformed into stable pellets.")</f>
        <v>Biofortuna is a leading diagnostics company offering both custom IVD 
development &amp; manufacturing services and molecular diagnostic products. 
Being ISO13485 certified and FDA registered, we are your partner of choice 
for IVD immunoassay and molecular diagnostic development and manufacture.We 
also specialise in freeze-drying diagnostic products enabling complete PCR 
reactions and immunoassay reagents to be transformed into stable pellets.</v>
      </c>
    </row>
    <row r="100">
      <c r="A100" s="6" t="str">
        <f>IFERROR(__xludf.DUMMYFUNCTION("""COMPUTED_VALUE"""),"AZoNetwork UK Ltd.")</f>
        <v>AZoNetwork UK Ltd.</v>
      </c>
      <c r="B100" s="6" t="str">
        <f>IFERROR(__xludf.DUMMYFUNCTION("""COMPUTED_VALUE""")," Azonetwork UK Ltd, NEO, 4th Floor, 9 Charlotte Street, MANCHESTER, (select 
a state), M1 4ET ")</f>
        <v> Azonetwork UK Ltd, NEO, 4th Floor, 9 Charlotte Street, MANCHESTER, (select 
a state), M1 4ET </v>
      </c>
      <c r="C100" s="6" t="str">
        <f>IFERROR(__xludf.DUMMYFUNCTION("""COMPUTED_VALUE""")," 016 1457 7150 ")</f>
        <v> 016 1457 7150 </v>
      </c>
      <c r="D100" s="7" t="str">
        <f>IFERROR(__xludf.DUMMYFUNCTION("""COMPUTED_VALUE""")," http://www.azonetwork.com ")</f>
        <v> http://www.azonetwork.com </v>
      </c>
      <c r="E100" s="6" t="str">
        <f>IFERROR(__xludf.DUMMYFUNCTION("""COMPUTED_VALUE"""),"BioGrad Ltd is a Liverpool based laboratory education and diagnostics 
company. From our North West base we are licensed by the Human Tissue 
Authority to store human samples in our Biobank and will soon be launching 
our services to collect cord blood an"&amp;"d tissue and process this to stem 
cells for private banking or research purposes. We work closely with 
Universities and NHS Trusts around the North to provide Biobanking services 
for active clinical research and legacy storage of samples.")</f>
        <v>BioGrad Ltd is a Liverpool based laboratory education and diagnostics 
company. From our North West base we are licensed by the Human Tissue 
Authority to store human samples in our Biobank and will soon be launching 
our services to collect cord blood and tissue and process this to stem 
cells for private banking or research purposes. We work closely with 
Universities and NHS Trusts around the North to provide Biobanking services 
for active clinical research and legacy storage of samples.</v>
      </c>
    </row>
    <row r="101">
      <c r="A101" s="6" t="str">
        <f>IFERROR(__xludf.DUMMYFUNCTION("""COMPUTED_VALUE"""),"Bawden &amp; Associates")</f>
        <v>Bawden &amp; Associates</v>
      </c>
      <c r="B101" s="6" t="str">
        <f>IFERROR(__xludf.DUMMYFUNCTION("""COMPUTED_VALUE""")," 4 The Gatehouse, 2 High Street, Harpenden, Hertfordshire, AL5 2TH ")</f>
        <v> 4 The Gatehouse, 2 High Street, Harpenden, Hertfordshire, AL5 2TH </v>
      </c>
      <c r="C101" s="6" t="str">
        <f>IFERROR(__xludf.DUMMYFUNCTION("""COMPUTED_VALUE""")," 01582 466 700 ")</f>
        <v> 01582 466 700 </v>
      </c>
      <c r="D101" s="7" t="str">
        <f>IFERROR(__xludf.DUMMYFUNCTION("""COMPUTED_VALUE""")," http://www.bawden.co.uk ")</f>
        <v> http://www.bawden.co.uk </v>
      </c>
      <c r="E101" s="6" t="str">
        <f>IFERROR(__xludf.DUMMYFUNCTION("""COMPUTED_VALUE"""),"At Biomatics we are experts in solving problems and delivering valuable 
change that enables our client organisations to undertake and complete 
complex, challenging projects, and business change programmes successfully. 
What makes us unique is our exper"&amp;"ienced team, that have decades of 
specialist expertise in the life science, health, and care fields. We have 
an incredible network of partners, associates and specialist advisors who 
support and enhance all that we can offer. We work in partnership wit"&amp;"h a 
wide range of clients to deliver project and programme management, change 
management, digital transformation, and bioinformatics services, and 
deliver sustainable results by truly understanding our clients’ needs and 
requirements. We pride ourselv"&amp;"es on being friendly, flexible, and 
transparent as we understand that life science companies face challenges 
while developing and delivering services, solutions, and products. Here at 
Biomatics, we have a track record of delivering complex, business-cr"&amp;"itical 
projects for some of the world’s leading life science organisations.")</f>
        <v>At Biomatics we are experts in solving problems and delivering valuable 
change that enables our client organisations to undertake and complete 
complex, challenging projects, and business change programmes successfully. 
What makes us unique is our experienced team, that have decades of 
specialist expertise in the life science, health, and care fields. We have 
an incredible network of partners, associates and specialist advisors who 
support and enhance all that we can offer. We work in partnership with a 
wide range of clients to deliver project and programme management, change 
management, digital transformation, and bioinformatics services, and 
deliver sustainable results by truly understanding our clients’ needs and 
requirements. We pride ourselves on being friendly, flexible, and 
transparent as we understand that life science companies face challenges 
while developing and delivering services, solutions, and products. Here at 
Biomatics, we have a track record of delivering complex, business-critical 
projects for some of the world’s leading life science organisations.</v>
      </c>
    </row>
    <row r="102">
      <c r="A102" s="6" t="str">
        <f>IFERROR(__xludf.DUMMYFUNCTION("""COMPUTED_VALUE"""),"Biocair")</f>
        <v>Biocair</v>
      </c>
      <c r="B102" s="6" t="str">
        <f>IFERROR(__xludf.DUMMYFUNCTION("""COMPUTED_VALUE""")," Iconix 1 , Iconix Park, London Road, Sawston , Cambridge, CB22 3EG ")</f>
        <v> Iconix 1 , Iconix Park, London Road, Sawston , Cambridge, CB22 3EG </v>
      </c>
      <c r="C102" s="6">
        <f>IFERROR(__xludf.DUMMYFUNCTION("""COMPUTED_VALUE"""),1.223245223E9)</f>
        <v>1223245223</v>
      </c>
      <c r="D102" s="7" t="str">
        <f>IFERROR(__xludf.DUMMYFUNCTION("""COMPUTED_VALUE""")," https://www.biocair.com/en-gb/ ")</f>
        <v> https://www.biocair.com/en-gb/ </v>
      </c>
      <c r="E102" s="6" t="str">
        <f>IFERROR(__xludf.DUMMYFUNCTION("""COMPUTED_VALUE"""),"BioPercept’s technology presents a novel and unique approach, which enables 
rapid, general, and simple radiolabeling, and subsequent visualisation, of 
biopharmaceuticals. Our concept allows incorporation of any isotope, e. g. 
[2H], [3H], [13C], [14C], "&amp;"[18F], [19F], [11C], [123I], [125I], or [131I] 
into the same molecular probe, which binds strongly to any biological of 
interest. We have demonstrated proof of principle by way of a variety of 
studies, including in vivo visualisation of melanoma tumors"&amp;" in xenograft 
mice.")</f>
        <v>BioPercept’s technology presents a novel and unique approach, which enables 
rapid, general, and simple radiolabeling, and subsequent visualisation, of 
biopharmaceuticals. Our concept allows incorporation of any isotope, e. g. 
[2H], [3H], [13C], [14C], [18F], [19F], [11C], [123I], [125I], or [131I] 
into the same molecular probe, which binds strongly to any biological of 
interest. We have demonstrated proof of principle by way of a variety of 
studies, including in vivo visualisation of melanoma tumors in xenograft 
mice.</v>
      </c>
    </row>
    <row r="103">
      <c r="A103" s="6" t="str">
        <f>IFERROR(__xludf.DUMMYFUNCTION("""COMPUTED_VALUE"""),"Biofortuna Ltd")</f>
        <v>Biofortuna Ltd</v>
      </c>
      <c r="B103" s="6" t="str">
        <f>IFERROR(__xludf.DUMMYFUNCTION("""COMPUTED_VALUE""")," 2 Tenth Avenue, Deeside Industrial Park, Deeside, CH5 2UA ")</f>
        <v> 2 Tenth Avenue, Deeside Industrial Park, Deeside, CH5 2UA </v>
      </c>
      <c r="C103" s="6" t="str">
        <f>IFERROR(__xludf.DUMMYFUNCTION("""COMPUTED_VALUE""")," 0151 334 0182 ")</f>
        <v> 0151 334 0182 </v>
      </c>
      <c r="D103" s="7" t="str">
        <f>IFERROR(__xludf.DUMMYFUNCTION("""COMPUTED_VALUE""")," http://www.biofortuna.com ")</f>
        <v> http://www.biofortuna.com </v>
      </c>
      <c r="E103" s="6" t="str">
        <f>IFERROR(__xludf.DUMMYFUNCTION("""COMPUTED_VALUE"""),"BioPharma Dynamics is a market-leading single-use solutions provider for 
the Life Sciences &amp; Pharmaceutical industry, with ISO 9001 &amp; 14001 
accreditations. Committed to providing the most cost-effective solution for 
customers, using the latest single-u"&amp;"se products, from the most innovative 
manufacturers in the marketplace. With knowledge and experience, BioPharma 
Dynamics offer an extensive product range of bioprocess solutions. From 
market-leading hose and tubing, transfer sets, bags, fittings, bott"&amp;"les and 
connectors, through to filtration, pumps and chillers. Creating a bespoke 
solution that fully satisfies your process requirements. Whilst continually 
delivering first-rate customer service, support and advice.")</f>
        <v>BioPharma Dynamics is a market-leading single-use solutions provider for 
the Life Sciences &amp; Pharmaceutical industry, with ISO 9001 &amp; 14001 
accreditations. Committed to providing the most cost-effective solution for 
customers, using the latest single-use products, from the most innovative 
manufacturers in the marketplace. With knowledge and experience, BioPharma 
Dynamics offer an extensive product range of bioprocess solutions. From 
market-leading hose and tubing, transfer sets, bags, fittings, bottles and 
connectors, through to filtration, pumps and chillers. Creating a bespoke 
solution that fully satisfies your process requirements. Whilst continually 
delivering first-rate customer service, support and advice.</v>
      </c>
    </row>
    <row r="104">
      <c r="A104" s="6" t="str">
        <f>IFERROR(__xludf.DUMMYFUNCTION("""COMPUTED_VALUE"""),"BioGrad")</f>
        <v>BioGrad</v>
      </c>
      <c r="B104" s="6" t="str">
        <f>IFERROR(__xludf.DUMMYFUNCTION("""COMPUTED_VALUE""")," 61 Stephenson Way, Wavertree Technology Park, Liverpool, L13 1HN ")</f>
        <v> 61 Stephenson Way, Wavertree Technology Park, Liverpool, L13 1HN </v>
      </c>
      <c r="C104" s="6">
        <f>IFERROR(__xludf.DUMMYFUNCTION("""COMPUTED_VALUE"""),3.455651725E9)</f>
        <v>3455651725</v>
      </c>
      <c r="D104" s="7" t="str">
        <f>IFERROR(__xludf.DUMMYFUNCTION("""COMPUTED_VALUE""")," https://www.biograd.co.uk/ ")</f>
        <v> https://www.biograd.co.uk/ </v>
      </c>
      <c r="E104" s="6" t="str">
        <f>IFERROR(__xludf.DUMMYFUNCTION("""COMPUTED_VALUE"""),"Custom Peptide &amp; Antibody Production, Catalogue research peptides and 
antibodies (DISCOVERY)")</f>
        <v>Custom Peptide &amp; Antibody Production, Catalogue research peptides and 
antibodies (DISCOVERY)</v>
      </c>
    </row>
    <row r="105">
      <c r="A105" s="6" t="str">
        <f>IFERROR(__xludf.DUMMYFUNCTION("""COMPUTED_VALUE"""),"Biomatics")</f>
        <v>Biomatics</v>
      </c>
      <c r="B105" s="6" t="str">
        <f>IFERROR(__xludf.DUMMYFUNCTION("""COMPUTED_VALUE""")," The Point, Newland House, Weaver Road, Lincoln, Lincolnshire, LN6 3QN ")</f>
        <v> The Point, Newland House, Weaver Road, Lincoln, Lincolnshire, LN6 3QN </v>
      </c>
      <c r="C105" s="6" t="str">
        <f>IFERROR(__xludf.DUMMYFUNCTION("""COMPUTED_VALUE""")," 07519 609 843 ")</f>
        <v> 07519 609 843 </v>
      </c>
      <c r="D105" s="7" t="str">
        <f>IFERROR(__xludf.DUMMYFUNCTION("""COMPUTED_VALUE""")," https://biomatics.co.uk ")</f>
        <v> https://biomatics.co.uk </v>
      </c>
      <c r="E105" s="6" t="str">
        <f>IFERROR(__xludf.DUMMYFUNCTION("""COMPUTED_VALUE"""),"BioTryp Therapeutics, a University of Cambridge spin-out company, is 
developing novel therapies to treat infections. BioTryp's novel class of 
small molecules inhibit bacterial biofilms, nipping an infection in the 
bud. Biofilms are communities of patho"&amp;"gens enclosed in a protective matrix. 
Biofilms are linked with treatment failure and repeated infections. By 
targeting bacteria’s key defence mechanism, BioTryp’s technology has the 
potential to revolutionise how we treat infection, providing a much ne"&amp;"eded 
alternative to traditional antibiotic treatments.")</f>
        <v>BioTryp Therapeutics, a University of Cambridge spin-out company, is 
developing novel therapies to treat infections. BioTryp's novel class of 
small molecules inhibit bacterial biofilms, nipping an infection in the 
bud. Biofilms are communities of pathogens enclosed in a protective matrix. 
Biofilms are linked with treatment failure and repeated infections. By 
targeting bacteria’s key defence mechanism, BioTryp’s technology has the 
potential to revolutionise how we treat infection, providing a much needed 
alternative to traditional antibiotic treatments.</v>
      </c>
    </row>
    <row r="106">
      <c r="A106" s="6" t="str">
        <f>IFERROR(__xludf.DUMMYFUNCTION("""COMPUTED_VALUE"""),"BioPercept")</f>
        <v>BioPercept</v>
      </c>
      <c r="B106" s="6" t="str">
        <f>IFERROR(__xludf.DUMMYFUNCTION("""COMPUTED_VALUE""")," 5e, Barnfield Way, Millennium City Park, Preston, PR2 5DB ")</f>
        <v> 5e, Barnfield Way, Millennium City Park, Preston, PR2 5DB </v>
      </c>
      <c r="C106" s="6" t="str">
        <f>IFERROR(__xludf.DUMMYFUNCTION("""COMPUTED_VALUE""")," 01344 466 919 ")</f>
        <v> 01344 466 919 </v>
      </c>
      <c r="D106" s="7" t="str">
        <f>IFERROR(__xludf.DUMMYFUNCTION("""COMPUTED_VALUE""")," http://www.biopercept.com ")</f>
        <v> http://www.biopercept.com </v>
      </c>
      <c r="E106" s="6" t="str">
        <f>IFERROR(__xludf.DUMMYFUNCTION("""COMPUTED_VALUE"""),"Blueberry is a modern, innovation driven, drug discovery and development 
company committed to the development of innovative therapies to treat 
diseases where infection and/or inflammation are major factors. We employ 
cutting-edge nanopolymer drug deliv"&amp;"ery technology, which enables us to 
exploit both small molecule and biologic approaches in developing 
treatments. Our portfolio includes a number of different programmes in the 
areas of infection and inflammation where there is a high unmet medical 
ne"&amp;"ed.")</f>
        <v>Blueberry is a modern, innovation driven, drug discovery and development 
company committed to the development of innovative therapies to treat 
diseases where infection and/or inflammation are major factors. We employ 
cutting-edge nanopolymer drug delivery technology, which enables us to 
exploit both small molecule and biologic approaches in developing 
treatments. Our portfolio includes a number of different programmes in the 
areas of infection and inflammation where there is a high unmet medical 
need.</v>
      </c>
    </row>
    <row r="107">
      <c r="A107" s="6" t="str">
        <f>IFERROR(__xludf.DUMMYFUNCTION("""COMPUTED_VALUE"""),"BioPharma Dynamics")</f>
        <v>BioPharma Dynamics</v>
      </c>
      <c r="B107" s="6" t="str">
        <f>IFERROR(__xludf.DUMMYFUNCTION("""COMPUTED_VALUE""")," Unit 540, Entrance 6, Metroplex Business Park,, Broadway, Salford, M50 2UE ")</f>
        <v> Unit 540, Entrance 6, Metroplex Business Park,, Broadway, Salford, M50 2UE </v>
      </c>
      <c r="C107" s="6" t="str">
        <f>IFERROR(__xludf.DUMMYFUNCTION("""COMPUTED_VALUE""")," 01235 750690 ")</f>
        <v> 01235 750690 </v>
      </c>
      <c r="D107" s="7" t="str">
        <f>IFERROR(__xludf.DUMMYFUNCTION("""COMPUTED_VALUE""")," https://www.biopharmadynamics.co.uk ")</f>
        <v> https://www.biopharmadynamics.co.uk </v>
      </c>
      <c r="E107" s="6" t="str">
        <f>IFERROR(__xludf.DUMMYFUNCTION("""COMPUTED_VALUE"""),"We are an award winning law firm specialising in the life sciences from 
biotech to medical devices. We work with businesses of all sizes from start 
up to multinational.")</f>
        <v>We are an award winning law firm specialising in the life sciences from 
biotech to medical devices. We work with businesses of all sizes from start 
up to multinational.</v>
      </c>
    </row>
    <row r="108">
      <c r="A108" s="6" t="str">
        <f>IFERROR(__xludf.DUMMYFUNCTION("""COMPUTED_VALUE"""),"Biosynth Laboratories Limited (formerly Cambridge Research Biochemicals)")</f>
        <v>Biosynth Laboratories Limited (formerly Cambridge Research Biochemicals)</v>
      </c>
      <c r="B108" s="6" t="str">
        <f>IFERROR(__xludf.DUMMYFUNCTION("""COMPUTED_VALUE""")," 17-18 Belasis Court, Belasis Hall Technology Park, Billingham, Cleveland, 
TS23 4AZ ")</f>
        <v> 17-18 Belasis Court, Belasis Hall Technology Park, Billingham, Cleveland, 
TS23 4AZ </v>
      </c>
      <c r="C108" s="6" t="str">
        <f>IFERROR(__xludf.DUMMYFUNCTION("""COMPUTED_VALUE""")," 01642 567 180 ")</f>
        <v> 01642 567 180 </v>
      </c>
      <c r="D108" s="7" t="str">
        <f>IFERROR(__xludf.DUMMYFUNCTION("""COMPUTED_VALUE""")," http://www.crbdiscovery.com ")</f>
        <v> http://www.crbdiscovery.com </v>
      </c>
      <c r="E108" s="6" t="str">
        <f>IFERROR(__xludf.DUMMYFUNCTION("""COMPUTED_VALUE"""),"BoobyBiome are developing Live Biotherapeutics containing a diverse array 
of beneficial bacteria derived from the breast milk microbiome. The 
therapies will be administered to infants with compromised microbiomes, 
particularly premature infants, to hel"&amp;"p support gut health and build a 
healthy immune system. As a recently established start up, we're eager to 
hear from you. Whether you want to collaborate, share ideas or simply say 
'hello!'​ please don't hesitate to get in touch with us.")</f>
        <v>BoobyBiome are developing Live Biotherapeutics containing a diverse array 
of beneficial bacteria derived from the breast milk microbiome. The 
therapies will be administered to infants with compromised microbiomes, 
particularly premature infants, to help support gut health and build a 
healthy immune system. As a recently established start up, we're eager to 
hear from you. Whether you want to collaborate, share ideas or simply say 
'hello!'​ please don't hesitate to get in touch with us.</v>
      </c>
    </row>
    <row r="109">
      <c r="A109" s="6" t="str">
        <f>IFERROR(__xludf.DUMMYFUNCTION("""COMPUTED_VALUE"""),"BioTryp Therapeutics")</f>
        <v>BioTryp Therapeutics</v>
      </c>
      <c r="B109" s="6" t="str">
        <f>IFERROR(__xludf.DUMMYFUNCTION("""COMPUTED_VALUE""")," Department of Genetics, University of Cambridge, Downing Site, Downing 
Street, Cambridge, CB2 3EH ")</f>
        <v> Department of Genetics, University of Cambridge, Downing Site, Downing 
Street, Cambridge, CB2 3EH </v>
      </c>
      <c r="C109" s="6" t="str">
        <f>IFERROR(__xludf.DUMMYFUNCTION("""COMPUTED_VALUE""")," 01223 333932 ")</f>
        <v> 01223 333932 </v>
      </c>
      <c r="D109" s="7" t="str">
        <f>IFERROR(__xludf.DUMMYFUNCTION("""COMPUTED_VALUE""")," http://biotryp.com ")</f>
        <v> http://biotryp.com </v>
      </c>
      <c r="E109" s="6" t="str">
        <f>IFERROR(__xludf.DUMMYFUNCTION("""COMPUTED_VALUE"""),"Boyd Consultants Ltd provides consultancy services in relation to research 
and development projects for pharmaceutical and biotechnology products and 
medical devices: •Product Research and Development Strategy, Planning and 
Execution •Product Manufactu"&amp;"rer Selection and Placement •Pre-Clinical Study 
Design and Placement •Clinical Product Development •Regulatory Strategy 
•Regulatory Submissions including Orphan Drug Application, CTA’s, IND’s 
MAA/NDA Applications, including Clinical Expert Reports and "&amp;"Overview 
•Product commercialization activities including Medical Affairs Support 
•SME Applications •Due Diligence Evaluations")</f>
        <v>Boyd Consultants Ltd provides consultancy services in relation to research 
and development projects for pharmaceutical and biotechnology products and 
medical devices: •Product Research and Development Strategy, Planning and 
Execution •Product Manufacturer Selection and Placement •Pre-Clinical Study 
Design and Placement •Clinical Product Development •Regulatory Strategy 
•Regulatory Submissions including Orphan Drug Application, CTA’s, IND’s 
MAA/NDA Applications, including Clinical Expert Reports and Overview 
•Product commercialization activities including Medical Affairs Support 
•SME Applications •Due Diligence Evaluations</v>
      </c>
    </row>
    <row r="110">
      <c r="A110" s="6" t="str">
        <f>IFERROR(__xludf.DUMMYFUNCTION("""COMPUTED_VALUE"""),"Blueberry Therapeutics Ltd")</f>
        <v>Blueberry Therapeutics Ltd</v>
      </c>
      <c r="B110" s="6" t="str">
        <f>IFERROR(__xludf.DUMMYFUNCTION("""COMPUTED_VALUE""")," Alderley Park, Macclesfield, SK10 4TG ")</f>
        <v> Alderley Park, Macclesfield, SK10 4TG </v>
      </c>
      <c r="C110" s="6" t="str">
        <f>IFERROR(__xludf.DUMMYFUNCTION("""COMPUTED_VALUE""")," 01625 238 781 ")</f>
        <v> 01625 238 781 </v>
      </c>
      <c r="D110" s="7" t="str">
        <f>IFERROR(__xludf.DUMMYFUNCTION("""COMPUTED_VALUE""")," http://www.blueberrytherapeutics.com ")</f>
        <v> http://www.blueberrytherapeutics.com </v>
      </c>
      <c r="E110" s="6" t="str">
        <f>IFERROR(__xludf.DUMMYFUNCTION("""COMPUTED_VALUE"""),"We specialise in enabling public and third sector organisations and private 
individuals to achieve their goals. We provide a full service legal 
offering to large and mid-sized businesses, SMEs, public sector bodies, 
charities, business owners, entrepre"&amp;"neurs and high-net worth individuals.")</f>
        <v>We specialise in enabling public and third sector organisations and private 
individuals to achieve their goals. We provide a full service legal 
offering to large and mid-sized businesses, SMEs, public sector bodies, 
charities, business owners, entrepreneurs and high-net worth individuals.</v>
      </c>
    </row>
    <row r="111">
      <c r="A111" s="6" t="str">
        <f>IFERROR(__xludf.DUMMYFUNCTION("""COMPUTED_VALUE"""),"Bob Redfern")</f>
        <v>Bob Redfern</v>
      </c>
      <c r="B111" s="6" t="str">
        <f>IFERROR(__xludf.DUMMYFUNCTION("""COMPUTED_VALUE""")," Bob Redfern, 43 Malvern Drive, Stokesley, Middlesbrough, TS9 5NS ")</f>
        <v> Bob Redfern, 43 Malvern Drive, Stokesley, Middlesbrough, TS9 5NS </v>
      </c>
      <c r="C111" s="6" t="str">
        <f>IFERROR(__xludf.DUMMYFUNCTION("""COMPUTED_VALUE""")," 07591 575935 ")</f>
        <v> 07591 575935 </v>
      </c>
      <c r="D111" s="7" t="str">
        <f>IFERROR(__xludf.DUMMYFUNCTION("""COMPUTED_VALUE""")," http://bobredfern45.com ")</f>
        <v> http://bobredfern45.com </v>
      </c>
      <c r="E111" s="6" t="str">
        <f>IFERROR(__xludf.DUMMYFUNCTION("""COMPUTED_VALUE"""),"BSI enables people and organizations to perform better. We share knowledge, 
innovation and best practice to make excellence a habit – all over the 
world, every day.")</f>
        <v>BSI enables people and organizations to perform better. We share knowledge, 
innovation and best practice to make excellence a habit – all over the 
world, every day.</v>
      </c>
    </row>
    <row r="112">
      <c r="A112" s="6" t="str">
        <f>IFERROR(__xludf.DUMMYFUNCTION("""COMPUTED_VALUE"""),"Bonaccord")</f>
        <v>Bonaccord</v>
      </c>
      <c r="B112" s="6" t="str">
        <f>IFERROR(__xludf.DUMMYFUNCTION("""COMPUTED_VALUE""")," NetPark, Thomas Wright Way, Sedgefield, TS21 3FD ")</f>
        <v> NetPark, Thomas Wright Way, Sedgefield, TS21 3FD </v>
      </c>
      <c r="C112" s="6" t="str">
        <f>IFERROR(__xludf.DUMMYFUNCTION("""COMPUTED_VALUE""")," 0131 202 6527 ")</f>
        <v> 0131 202 6527 </v>
      </c>
      <c r="D112" s="7" t="str">
        <f>IFERROR(__xludf.DUMMYFUNCTION("""COMPUTED_VALUE""")," http://www.bonaccord.law ")</f>
        <v> http://www.bonaccord.law </v>
      </c>
      <c r="E112" s="6" t="str">
        <f>IFERROR(__xludf.DUMMYFUNCTION("""COMPUTED_VALUE"""),"Mosquito bites carry the risk of deadly diseases such as malaria, dengue, 
and yellow fever, which continue to claim over 700,000 lives each year. 
Repellents are crucial in providing personal protection against 
outdoor-biting mosquitoes such as Aedes ae"&amp;"gypti, which spread dengue. 
However, the current repellents available in the market are not very 
effective. BugBiome aims to offer a revolutionary solution to the age-old 
problem of mosquito bites. Our cutting-edge repellent technology is based 
on nat"&amp;"ural bacteria that repel mosquitoes.")</f>
        <v>Mosquito bites carry the risk of deadly diseases such as malaria, dengue, 
and yellow fever, which continue to claim over 700,000 lives each year. 
Repellents are crucial in providing personal protection against 
outdoor-biting mosquitoes such as Aedes aegypti, which spread dengue. 
However, the current repellents available in the market are not very 
effective. BugBiome aims to offer a revolutionary solution to the age-old 
problem of mosquito bites. Our cutting-edge repellent technology is based 
on natural bacteria that repel mosquitoes.</v>
      </c>
    </row>
    <row r="113">
      <c r="A113" s="6" t="str">
        <f>IFERROR(__xludf.DUMMYFUNCTION("""COMPUTED_VALUE"""),"Boobybiome")</f>
        <v>Boobybiome</v>
      </c>
      <c r="B113" s="6" t="str">
        <f>IFERROR(__xludf.DUMMYFUNCTION("""COMPUTED_VALUE""")," Portland Rise, London, N4 2PT ")</f>
        <v> Portland Rise, London, N4 2PT </v>
      </c>
      <c r="C113" s="6">
        <f>IFERROR(__xludf.DUMMYFUNCTION("""COMPUTED_VALUE"""),20.0)</f>
        <v>20</v>
      </c>
      <c r="D113" s="7" t="str">
        <f>IFERROR(__xludf.DUMMYFUNCTION("""COMPUTED_VALUE""")," https://www.boobybiome.com/ ")</f>
        <v> https://www.boobybiome.com/ </v>
      </c>
      <c r="E113" s="6" t="str">
        <f>IFERROR(__xludf.DUMMYFUNCTION("""COMPUTED_VALUE"""),"Our expert team maximises customer &amp; consumer insights to identify, 
develop, formulate and commercialise cutting edge antimicrobial 
technologies delivered in direct sales to industry and in long-term 
licensing partnerships across consumer and professio"&amp;"nal markets.")</f>
        <v>Our expert team maximises customer &amp; consumer insights to identify, 
develop, formulate and commercialise cutting edge antimicrobial 
technologies delivered in direct sales to industry and in long-term 
licensing partnerships across consumer and professional markets.</v>
      </c>
    </row>
    <row r="114">
      <c r="A114" s="6" t="str">
        <f>IFERROR(__xludf.DUMMYFUNCTION("""COMPUTED_VALUE"""),"Boyds")</f>
        <v>Boyds</v>
      </c>
      <c r="B114" s="6" t="str">
        <f>IFERROR(__xludf.DUMMYFUNCTION("""COMPUTED_VALUE""")," Electra House, Crewe Business Park, Crewe, CW1 6GL ")</f>
        <v> Electra House, Crewe Business Park, Crewe, CW1 6GL </v>
      </c>
      <c r="C114" s="6" t="str">
        <f>IFERROR(__xludf.DUMMYFUNCTION("""COMPUTED_VALUE""")," 01270 270 010 ")</f>
        <v> 01270 270 010 </v>
      </c>
      <c r="D114" s="7" t="str">
        <f>IFERROR(__xludf.DUMMYFUNCTION("""COMPUTED_VALUE""")," http://www.boydconsultants.com ")</f>
        <v> http://www.boydconsultants.com </v>
      </c>
      <c r="E114" s="6" t="str">
        <f>IFERROR(__xludf.DUMMYFUNCTION("""COMPUTED_VALUE"""),"C&amp;C Insurance Brokers Ltd are a large independent insurance intermediary 
with direct access to the world's leading Life Science underwriters. We 
recognise that Biotech and Life Science companies require specialised 
insurance programmes covering areas s"&amp;"uch as human clinical trials, loss of 
R&amp;D investment and products liability. Our expert advice can assist you in 
identifying, planning for and managing the risks your business faces.")</f>
        <v>C&amp;C Insurance Brokers Ltd are a large independent insurance intermediary 
with direct access to the world's leading Life Science underwriters. We 
recognise that Biotech and Life Science companies require specialised 
insurance programmes covering areas such as human clinical trials, loss of 
R&amp;D investment and products liability. Our expert advice can assist you in 
identifying, planning for and managing the risks your business faces.</v>
      </c>
    </row>
    <row r="115">
      <c r="A115" s="6" t="str">
        <f>IFERROR(__xludf.DUMMYFUNCTION("""COMPUTED_VALUE"""),"Brabners")</f>
        <v>Brabners</v>
      </c>
      <c r="B115" s="6" t="str">
        <f>IFERROR(__xludf.DUMMYFUNCTION("""COMPUTED_VALUE""")," 100 Barbirolli Square, Manchester, M2 3BD ")</f>
        <v> 100 Barbirolli Square, Manchester, M2 3BD </v>
      </c>
      <c r="C115" s="6">
        <f>IFERROR(__xludf.DUMMYFUNCTION("""COMPUTED_VALUE"""),1.61836888E9)</f>
        <v>1618368880</v>
      </c>
      <c r="D115" s="7" t="str">
        <f>IFERROR(__xludf.DUMMYFUNCTION("""COMPUTED_VALUE""")," http://www.brabners.com ")</f>
        <v> http://www.brabners.com </v>
      </c>
      <c r="E115" s="6" t="str">
        <f>IFERROR(__xludf.DUMMYFUNCTION("""COMPUTED_VALUE"""),"C4X Discovery (AIM: C4XD) is focused on optimising small molecule drug 
design and development. Our proprietary NMR-based technology solves 3D 
structures for small molecules in solution, mapping the dynamic range that 
molecules prefer to adopt, and gene"&amp;"rating high-quality templates for 
rational drug design and optimisation. We generate data faster and more 
reliably than standard techniques such as X-ray co-crystallography or 
molecular modelling. Our conformational data can make a particularly high 
i"&amp;"mpact when protein crystallography is not routinely available, (eg for 
GPCRs and ion channels).Our platform is unique and our data is 
experimentally derived. We use the insights to drive development of our 
portfolio of proprietary programmes, including"&amp;" novel therapies to treat 
addiction, COPD and diabetes.We have collaborations with AstraZeneca, 
Takeda and Evotec. Our technology can also help identify and generate novel 
crystal polymorph forms, with applications in process chemistry for 
pharmaceuti"&amp;"cal scale up.")</f>
        <v>C4X Discovery (AIM: C4XD) is focused on optimising small molecule drug 
design and development. Our proprietary NMR-based technology solves 3D 
structures for small molecules in solution, mapping the dynamic range that 
molecules prefer to adopt, and generating high-quality templates for 
rational drug design and optimisation. We generate data faster and more 
reliably than standard techniques such as X-ray co-crystallography or 
molecular modelling. Our conformational data can make a particularly high 
impact when protein crystallography is not routinely available, (eg for 
GPCRs and ion channels).Our platform is unique and our data is 
experimentally derived. We use the insights to drive development of our 
portfolio of proprietary programmes, including novel therapies to treat 
addiction, COPD and diabetes.We have collaborations with AstraZeneca, 
Takeda and Evotec. Our technology can also help identify and generate novel 
crystal polymorph forms, with applications in process chemistry for 
pharmaceutical scale up.</v>
      </c>
    </row>
    <row r="116">
      <c r="A116" s="6" t="str">
        <f>IFERROR(__xludf.DUMMYFUNCTION("""COMPUTED_VALUE"""),"British Standards Institution")</f>
        <v>British Standards Institution</v>
      </c>
      <c r="B116" s="6" t="str">
        <f>IFERROR(__xludf.DUMMYFUNCTION("""COMPUTED_VALUE""")," 389 Chiswick High Road, London, United Kingdom, W4 4AL ")</f>
        <v> 389 Chiswick High Road, London, United Kingdom, W4 4AL </v>
      </c>
      <c r="C116" s="6" t="str">
        <f>IFERROR(__xludf.DUMMYFUNCTION("""COMPUTED_VALUE""")," +44 345 080 9000 ")</f>
        <v> +44 345 080 9000 </v>
      </c>
      <c r="D116" s="7" t="str">
        <f>IFERROR(__xludf.DUMMYFUNCTION("""COMPUTED_VALUE""")," https://www.bsigroup.com/en-GB/ ")</f>
        <v> https://www.bsigroup.com/en-GB/ </v>
      </c>
      <c r="E116" s="6" t="str">
        <f>IFERROR(__xludf.DUMMYFUNCTION("""COMPUTED_VALUE"""),"Cancer Research UK Manchester Institute is a leading cancer research 
Institute within The University of Manchester, and is supported by core 
funding from Cancer Research UK (CRUK), the largest independent cancer 
research organisation in the world. The "&amp;"Institute lies at the heart of the 
Manchester Cancer Research Centre, a partnership that brings together the 
expertise, vision and resources of its founding partners: The University of 
Manchester, The Christie NHS Foundation Trust and CRUK. The Institu"&amp;"te 
comprises over 300 scientists and support staff with teams working across 
the research spectrum, from programmes investigating the molecular and 
cellular basis of cancer, to those focused on translational research and 
the development of novel thera"&amp;"peutic approaches.")</f>
        <v>Cancer Research UK Manchester Institute is a leading cancer research 
Institute within The University of Manchester, and is supported by core 
funding from Cancer Research UK (CRUK), the largest independent cancer 
research organisation in the world. The Institute lies at the heart of the 
Manchester Cancer Research Centre, a partnership that brings together the 
expertise, vision and resources of its founding partners: The University of 
Manchester, The Christie NHS Foundation Trust and CRUK. The Institute 
comprises over 300 scientists and support staff with teams working across 
the research spectrum, from programmes investigating the molecular and 
cellular basis of cancer, to those focused on translational research and 
the development of novel therapeutic approaches.</v>
      </c>
    </row>
    <row r="117">
      <c r="A117" s="6" t="str">
        <f>IFERROR(__xludf.DUMMYFUNCTION("""COMPUTED_VALUE"""),"bugbiome")</f>
        <v>bugbiome</v>
      </c>
      <c r="B117" s="6" t="str">
        <f>IFERROR(__xludf.DUMMYFUNCTION("""COMPUTED_VALUE""")," 178 publow lane, woollard, Bristol, BANES, BS39 4HY ")</f>
        <v> 178 publow lane, woollard, Bristol, BANES, BS39 4HY </v>
      </c>
      <c r="C117" s="6">
        <f>IFERROR(__xludf.DUMMYFUNCTION("""COMPUTED_VALUE"""),7.759259449E9)</f>
        <v>7759259449</v>
      </c>
      <c r="D117" s="7" t="str">
        <f>IFERROR(__xludf.DUMMYFUNCTION("""COMPUTED_VALUE""")," https://www.bugbiome.com ")</f>
        <v> https://www.bugbiome.com </v>
      </c>
      <c r="E117" s="6" t="str">
        <f>IFERROR(__xludf.DUMMYFUNCTION("""COMPUTED_VALUE"""),"Canta CMC Solutions has over 25 years experience in the pharmaceutical and 
health care industries. With a combination of project management 
experience, knowledge of the Regulatory landscape and technical expertise, 
we have worked across a range of ther"&amp;"apy areas delivering high quality 
products and regulatory submissions leading to a number of successful 
approvals. Our aim is to understand your needs to allow us to work with you 
to define the correct drug development strategy for your new medicine.")</f>
        <v>Canta CMC Solutions has over 25 years experience in the pharmaceutical and 
health care industries. With a combination of project management 
experience, knowledge of the Regulatory landscape and technical expertise, 
we have worked across a range of therapy areas delivering high quality 
products and regulatory submissions leading to a number of successful 
approvals. Our aim is to understand your needs to allow us to work with you 
to define the correct drug development strategy for your new medicine.</v>
      </c>
    </row>
    <row r="118">
      <c r="A118" s="6" t="str">
        <f>IFERROR(__xludf.DUMMYFUNCTION("""COMPUTED_VALUE"""),"Byotrol plc")</f>
        <v>Byotrol plc</v>
      </c>
      <c r="B118" s="6" t="str">
        <f>IFERROR(__xludf.DUMMYFUNCTION("""COMPUTED_VALUE""")," Building 303 (Ashton), Thornton Science Park, Poole Lane, Ince, Chester, 
CH2 4NU ")</f>
        <v> Building 303 (Ashton), Thornton Science Park, Poole Lane, Ince, Chester, 
CH2 4NU </v>
      </c>
      <c r="C118" s="6" t="str">
        <f>IFERROR(__xludf.DUMMYFUNCTION("""COMPUTED_VALUE""")," 01925 742 000 ")</f>
        <v> 01925 742 000 </v>
      </c>
      <c r="D118" s="7" t="str">
        <f>IFERROR(__xludf.DUMMYFUNCTION("""COMPUTED_VALUE""")," http://www.byotrol.com ")</f>
        <v> http://www.byotrol.com </v>
      </c>
      <c r="E118" s="6" t="str">
        <f>IFERROR(__xludf.DUMMYFUNCTION("""COMPUTED_VALUE"""),"Carocell Bio are developing novel anti-inflammatory peptides, using 
nanoparticle delivery, to more safely treat inflammatory diseases.")</f>
        <v>Carocell Bio are developing novel anti-inflammatory peptides, using 
nanoparticle delivery, to more safely treat inflammatory diseases.</v>
      </c>
    </row>
    <row r="119">
      <c r="A119" s="6" t="str">
        <f>IFERROR(__xludf.DUMMYFUNCTION("""COMPUTED_VALUE"""),"C&amp;C Insurance Brokers Limited")</f>
        <v>C&amp;C Insurance Brokers Limited</v>
      </c>
      <c r="B119" s="6" t="str">
        <f>IFERROR(__xludf.DUMMYFUNCTION("""COMPUTED_VALUE""")," Bridge House, 80-82 Compstall Road, Romiley, Stockport - Cheshire, SK6 4DE ")</f>
        <v> Bridge House, 80-82 Compstall Road, Romiley, Stockport - Cheshire, SK6 4DE </v>
      </c>
      <c r="C119" s="6" t="str">
        <f>IFERROR(__xludf.DUMMYFUNCTION("""COMPUTED_VALUE""")," 0161 406 4800 ")</f>
        <v> 0161 406 4800 </v>
      </c>
      <c r="D119" s="7" t="str">
        <f>IFERROR(__xludf.DUMMYFUNCTION("""COMPUTED_VALUE""")," https://cc-insure.com/life-sciences-technology/ ")</f>
        <v> https://cc-insure.com/life-sciences-technology/ </v>
      </c>
      <c r="E119" s="6" t="str">
        <f>IFERROR(__xludf.DUMMYFUNCTION("""COMPUTED_VALUE"""),"Catalyst Clinical Research is a specialist UK-based Clinical Contract 
Research Organisation (CRO) with particular expertise in oncology, rare 
diseases and advanced, cell and gene therapies. We have decades of 
experience in delivering complex and innova"&amp;"tive trials, transforming 
potential into value. We are proud to be part of iMATCH, a Manchester-based 
consortium which is one of only three centres in the UK to be awarded 
funding by Innovate UK to coordinate scale-up of advanced therapies for a 
range"&amp;" of debilitating conditions. In partnering with life science 
companies, we can help transform the science of today into the valued 
therapies of tomorrow. We ensure early clinical development strategies are 
optimised and that Phase I/II studies are both"&amp;" innovatively designed and 
expertly delivered. Our innovative approach and readiness to go the ‘extra 
mile’ is what differentiates us to our clients.")</f>
        <v>Catalyst Clinical Research is a specialist UK-based Clinical Contract 
Research Organisation (CRO) with particular expertise in oncology, rare 
diseases and advanced, cell and gene therapies. We have decades of 
experience in delivering complex and innovative trials, transforming 
potential into value. We are proud to be part of iMATCH, a Manchester-based 
consortium which is one of only three centres in the UK to be awarded 
funding by Innovate UK to coordinate scale-up of advanced therapies for a 
range of debilitating conditions. In partnering with life science 
companies, we can help transform the science of today into the valued 
therapies of tomorrow. We ensure early clinical development strategies are 
optimised and that Phase I/II studies are both innovatively designed and 
expertly delivered. Our innovative approach and readiness to go the ‘extra 
mile’ is what differentiates us to our clients.</v>
      </c>
    </row>
    <row r="120">
      <c r="A120" s="6" t="str">
        <f>IFERROR(__xludf.DUMMYFUNCTION("""COMPUTED_VALUE"""),"C4X Discovery Ltd")</f>
        <v>C4X Discovery Ltd</v>
      </c>
      <c r="B120" s="6" t="str">
        <f>IFERROR(__xludf.DUMMYFUNCTION("""COMPUTED_VALUE""")," Manchester One, Portland Street, Manchester, M1 3LD ")</f>
        <v> Manchester One, Portland Street, Manchester, M1 3LD </v>
      </c>
      <c r="C120" s="6" t="str">
        <f>IFERROR(__xludf.DUMMYFUNCTION("""COMPUTED_VALUE""")," 07912 293 832 ")</f>
        <v> 07912 293 832 </v>
      </c>
      <c r="D120" s="7" t="str">
        <f>IFERROR(__xludf.DUMMYFUNCTION("""COMPUTED_VALUE""")," http://www.c4xdiscovery.com ")</f>
        <v> http://www.c4xdiscovery.com </v>
      </c>
      <c r="E120" s="6" t="str">
        <f>IFERROR(__xludf.DUMMYFUNCTION("""COMPUTED_VALUE"""),"Our technologies can be used for various cell types and applications, 
making it suitable for any companies active in the culturing of cells 
regardless of whether they are active in the field of cultured meat, cell 
therapy or biologics. The company has "&amp;"expertise in the design and 
bioactivity testing of peptide-based molecules for biotechnological 
applications. We have also developed a smart coating, demonstrating the 
concept of continuous cell manufacture.")</f>
        <v>Our technologies can be used for various cell types and applications, 
making it suitable for any companies active in the culturing of cells 
regardless of whether they are active in the field of cultured meat, cell 
therapy or biologics. The company has expertise in the design and 
bioactivity testing of peptide-based molecules for biotechnological 
applications. We have also developed a smart coating, demonstrating the 
concept of continuous cell manufacture.</v>
      </c>
    </row>
    <row r="121">
      <c r="A121" s="6" t="str">
        <f>IFERROR(__xludf.DUMMYFUNCTION("""COMPUTED_VALUE"""),"Cancer Research UK Manchester Institute")</f>
        <v>Cancer Research UK Manchester Institute</v>
      </c>
      <c r="B121" s="6" t="str">
        <f>IFERROR(__xludf.DUMMYFUNCTION("""COMPUTED_VALUE""")," The University of Manchester, Alderley Park, Alderley Edge, Macclesfield, 
Cheshire, SK10 4TG ")</f>
        <v> The University of Manchester, Alderley Park, Alderley Edge, Macclesfield, 
Cheshire, SK10 4TG </v>
      </c>
      <c r="C121" s="6">
        <f>IFERROR(__xludf.DUMMYFUNCTION("""COMPUTED_VALUE"""),1.613066091E9)</f>
        <v>1613066091</v>
      </c>
      <c r="D121" s="7" t="str">
        <f>IFERROR(__xludf.DUMMYFUNCTION("""COMPUTED_VALUE""")," https://www.cruk.manchester.ac.uk/ ")</f>
        <v> https://www.cruk.manchester.ac.uk/ </v>
      </c>
      <c r="E121" s="6" t="str">
        <f>IFERROR(__xludf.DUMMYFUNCTION("""COMPUTED_VALUE"""),"Centauri Therapeutics is a UK-based biotechnology company focused on the 
discovery and development of novel molecules targeting life threatening 
diseases.")</f>
        <v>Centauri Therapeutics is a UK-based biotechnology company focused on the 
discovery and development of novel molecules targeting life threatening 
diseases.</v>
      </c>
    </row>
    <row r="122">
      <c r="A122" s="6" t="str">
        <f>IFERROR(__xludf.DUMMYFUNCTION("""COMPUTED_VALUE"""),"Canta CMC Solutions Limited")</f>
        <v>Canta CMC Solutions Limited</v>
      </c>
      <c r="B122" s="6" t="str">
        <f>IFERROR(__xludf.DUMMYFUNCTION("""COMPUTED_VALUE""")," The Biohub at Alderley Park, Alderley Edge, Cheshire, SK10 4TG ")</f>
        <v> The Biohub at Alderley Park, Alderley Edge, Cheshire, SK10 4TG </v>
      </c>
      <c r="C122" s="6" t="str">
        <f>IFERROR(__xludf.DUMMYFUNCTION("""COMPUTED_VALUE""")," 07766 481907 ")</f>
        <v> 07766 481907 </v>
      </c>
      <c r="D122" s="7" t="str">
        <f>IFERROR(__xludf.DUMMYFUNCTION("""COMPUTED_VALUE""")," http://cantacmcsolutions.com/ ")</f>
        <v> http://cantacmcsolutions.com/ </v>
      </c>
      <c r="E122" s="6" t="str">
        <f>IFERROR(__xludf.DUMMYFUNCTION("""COMPUTED_VALUE"""),"The Centre for Process Innovation is a UK-based technology innovation 
centre and part of the High Value Manufacturing Catapult. We use applied 
knowledge in science and engineering combined with state of the art 
facilities to enable our clients to devel"&amp;"op, prove, prototype and scale up 
the next generation of products and processes.Our open innovation model 
enables clients to develop products and prove processes with minimal risk. 
We provide assets and expertise so our customers can demonstrate the 
p"&amp;"rocess and prove it is feasible before investing substantial amounts of 
money in capital equipment and training. New products and processes can be 
proven; on paper, in the lab and in the plant before being manufactured at 
an industrial scale.By utilisi"&amp;"ng our proven assets and expertise companies 
can take their products and processes to market faster. There is no down 
time in production as all of the process development is completed offsite 
and our technology transfer teams can help to transfer the p"&amp;"roduct or 
process into full scale production.")</f>
        <v>The Centre for Process Innovation is a UK-based technology innovation 
centre and part of the High Value Manufacturing Catapult. We use applied 
knowledge in science and engineering combined with state of the art 
facilities to enable our clients to develop, prove, prototype and scale up 
the next generation of products and processes.Our open innovation model 
enables clients to develop products and prove processes with minimal risk. 
We provide assets and expertise so our customers can demonstrate the 
process and prove it is feasible before investing substantial amounts of 
money in capital equipment and training. New products and processes can be 
proven; on paper, in the lab and in the plant before being manufactured at 
an industrial scale.By utilising our proven assets and expertise companies 
can take their products and processes to market faster. There is no down 
time in production as all of the process development is completed offsite 
and our technology transfer teams can help to transfer the product or 
process into full scale production.</v>
      </c>
    </row>
    <row r="123">
      <c r="A123" s="6" t="str">
        <f>IFERROR(__xludf.DUMMYFUNCTION("""COMPUTED_VALUE"""),"Carocell Bio Limited")</f>
        <v>Carocell Bio Limited</v>
      </c>
      <c r="B123" s="6" t="str">
        <f>IFERROR(__xludf.DUMMYFUNCTION("""COMPUTED_VALUE""")," Brooks Drive, Cheadle Royal Business Park, Cheadle, Greater Manchester, 
SK8 3TD ")</f>
        <v> Brooks Drive, Cheadle Royal Business Park, Cheadle, Greater Manchester, 
SK8 3TD </v>
      </c>
      <c r="C123" s="6" t="str">
        <f>IFERROR(__xludf.DUMMYFUNCTION("""COMPUTED_VALUE""")," 0161 818 2666 ")</f>
        <v> 0161 818 2666 </v>
      </c>
      <c r="D123" s="7" t="str">
        <f>IFERROR(__xludf.DUMMYFUNCTION("""COMPUTED_VALUE""")," http://www.carocellbio.com ")</f>
        <v> http://www.carocellbio.com </v>
      </c>
      <c r="E123" s="6" t="str">
        <f>IFERROR(__xludf.DUMMYFUNCTION("""COMPUTED_VALUE"""),"Ceratium work with businesses, academics and research organisations. We 
help our clients design research and innovation strategies, including 
preclinical and clinical development strategies. We manage and help to 
implement cutting edge science projects"&amp;". The team have expertise in 
sourcing European and National funding for research and innovation and 
provide expertise in project management and delivering real impact. 
Primarily this is through non-dilutive grant funding.")</f>
        <v>Ceratium work with businesses, academics and research organisations. We 
help our clients design research and innovation strategies, including 
preclinical and clinical development strategies. We manage and help to 
implement cutting edge science projects. The team have expertise in 
sourcing European and National funding for research and innovation and 
provide expertise in project management and delivering real impact. 
Primarily this is through non-dilutive grant funding.</v>
      </c>
    </row>
    <row r="124">
      <c r="A124" s="6" t="str">
        <f>IFERROR(__xludf.DUMMYFUNCTION("""COMPUTED_VALUE"""),"Catalyst Clinical Research")</f>
        <v>Catalyst Clinical Research</v>
      </c>
      <c r="B124" s="6" t="str">
        <f>IFERROR(__xludf.DUMMYFUNCTION("""COMPUTED_VALUE""")," Block 23, Mereside, Alderley Park, Alderley Edge, SK10 4TG ")</f>
        <v> Block 23, Mereside, Alderley Park, Alderley Edge, SK10 4TG </v>
      </c>
      <c r="C124" s="6" t="str">
        <f>IFERROR(__xludf.DUMMYFUNCTION("""COMPUTED_VALUE""")," 01625 238 662 ")</f>
        <v> 01625 238 662 </v>
      </c>
      <c r="D124" s="7" t="str">
        <f>IFERROR(__xludf.DUMMYFUNCTION("""COMPUTED_VALUE""")," http://catalystcr.com ")</f>
        <v> http://catalystcr.com </v>
      </c>
      <c r="E124" s="6" t="str">
        <f>IFERROR(__xludf.DUMMYFUNCTION("""COMPUTED_VALUE"""),"In April 2021, Charles River acquired Cognate BioServices, which included 
Cobra Biologics, a leading international contract development and 
manufacturing organization (CDMO) specializing in premium plasmid DNA and 
viral vector services to support the A"&amp;"dvanced Therapy Medicinal Products 
(ATMP) industry. Cobra and Cognate, alongside Vigene Biosciences, join 
Charles River to offer customers a single, trusted partner who has the 
insight and experience to take your cell and gene therapy products from 
be"&amp;"nch to bedside.")</f>
        <v>In April 2021, Charles River acquired Cognate BioServices, which included 
Cobra Biologics, a leading international contract development and 
manufacturing organization (CDMO) specializing in premium plasmid DNA and 
viral vector services to support the Advanced Therapy Medicinal Products 
(ATMP) industry. Cobra and Cognate, alongside Vigene Biosciences, join 
Charles River to offer customers a single, trusted partner who has the 
insight and experience to take your cell and gene therapy products from 
bench to bedside.</v>
      </c>
    </row>
    <row r="125">
      <c r="A125" s="6" t="str">
        <f>IFERROR(__xludf.DUMMYFUNCTION("""COMPUTED_VALUE"""),"CellRev")</f>
        <v>CellRev</v>
      </c>
      <c r="B125" s="6" t="str">
        <f>IFERROR(__xludf.DUMMYFUNCTION("""COMPUTED_VALUE""")," Draymans Way, Newcastle Helix, NEWCASTLE UPON TYNE, Newcastle Upon Tyne, 
Northumberland, NE4 5BX ")</f>
        <v> Draymans Way, Newcastle Helix, NEWCASTLE UPON TYNE, Newcastle Upon Tyne, 
Northumberland, NE4 5BX </v>
      </c>
      <c r="C125" s="6" t="str">
        <f>IFERROR(__xludf.DUMMYFUNCTION("""COMPUTED_VALUE""")," 0191 5806150 ")</f>
        <v> 0191 5806150 </v>
      </c>
      <c r="D125" s="7" t="str">
        <f>IFERROR(__xludf.DUMMYFUNCTION("""COMPUTED_VALUE""")," https://www.cellularevolution.co.uk/ ")</f>
        <v> https://www.cellularevolution.co.uk/ </v>
      </c>
      <c r="E125" s="6" t="str">
        <f>IFERROR(__xludf.DUMMYFUNCTION("""COMPUTED_VALUE"""),"Chiesi Ltd is the UK Affiliate of Chiesi group. Chiesi is a global family 
owned pharmaceutical company active in Respiratory, Special Care and Rare 
disease.")</f>
        <v>Chiesi Ltd is the UK Affiliate of Chiesi group. Chiesi is a global family 
owned pharmaceutical company active in Respiratory, Special Care and Rare 
disease.</v>
      </c>
    </row>
    <row r="126">
      <c r="A126" s="6" t="str">
        <f>IFERROR(__xludf.DUMMYFUNCTION("""COMPUTED_VALUE"""),"Centauri Therapeutics Limited")</f>
        <v>Centauri Therapeutics Limited</v>
      </c>
      <c r="B126" s="6" t="str">
        <f>IFERROR(__xludf.DUMMYFUNCTION("""COMPUTED_VALUE""")," First Floor, Thavies Inn House, 3-4 Holborn Circus, London, EC1N 2HA ")</f>
        <v> First Floor, Thavies Inn House, 3-4 Holborn Circus, London, EC1N 2HA </v>
      </c>
      <c r="C126" s="6">
        <f>IFERROR(__xludf.DUMMYFUNCTION("""COMPUTED_VALUE"""),7.930629091E9)</f>
        <v>7930629091</v>
      </c>
      <c r="D126" s="7" t="str">
        <f>IFERROR(__xludf.DUMMYFUNCTION("""COMPUTED_VALUE""")," http://www.centauritherapeutics.com/ ")</f>
        <v> http://www.centauritherapeutics.com/ </v>
      </c>
      <c r="E126" s="6" t="str">
        <f>IFERROR(__xludf.DUMMYFUNCTION("""COMPUTED_VALUE"""),"Consultant")</f>
        <v>Consultant</v>
      </c>
    </row>
    <row r="127">
      <c r="A127" s="6" t="str">
        <f>IFERROR(__xludf.DUMMYFUNCTION("""COMPUTED_VALUE"""),"Centre For Process Innovation Ltd (CPI)")</f>
        <v>Centre For Process Innovation Ltd (CPI)</v>
      </c>
      <c r="B127" s="6" t="str">
        <f>IFERROR(__xludf.DUMMYFUNCTION("""COMPUTED_VALUE""")," CPI, Wilton Centre, Redcar, TS10 4RF ")</f>
        <v> CPI, Wilton Centre, Redcar, TS10 4RF </v>
      </c>
      <c r="C127" s="6" t="str">
        <f>IFERROR(__xludf.DUMMYFUNCTION("""COMPUTED_VALUE""")," 01642 442 481 ")</f>
        <v> 01642 442 481 </v>
      </c>
      <c r="D127" s="7" t="str">
        <f>IFERROR(__xludf.DUMMYFUNCTION("""COMPUTED_VALUE""")," http://www.uk-cpi.com/ ")</f>
        <v> http://www.uk-cpi.com/ </v>
      </c>
      <c r="E127" s="6" t="str">
        <f>IFERROR(__xludf.DUMMYFUNCTION("""COMPUTED_VALUE"""),"CINETIQUE Translations helps its customers develop their relationships and 
presence in overseas markets by offering practical and professional 
language services: translation, interpreting, website localisation, market 
research, transcription and projec"&amp;"t management. We follow a rigorous 
process of collaboration, communication, verification, evaluation and 
feedback regardless of the size of your project. All our linguistic 
services are quality controlled and performed by qualified medical 
translators"&amp;"/writers/editors and bilingual clinical professionals based in 
your target country. We translate: protocols, patient information and ICFs, 
patient questionnaires, MAAs, conference presentations, academic 
manuscripts, CE marked documentation, manuals fo"&amp;"r clinical instrumentation, 
tender documents and marketing collaterals.")</f>
        <v>CINETIQUE Translations helps its customers develop their relationships and 
presence in overseas markets by offering practical and professional 
language services: translation, interpreting, website localisation, market 
research, transcription and project management. We follow a rigorous 
process of collaboration, communication, verification, evaluation and 
feedback regardless of the size of your project. All our linguistic 
services are quality controlled and performed by qualified medical 
translators/writers/editors and bilingual clinical professionals based in 
your target country. We translate: protocols, patient information and ICFs, 
patient questionnaires, MAAs, conference presentations, academic 
manuscripts, CE marked documentation, manuals for clinical instrumentation, 
tender documents and marketing collaterals.</v>
      </c>
    </row>
    <row r="128">
      <c r="A128" s="6" t="str">
        <f>IFERROR(__xludf.DUMMYFUNCTION("""COMPUTED_VALUE"""),"Ceratium Limited")</f>
        <v>Ceratium Limited</v>
      </c>
      <c r="B128" s="6" t="str">
        <f>IFERROR(__xludf.DUMMYFUNCTION("""COMPUTED_VALUE""")," The Haven, 20 Burlingham Avenue, Wirral, CH488AP ")</f>
        <v> The Haven, 20 Burlingham Avenue, Wirral, CH488AP </v>
      </c>
      <c r="C128" s="6">
        <f>IFERROR(__xludf.DUMMYFUNCTION("""COMPUTED_VALUE"""),7.503969795E9)</f>
        <v>7503969795</v>
      </c>
      <c r="D128" s="7" t="str">
        <f>IFERROR(__xludf.DUMMYFUNCTION("""COMPUTED_VALUE""")," https://www.ceratium.eu/ ")</f>
        <v> https://www.ceratium.eu/ </v>
      </c>
      <c r="E128" s="6" t="str">
        <f>IFERROR(__xludf.DUMMYFUNCTION("""COMPUTED_VALUE"""),"We are specialists in scientific, clinical and technical recruitment. We 
are a successful and award-winning recruitment business that has grown to 
become the dominant force in scientific, clinical and technical recruitment 
- we can give you access to t"&amp;"he best roles in the UK, Europe and USA. We 
have forged strong partnerships with the world’s most innovative and 
prosperous companies, from small independent businesses to globally 
renowned blue-chip organisations, and CMOs to analytical laboratories. "&amp;"We 
have taken part in some fantastic projects such as the world’s first 
real-world evidence study, the Salford Lung Study with GSK, and currently, 
the world’s largest trial of the pioneering early-detection Galleri cancer 
blood test. With a history of"&amp;" working with fantastic companies and talented 
people, we will be able to help you find the job you always dreamed of!")</f>
        <v>We are specialists in scientific, clinical and technical recruitment. We 
are a successful and award-winning recruitment business that has grown to 
become the dominant force in scientific, clinical and technical recruitment 
- we can give you access to the best roles in the UK, Europe and USA. We 
have forged strong partnerships with the world’s most innovative and 
prosperous companies, from small independent businesses to globally 
renowned blue-chip organisations, and CMOs to analytical laboratories. We 
have taken part in some fantastic projects such as the world’s first 
real-world evidence study, the Salford Lung Study with GSK, and currently, 
the world’s largest trial of the pioneering early-detection Galleri cancer 
blood test. With a history of working with fantastic companies and talented 
people, we will be able to help you find the job you always dreamed of!</v>
      </c>
    </row>
    <row r="129">
      <c r="A129" s="6" t="str">
        <f>IFERROR(__xludf.DUMMYFUNCTION("""COMPUTED_VALUE"""),"Charles River Discovery Research Services UK Ltd")</f>
        <v>Charles River Discovery Research Services UK Ltd</v>
      </c>
      <c r="B129" s="6" t="str">
        <f>IFERROR(__xludf.DUMMYFUNCTION("""COMPUTED_VALUE""")," Charles River (Prev. Cobra Biologics), Stephenson Building, Keele Science 
Park, Newcastle under Lyme, Staffordshire, ST5 5SP ")</f>
        <v> Charles River (Prev. Cobra Biologics), Stephenson Building, Keele Science 
Park, Newcastle under Lyme, Staffordshire, ST5 5SP </v>
      </c>
      <c r="C129" s="6" t="str">
        <f>IFERROR(__xludf.DUMMYFUNCTION("""COMPUTED_VALUE""")," 01782 714 181 ")</f>
        <v> 01782 714 181 </v>
      </c>
      <c r="D129" s="7" t="str">
        <f>IFERROR(__xludf.DUMMYFUNCTION("""COMPUTED_VALUE""")," https://www.criver.com/cobra-biologics-now-part-charles-river ")</f>
        <v> https://www.criver.com/cobra-biologics-now-part-charles-river </v>
      </c>
      <c r="E129" s="6" t="str">
        <f>IFERROR(__xludf.DUMMYFUNCTION("""COMPUTED_VALUE"""),"Concept Life Sciences, the integrated drug discovery, development and 
analytical services and environmental consultancy company is a 
knowledge-based, science-led business providing a wide range of innovative 
and integrated solutions to clients in the p"&amp;"harmaceutical, biotechnology, 
food, environmental, agrochemical, petrochemical, chemical and consumer 
products sectors. We also work closely with academic groups.")</f>
        <v>Concept Life Sciences, the integrated drug discovery, development and 
analytical services and environmental consultancy company is a 
knowledge-based, science-led business providing a wide range of innovative 
and integrated solutions to clients in the pharmaceutical, biotechnology, 
food, environmental, agrochemical, petrochemical, chemical and consumer 
products sectors. We also work closely with academic groups.</v>
      </c>
    </row>
    <row r="130">
      <c r="A130" s="6" t="str">
        <f>IFERROR(__xludf.DUMMYFUNCTION("""COMPUTED_VALUE"""),"Chiesi Ltd")</f>
        <v>Chiesi Ltd</v>
      </c>
      <c r="B130" s="6" t="str">
        <f>IFERROR(__xludf.DUMMYFUNCTION("""COMPUTED_VALUE""")," Manchester Green, 333 Styal Road, Manchester, Greater Manchester, M22 5LG ")</f>
        <v> Manchester Green, 333 Styal Road, Manchester, Greater Manchester, M22 5LG </v>
      </c>
      <c r="C130" s="6">
        <f>IFERROR(__xludf.DUMMYFUNCTION("""COMPUTED_VALUE"""),4.407557321592E12)</f>
        <v>4407557321592</v>
      </c>
      <c r="D130" s="7" t="str">
        <f>IFERROR(__xludf.DUMMYFUNCTION("""COMPUTED_VALUE""")," https://www.chiesi.uk.com/ ")</f>
        <v> https://www.chiesi.uk.com/ </v>
      </c>
      <c r="E130" s="6" t="str">
        <f>IFERROR(__xludf.DUMMYFUNCTION("""COMPUTED_VALUE"""),"Cromerix was set up in April 2021 to address the need for rapid tests for 
detection/assessment of microbes in planktonic or biofilm state, covering 
their identification, load, viability, and antimicrobial sensitivity, to 
guide evidence-based timely int"&amp;"erventions for clinical, industrial, and 
environmental applications. Cromerix’s technology is a rapid point-of-care 
test for specific/reliable phenotypic identification of microbe/microbiome 
(planktonic or biofilms) with broad coverage, microbial load,"&amp;" viability, 
and antimicrobial sensitivity.")</f>
        <v>Cromerix was set up in April 2021 to address the need for rapid tests for 
detection/assessment of microbes in planktonic or biofilm state, covering 
their identification, load, viability, and antimicrobial sensitivity, to 
guide evidence-based timely interventions for clinical, industrial, and 
environmental applications. Cromerix’s technology is a rapid point-of-care 
test for specific/reliable phenotypic identification of microbe/microbiome 
(planktonic or biofilms) with broad coverage, microbial load, viability, 
and antimicrobial sensitivity.</v>
      </c>
    </row>
    <row r="131">
      <c r="A131" s="6" t="str">
        <f>IFERROR(__xludf.DUMMYFUNCTION("""COMPUTED_VALUE"""),"Chris Doherty")</f>
        <v>Chris Doherty</v>
      </c>
      <c r="B131" s="6" t="str">
        <f>IFERROR(__xludf.DUMMYFUNCTION("""COMPUTED_VALUE""")," The Old Dairy, Chelford, SK11 9BD ")</f>
        <v> The Old Dairy, Chelford, SK11 9BD </v>
      </c>
      <c r="C131" s="6" t="str">
        <f>IFERROR(__xludf.DUMMYFUNCTION("""COMPUTED_VALUE""")," 07900 583208 ")</f>
        <v> 07900 583208 </v>
      </c>
      <c r="D131" s="7" t="str">
        <f>IFERROR(__xludf.DUMMYFUNCTION("""COMPUTED_VALUE""")," http://www.DOESNOTEXIST ")</f>
        <v> http://www.DOESNOTEXIST </v>
      </c>
      <c r="E131" s="6" t="str">
        <f>IFERROR(__xludf.DUMMYFUNCTION("""COMPUTED_VALUE"""),"Storage and logistics management of biological samples from room 
temperature, +4 degC, -20 degC, -80 degC and vapour phase liquid nitrogen.")</f>
        <v>Storage and logistics management of biological samples from room 
temperature, +4 degC, -20 degC, -80 degC and vapour phase liquid nitrogen.</v>
      </c>
    </row>
    <row r="132">
      <c r="A132" s="6" t="str">
        <f>IFERROR(__xludf.DUMMYFUNCTION("""COMPUTED_VALUE"""),"CINETIQUE Translations")</f>
        <v>CINETIQUE Translations</v>
      </c>
      <c r="B132" s="6" t="str">
        <f>IFERROR(__xludf.DUMMYFUNCTION("""COMPUTED_VALUE""")," 22 St Johns road, Manchester, M16 7GX ")</f>
        <v> 22 St Johns road, Manchester, M16 7GX </v>
      </c>
      <c r="C132" s="6" t="str">
        <f>IFERROR(__xludf.DUMMYFUNCTION("""COMPUTED_VALUE""")," 0845 226 94 94 / 07876 42 942 ")</f>
        <v> 0845 226 94 94 / 07876 42 942 </v>
      </c>
      <c r="D132" s="7" t="str">
        <f>IFERROR(__xludf.DUMMYFUNCTION("""COMPUTED_VALUE""")," http://www.cinetique.co.uk ")</f>
        <v> http://www.cinetique.co.uk </v>
      </c>
      <c r="E132" s="6" t="str">
        <f>IFERROR(__xludf.DUMMYFUNCTION("""COMPUTED_VALUE"""),"Crystec is a crystal and particle engineering company applying the latest 
supercritical fluid (SCF) techniques to enhance product performance. Our 
innovative technology allows substantial enhancement in the performance of 
molecules leading to strongly "&amp;"differentiated products. Outcomes that we are 
typically able to achieve include:- Decreased dose with equivalent levels 
of bioavailability - Enhanced stability- Improved dissolution rate of 
poorly soluble compounds- Faster onset of action- New routes o"&amp;"f delivery 
(e.g. nasal/inhaled)- Combination particles (incorporating more than one 
API or API + enhancer)- Superior product performance in support of life 
cycle managementThe Crystec team consists of some the world’s leading 
scientists in the field o"&amp;"f SCF technology based pharmaceutics, including 
Professor Peter York. Members of the Crystec team were also involved in the 
design and scale up of the world’s first SCF engineered drug (inhaled 
delivery for treatment of migraine) which is currently awa"&amp;"iting FDA 
approval (anticipated 2015).")</f>
        <v>Crystec is a crystal and particle engineering company applying the latest 
supercritical fluid (SCF) techniques to enhance product performance. Our 
innovative technology allows substantial enhancement in the performance of 
molecules leading to strongly differentiated products. Outcomes that we are 
typically able to achieve include:- Decreased dose with equivalent levels 
of bioavailability - Enhanced stability- Improved dissolution rate of 
poorly soluble compounds- Faster onset of action- New routes of delivery 
(e.g. nasal/inhaled)- Combination particles (incorporating more than one 
API or API + enhancer)- Superior product performance in support of life 
cycle managementThe Crystec team consists of some the world’s leading 
scientists in the field of SCF technology based pharmaceutics, including 
Professor Peter York. Members of the Crystec team were also involved in the 
design and scale up of the world’s first SCF engineered drug (inhaled 
delivery for treatment of migraine) which is currently awaiting FDA 
approval (anticipated 2015).</v>
      </c>
    </row>
    <row r="133">
      <c r="A133" s="6" t="str">
        <f>IFERROR(__xludf.DUMMYFUNCTION("""COMPUTED_VALUE"""),"CK Group")</f>
        <v>CK Group</v>
      </c>
      <c r="B133" s="6" t="str">
        <f>IFERROR(__xludf.DUMMYFUNCTION("""COMPUTED_VALUE""")," Unit 4 Brunswick House, The Bridge Business Centre, Beresford Way, 
Chesterfield, S41 9FG ")</f>
        <v> Unit 4 Brunswick House, The Bridge Business Centre, Beresford Way, 
Chesterfield, S41 9FG </v>
      </c>
      <c r="C133" s="6" t="str">
        <f>IFERROR(__xludf.DUMMYFUNCTION("""COMPUTED_VALUE""")," 0114 283 9956 ")</f>
        <v> 0114 283 9956 </v>
      </c>
      <c r="D133" s="7" t="str">
        <f>IFERROR(__xludf.DUMMYFUNCTION("""COMPUTED_VALUE""")," http://www.ckscience.co.uk ")</f>
        <v> http://www.ckscience.co.uk </v>
      </c>
      <c r="E133" s="6" t="str">
        <f>IFERROR(__xludf.DUMMYFUNCTION("""COMPUTED_VALUE"""),"Scientific &amp; Technical Recruitment Specialists. CY Partners is an expert 
talent provider specialising in STEM workforce solutions. We offer strong 
and flexible recruitment strategies and processes. Our solutions are as 
bespoke as our clients and their "&amp;"needs, ranging from outsourced recruitment 
programmes and talent management, to project based and bespoke individual 
recruitment campaigns. Our top quality team has extensive knowledge of the 
Biotechnology, Pharmaceuticals, Chemicals, and related Indus"&amp;"tries in the 
UK; we operate across the whole of the UK and beyond.")</f>
        <v>Scientific &amp; Technical Recruitment Specialists. CY Partners is an expert 
talent provider specialising in STEM workforce solutions. We offer strong 
and flexible recruitment strategies and processes. Our solutions are as 
bespoke as our clients and their needs, ranging from outsourced recruitment 
programmes and talent management, to project based and bespoke individual 
recruitment campaigns. Our top quality team has extensive knowledge of the 
Biotechnology, Pharmaceuticals, Chemicals, and related Industries in the 
UK; we operate across the whole of the UK and beyond.</v>
      </c>
    </row>
    <row r="134">
      <c r="A134" s="6" t="str">
        <f>IFERROR(__xludf.DUMMYFUNCTION("""COMPUTED_VALUE"""),"Concept Life Sciences")</f>
        <v>Concept Life Sciences</v>
      </c>
      <c r="B134" s="6" t="str">
        <f>IFERROR(__xludf.DUMMYFUNCTION("""COMPUTED_VALUE""")," Frith Knoll Road, Chapel-en-le-Frith, High Peak, SK23 0PG ")</f>
        <v> Frith Knoll Road, Chapel-en-le-Frith, High Peak, SK23 0PG </v>
      </c>
      <c r="C134" s="6" t="str">
        <f>IFERROR(__xludf.DUMMYFUNCTION("""COMPUTED_VALUE""")," 07403 713697 ")</f>
        <v> 07403 713697 </v>
      </c>
      <c r="D134" s="7" t="str">
        <f>IFERROR(__xludf.DUMMYFUNCTION("""COMPUTED_VALUE""")," https://www.conceptlifesciences.com/ ")</f>
        <v> https://www.conceptlifesciences.com/ </v>
      </c>
      <c r="E134" s="6" t="str">
        <f>IFERROR(__xludf.DUMMYFUNCTION("""COMPUTED_VALUE"""),"Danforth Advisors is the life science industry’s trusted partner for 
outsourced corporate and clinical business functions. The company’s 
services span wide-ranging needs, whether short or long term, including 
C-level advisory, finance &amp; accounting, hum"&amp;"an resources, clinical business 
operations, risk management and strategic communications. Founded in 2011, 
Danforth has been a strategic and operational partner to more than 1,000 
life science companies, private and public, across all stages of the 
co"&amp;"rporate life cycle. The company serves clients around the globe from its 
headquarters in Waltham, Massachusetts and regional bases in New York, 
Pennsylvania, California and London. Additional information is available at 
www.danforthadvisors.com. Danfor"&amp;"th’s life science focused capabilities 
include the following to provide clients with a one stop shop for business 
support services: • C-Level Advisory: including thought partnership, 
financing strategy, corporate development and stakeholder relations f"&amp;"or 
companies ranging from start-up through public and commercial stages; • 
Finance &amp; Accounting: including operational and technical accounting, and 
financial planning and analysis, for companies ranging from start-ups to 
more mature organizations who"&amp;" require services such as the execution of 
IPO, SPAC and reverse merger transactions; • Human Resources: including 
organizational design and development, workplace policies and procedures, 
talent acquisition, people operations and internal communicatio"&amp;"ns; • 
Clinical Business Operations: including clinical outsourcing strategy, 
contract structure and negotiation, clinical finance management and 
CMC/supply chain advisory; • Risk Management: including risk assessment, 
mitigation plans, insurance asses"&amp;"sment and procurement; and • Strategic 
Communications (IR/PR): including corporate communications and investor 
relations; public relations and digital media; IPO, data, partnership, 
product approval, commercial launch, M&amp;A, and special situations 
comm"&amp;"unications; executive visibility and training; ESG communications; 
event planning; and a full suite of creative services.")</f>
        <v>Danforth Advisors is the life science industry’s trusted partner for 
outsourced corporate and clinical business functions. The company’s 
services span wide-ranging needs, whether short or long term, including 
C-level advisory, finance &amp; accounting, human resources, clinical business 
operations, risk management and strategic communications. Founded in 2011, 
Danforth has been a strategic and operational partner to more than 1,000 
life science companies, private and public, across all stages of the 
corporate life cycle. The company serves clients around the globe from its 
headquarters in Waltham, Massachusetts and regional bases in New York, 
Pennsylvania, California and London. Additional information is available at 
www.danforthadvisors.com. Danforth’s life science focused capabilities 
include the following to provide clients with a one stop shop for business 
support services: • C-Level Advisory: including thought partnership, 
financing strategy, corporate development and stakeholder relations for 
companies ranging from start-up through public and commercial stages; • 
Finance &amp; Accounting: including operational and technical accounting, and 
financial planning and analysis, for companies ranging from start-ups to 
more mature organizations who require services such as the execution of 
IPO, SPAC and reverse merger transactions; • Human Resources: including 
organizational design and development, workplace policies and procedures, 
talent acquisition, people operations and internal communications; • 
Clinical Business Operations: including clinical outsourcing strategy, 
contract structure and negotiation, clinical finance management and 
CMC/supply chain advisory; • Risk Management: including risk assessment, 
mitigation plans, insurance assessment and procurement; and • Strategic 
Communications (IR/PR): including corporate communications and investor 
relations; public relations and digital media; IPO, data, partnership, 
product approval, commercial launch, M&amp;A, and special situations 
communications; executive visibility and training; ESG communications; 
event planning; and a full suite of creative services.</v>
      </c>
    </row>
    <row r="135">
      <c r="A135" s="6" t="str">
        <f>IFERROR(__xludf.DUMMYFUNCTION("""COMPUTED_VALUE"""),"Cromerix")</f>
        <v>Cromerix</v>
      </c>
      <c r="B135" s="6" t="str">
        <f>IFERROR(__xludf.DUMMYFUNCTION("""COMPUTED_VALUE""")," Loughborough, Loughborough, LE11 ")</f>
        <v> Loughborough, Loughborough, LE11 </v>
      </c>
      <c r="C135" s="6">
        <f>IFERROR(__xludf.DUMMYFUNCTION("""COMPUTED_VALUE"""),1509.0)</f>
        <v>1509</v>
      </c>
      <c r="D135" s="7" t="str">
        <f>IFERROR(__xludf.DUMMYFUNCTION("""COMPUTED_VALUE""")," https://www.lboro.ac.uk/ ")</f>
        <v> https://www.lboro.ac.uk/ </v>
      </c>
      <c r="E135" s="6" t="str">
        <f>IFERROR(__xludf.DUMMYFUNCTION("""COMPUTED_VALUE"""),"Biotech start-up specialising in mammalian recombinant protein production 
and cell line development.")</f>
        <v>Biotech start-up specialising in mammalian recombinant protein production 
and cell line development.</v>
      </c>
    </row>
    <row r="136">
      <c r="A136" s="6" t="str">
        <f>IFERROR(__xludf.DUMMYFUNCTION("""COMPUTED_VALUE"""),"Cryoniss Ltd")</f>
        <v>Cryoniss Ltd</v>
      </c>
      <c r="B136" s="6" t="str">
        <f>IFERROR(__xludf.DUMMYFUNCTION("""COMPUTED_VALUE""")," Mereside, Alderley Park, Macclesfield, Cheshire, SK10 4TG ")</f>
        <v> Mereside, Alderley Park, Macclesfield, Cheshire, SK10 4TG </v>
      </c>
      <c r="C136" s="6" t="str">
        <f>IFERROR(__xludf.DUMMYFUNCTION("""COMPUTED_VALUE""")," 07720 617252 ")</f>
        <v> 07720 617252 </v>
      </c>
      <c r="D136" s="7" t="str">
        <f>IFERROR(__xludf.DUMMYFUNCTION("""COMPUTED_VALUE""")," http://www.cryoniss.com ")</f>
        <v> http://www.cryoniss.com </v>
      </c>
      <c r="E136" s="6" t="str">
        <f>IFERROR(__xludf.DUMMYFUNCTION("""COMPUTED_VALUE"""),"Alternative Investment Manager SEIS/EISLife Science Sector")</f>
        <v>Alternative Investment Manager SEIS/EISLife Science Sector</v>
      </c>
    </row>
    <row r="137">
      <c r="A137" s="6" t="str">
        <f>IFERROR(__xludf.DUMMYFUNCTION("""COMPUTED_VALUE"""),"Crystec Pharma Limited")</f>
        <v>Crystec Pharma Limited</v>
      </c>
      <c r="B137" s="6" t="str">
        <f>IFERROR(__xludf.DUMMYFUNCTION("""COMPUTED_VALUE""")," Crystec Limited, Norcroft Building, Richmond Road, Bradford, BD7 1DP ")</f>
        <v> Crystec Limited, Norcroft Building, Richmond Road, Bradford, BD7 1DP </v>
      </c>
      <c r="C137" s="6" t="str">
        <f>IFERROR(__xludf.DUMMYFUNCTION("""COMPUTED_VALUE""")," 01274 235592 ")</f>
        <v> 01274 235592 </v>
      </c>
      <c r="D137" s="7" t="str">
        <f>IFERROR(__xludf.DUMMYFUNCTION("""COMPUTED_VALUE""")," http://www.crystecpharma.com ")</f>
        <v> http://www.crystecpharma.com </v>
      </c>
      <c r="E137" s="6" t="str">
        <f>IFERROR(__xludf.DUMMYFUNCTION("""COMPUTED_VALUE"""),"Diagnostics North East (DxNE) is a consortium of the North East of 
England’s leading Diagnostic organisations committed to working together to 
accelerate innovation and provide seamless service support across the full 
diagnostic development pathway. By"&amp;" working together, we provide a unique 
and unrivalled infrastructure and expertise through discovery, development, 
evaluation and adoption of diagnostics, supporting our life science sector, 
and driving investment in our region DxNE is a proud part of "&amp;"Newcastle 
Health Innovation Partners (NHIP), the North East’s prestigious Academic 
Health Science Centre . As part of Newcastle NHIP, DxNE unites three 
organisations to deliver world class end-to-end diagnostics development 
support – • Newcastle upon "&amp;"Tyne Hospitals NHS Foundation Trust • Newcastle 
University • The Academic Health Science Network for the North East and 
North Cumbria (AHSN NENC).")</f>
        <v>Diagnostics North East (DxNE) is a consortium of the North East of 
England’s leading Diagnostic organisations committed to working together to 
accelerate innovation and provide seamless service support across the full 
diagnostic development pathway. By working together, we provide a unique 
and unrivalled infrastructure and expertise through discovery, development, 
evaluation and adoption of diagnostics, supporting our life science sector, 
and driving investment in our region DxNE is a proud part of Newcastle 
Health Innovation Partners (NHIP), the North East’s prestigious Academic 
Health Science Centre . As part of Newcastle NHIP, DxNE unites three 
organisations to deliver world class end-to-end diagnostics development 
support – • Newcastle upon Tyne Hospitals NHS Foundation Trust • Newcastle 
University • The Academic Health Science Network for the North East and 
North Cumbria (AHSN NENC).</v>
      </c>
    </row>
    <row r="138">
      <c r="A138" s="6" t="str">
        <f>IFERROR(__xludf.DUMMYFUNCTION("""COMPUTED_VALUE"""),"CY Partners Scientific Recruitment")</f>
        <v>CY Partners Scientific Recruitment</v>
      </c>
      <c r="B138" s="6" t="str">
        <f>IFERROR(__xludf.DUMMYFUNCTION("""COMPUTED_VALUE""")," Gateway House, Gateway West Business Centre, Newburn Riverside, Newcastle 
upon tyne, NE15 8NX ")</f>
        <v> Gateway House, Gateway West Business Centre, Newburn Riverside, Newcastle 
upon tyne, NE15 8NX </v>
      </c>
      <c r="C138" s="6" t="str">
        <f>IFERROR(__xludf.DUMMYFUNCTION("""COMPUTED_VALUE""")," 0191 477 4733 / 07501 723 352 ")</f>
        <v> 0191 477 4733 / 07501 723 352 </v>
      </c>
      <c r="D138" s="7" t="str">
        <f>IFERROR(__xludf.DUMMYFUNCTION("""COMPUTED_VALUE""")," http://www.cypartners.co.uk ")</f>
        <v> http://www.cypartners.co.uk </v>
      </c>
      <c r="E138" s="6" t="str">
        <f>IFERROR(__xludf.DUMMYFUNCTION("""COMPUTED_VALUE"""),"Development of devices for diagnosis of mycobacteria in humans and animals")</f>
        <v>Development of devices for diagnosis of mycobacteria in humans and animals</v>
      </c>
    </row>
    <row r="139">
      <c r="A139" s="6" t="str">
        <f>IFERROR(__xludf.DUMMYFUNCTION("""COMPUTED_VALUE"""),"Danforth Advisors")</f>
        <v>Danforth Advisors</v>
      </c>
      <c r="B139" s="6" t="str">
        <f>IFERROR(__xludf.DUMMYFUNCTION("""COMPUTED_VALUE""")," 2 Maple Court Davenport Street, Macclesfield, Cheshire, SK10 1JE ")</f>
        <v> 2 Maple Court Davenport Street, Macclesfield, Cheshire, SK10 1JE </v>
      </c>
      <c r="C139" s="6" t="str">
        <f>IFERROR(__xludf.DUMMYFUNCTION("""COMPUTED_VALUE""")," 07807 085553 ")</f>
        <v> 07807 085553 </v>
      </c>
      <c r="D139" s="7" t="str">
        <f>IFERROR(__xludf.DUMMYFUNCTION("""COMPUTED_VALUE""")," https://www.danforthadvisors.com/ ")</f>
        <v> https://www.danforthadvisors.com/ </v>
      </c>
      <c r="E139" s="6" t="str">
        <f>IFERROR(__xludf.DUMMYFUNCTION("""COMPUTED_VALUE"""),"Our Life Sciences team comprises lawyers with legal, scientific and medical 
knowledge who understand the complexity of the business and regulatory 
environments in which our clients operate. Many of our lawyers have worked 
at life sciences companies and"&amp;" have PhD level degrees in hard sciences that 
allow them to combine scientific and business experience with sound legal 
judgement. Our team is one of the largest and most active of any law firm. 
Operating as one team across more than 40 jurisdictions, "&amp;"we combine subject 
matter experience with considerable knowledge of the sector, including the 
scientific, medical, regulatory, commercial and enforcement environments 
facing our biopharmaceutical, medical device, research and diagnostics 
clients. The "&amp;"team includes award-winning lawyers practicing litigation, 
compliance and investigations, IP strategy and enforcement, M&amp;A, licensing 
and distribution and clinical trial advice. We also support clients across 
all other areas needed to address risk, inc"&amp;"luding government affairs, 
environmental law, import/export, tax, real estate and employment law. 
Recognising that our clients’ needs vary, we rapidly organise and customise 
our client service teams, whether for a large pharmaceutical company, a 
mid‐s"&amp;"ized medical device client or a development-stage biotech company. 
These teams are supported by international and local practitioners to 
efficiently meet the demands of the matter.")</f>
        <v>Our Life Sciences team comprises lawyers with legal, scientific and medical 
knowledge who understand the complexity of the business and regulatory 
environments in which our clients operate. Many of our lawyers have worked 
at life sciences companies and have PhD level degrees in hard sciences that 
allow them to combine scientific and business experience with sound legal 
judgement. Our team is one of the largest and most active of any law firm. 
Operating as one team across more than 40 jurisdictions, we combine subject 
matter experience with considerable knowledge of the sector, including the 
scientific, medical, regulatory, commercial and enforcement environments 
facing our biopharmaceutical, medical device, research and diagnostics 
clients. The team includes award-winning lawyers practicing litigation, 
compliance and investigations, IP strategy and enforcement, M&amp;A, licensing 
and distribution and clinical trial advice. We also support clients across 
all other areas needed to address risk, including government affairs, 
environmental law, import/export, tax, real estate and employment law. 
Recognising that our clients’ needs vary, we rapidly organise and customise 
our client service teams, whether for a large pharmaceutical company, a 
mid‐sized medical device client or a development-stage biotech company. 
These teams are supported by international and local practitioners to 
efficiently meet the demands of the matter.</v>
      </c>
    </row>
    <row r="140">
      <c r="A140" s="6" t="str">
        <f>IFERROR(__xludf.DUMMYFUNCTION("""COMPUTED_VALUE"""),"Daresbury Proteins Ltd")</f>
        <v>Daresbury Proteins Ltd</v>
      </c>
      <c r="B140" s="6" t="str">
        <f>IFERROR(__xludf.DUMMYFUNCTION("""COMPUTED_VALUE""")," SCI-TECH DARESBURY, KECKWICK LANE, Warrington, Cheshire, WA4 4AD ")</f>
        <v> SCI-TECH DARESBURY, KECKWICK LANE, Warrington, Cheshire, WA4 4AD </v>
      </c>
      <c r="C140" s="6">
        <f>IFERROR(__xludf.DUMMYFUNCTION("""COMPUTED_VALUE"""),7.398623734E9)</f>
        <v>7398623734</v>
      </c>
      <c r="D140" s="7" t="str">
        <f>IFERROR(__xludf.DUMMYFUNCTION("""COMPUTED_VALUE""")," https://www.daresburyproteins.co.uk ")</f>
        <v> https://www.daresburyproteins.co.uk </v>
      </c>
      <c r="E140" s="6" t="str">
        <f>IFERROR(__xludf.DUMMYFUNCTION("""COMPUTED_VALUE"""),"Academic researcher and an independent pharmaceutical consultant in 
formulation and drug delivery, formerly with major research based 
pharmaceutical company.")</f>
        <v>Academic researcher and an independent pharmaceutical consultant in 
formulation and drug delivery, formerly with major research based 
pharmaceutical company.</v>
      </c>
    </row>
    <row r="141">
      <c r="A141" s="6" t="str">
        <f>IFERROR(__xludf.DUMMYFUNCTION("""COMPUTED_VALUE"""),"Deepbridge Capital LLP")</f>
        <v>Deepbridge Capital LLP</v>
      </c>
      <c r="B141" s="6" t="str">
        <f>IFERROR(__xludf.DUMMYFUNCTION("""COMPUTED_VALUE""")," Herons Way, Chester Business Park, Chester, CH4 9QR ")</f>
        <v> Herons Way, Chester Business Park, Chester, CH4 9QR </v>
      </c>
      <c r="C141" s="6" t="str">
        <f>IFERROR(__xludf.DUMMYFUNCTION("""COMPUTED_VALUE""")," 01244 893 182 ")</f>
        <v> 01244 893 182 </v>
      </c>
      <c r="D141" s="7" t="str">
        <f>IFERROR(__xludf.DUMMYFUNCTION("""COMPUTED_VALUE""")," http://www.deepbridgecapital.com ")</f>
        <v> http://www.deepbridgecapital.com </v>
      </c>
      <c r="E141" s="6" t="str">
        <f>IFERROR(__xludf.DUMMYFUNCTION("""COMPUTED_VALUE"""),"Training &amp; Education")</f>
        <v>Training &amp; Education</v>
      </c>
    </row>
    <row r="142">
      <c r="A142" s="6" t="str">
        <f>IFERROR(__xludf.DUMMYFUNCTION("""COMPUTED_VALUE"""),"Diagnostics NorthEast")</f>
        <v>Diagnostics NorthEast</v>
      </c>
      <c r="B142" s="6" t="str">
        <f>IFERROR(__xludf.DUMMYFUNCTION("""COMPUTED_VALUE""")," NHIP Offices, Level 2 Cookson Building, Newcastle University, NE2 4HH, 
Cookson Building, Newcastle University, Newcastle upon Tyne, NE2 4HH ")</f>
        <v> NHIP Offices, Level 2 Cookson Building, Newcastle University, NE2 4HH, 
Cookson Building, Newcastle University, Newcastle upon Tyne, NE2 4HH </v>
      </c>
      <c r="C142" s="6">
        <f>IFERROR(__xludf.DUMMYFUNCTION("""COMPUTED_VALUE"""),191.0)</f>
        <v>191</v>
      </c>
      <c r="D142" s="7" t="str">
        <f>IFERROR(__xludf.DUMMYFUNCTION("""COMPUTED_VALUE""")," https://diagnosticsnortheast.org.uk/ ")</f>
        <v> https://diagnosticsnortheast.org.uk/ </v>
      </c>
      <c r="E142" s="6" t="str">
        <f>IFERROR(__xludf.DUMMYFUNCTION("""COMPUTED_VALUE"""),"Elanco advances the vision of enriching lives through food and 
companionship by developing innovative solutions that protect &amp; enhance 
animal health.")</f>
        <v>Elanco advances the vision of enriching lives through food and 
companionship by developing innovative solutions that protect &amp; enhance 
animal health.</v>
      </c>
    </row>
    <row r="143">
      <c r="A143" s="6" t="str">
        <f>IFERROR(__xludf.DUMMYFUNCTION("""COMPUTED_VALUE"""),"Diagnostig Ltd")</f>
        <v>Diagnostig Ltd</v>
      </c>
      <c r="B143" s="6" t="str">
        <f>IFERROR(__xludf.DUMMYFUNCTION("""COMPUTED_VALUE""")," M-SParc, Gaerwen, Ynys Mon, LL60 6AG ")</f>
        <v> M-SParc, Gaerwen, Ynys Mon, LL60 6AG </v>
      </c>
      <c r="C143" s="6" t="str">
        <f>IFERROR(__xludf.DUMMYFUNCTION("""COMPUTED_VALUE""")," 01248 858009 ")</f>
        <v> 01248 858009 </v>
      </c>
      <c r="D143" s="7" t="str">
        <f>IFERROR(__xludf.DUMMYFUNCTION("""COMPUTED_VALUE""")," http://www.diagnostig.com ")</f>
        <v> http://www.diagnostig.com </v>
      </c>
      <c r="E143" s="6" t="str">
        <f>IFERROR(__xludf.DUMMYFUNCTION("""COMPUTED_VALUE"""),"Elixir Software Ltd is committed to freeing up more time for scientists 
(and managers) to carry out research, and deliver more new drugs to 
patients, faster. Since mid-2012, Elixir Software Ltd has developed iTraX. 
iTraX delivers visually rich, real-ti"&amp;"me tracking applications, used by 
managers and scientists to better plan, manage and track delivery of work 
into scientific R&amp;D projects. iTraX takes a visual approach to R&amp;D 
workflows, with drag and drop tracking boards, spreadsheets, Gantt charts, 
s"&amp;"tatistical dashboards and user specific updates. iTraX puts all users and 
information on one platform, eliminating the need for multiple tools to 
manage projects, and streamlining organisational workflows. iTraX users can 
view progress in real time, ea"&amp;"sily balance work schedules, and improve 
communication across global and on-site teams. They spend minutes (instead 
of hours) on planning meetings and reporting.")</f>
        <v>Elixir Software Ltd is committed to freeing up more time for scientists 
(and managers) to carry out research, and deliver more new drugs to 
patients, faster. Since mid-2012, Elixir Software Ltd has developed iTraX. 
iTraX delivers visually rich, real-time tracking applications, used by 
managers and scientists to better plan, manage and track delivery of work 
into scientific R&amp;D projects. iTraX takes a visual approach to R&amp;D 
workflows, with drag and drop tracking boards, spreadsheets, Gantt charts, 
statistical dashboards and user specific updates. iTraX puts all users and 
information on one platform, eliminating the need for multiple tools to 
manage projects, and streamlining organisational workflows. iTraX users can 
view progress in real time, easily balance work schedules, and improve 
communication across global and on-site teams. They spend minutes (instead 
of hours) on planning meetings and reporting.</v>
      </c>
    </row>
    <row r="144">
      <c r="A144" s="6" t="str">
        <f>IFERROR(__xludf.DUMMYFUNCTION("""COMPUTED_VALUE"""),"DLA Piper UK LLP")</f>
        <v>DLA Piper UK LLP</v>
      </c>
      <c r="B144" s="6" t="str">
        <f>IFERROR(__xludf.DUMMYFUNCTION("""COMPUTED_VALUE""")," 4th Floor, Walker House, Exchange Flags, Liverpool, L2 3YL ")</f>
        <v> 4th Floor, Walker House, Exchange Flags, Liverpool, L2 3YL </v>
      </c>
      <c r="C144" s="6" t="str">
        <f>IFERROR(__xludf.DUMMYFUNCTION("""COMPUTED_VALUE""")," 0151 237 4863 ")</f>
        <v> 0151 237 4863 </v>
      </c>
      <c r="D144" s="7" t="str">
        <f>IFERROR(__xludf.DUMMYFUNCTION("""COMPUTED_VALUE""")," https://www.dlapiper.com/en/uk/sectors/life-sciences/ ")</f>
        <v> https://www.dlapiper.com/en/uk/sectors/life-sciences/ </v>
      </c>
      <c r="E144" s="6" t="str">
        <f>IFERROR(__xludf.DUMMYFUNCTION("""COMPUTED_VALUE"""),"Develops and manufactures genetic testing kits with a focus on the genetics 
of reproductive health. Elucigene kits are used in clinical molecular 
genetics laboratories worlwide.")</f>
        <v>Develops and manufactures genetic testing kits with a focus on the genetics 
of reproductive health. Elucigene kits are used in clinical molecular 
genetics laboratories worlwide.</v>
      </c>
    </row>
    <row r="145">
      <c r="A145" s="6" t="str">
        <f>IFERROR(__xludf.DUMMYFUNCTION("""COMPUTED_VALUE"""),"Dr Peter Timmins")</f>
        <v>Dr Peter Timmins</v>
      </c>
      <c r="B145" s="6" t="str">
        <f>IFERROR(__xludf.DUMMYFUNCTION("""COMPUTED_VALUE""")," 2 Highfield Gardens, Prenton, CH43 6WF ")</f>
        <v> 2 Highfield Gardens, Prenton, CH43 6WF </v>
      </c>
      <c r="C145" s="6" t="str">
        <f>IFERROR(__xludf.DUMMYFUNCTION("""COMPUTED_VALUE""")," 07703 395974 ")</f>
        <v> 07703 395974 </v>
      </c>
      <c r="D145" s="6" t="str">
        <f>IFERROR(__xludf.DUMMYFUNCTION("""COMPUTED_VALUE""")," http://no website ")</f>
        <v> http://no website </v>
      </c>
      <c r="E145" s="6" t="str">
        <f>IFERROR(__xludf.DUMMYFUNCTION("""COMPUTED_VALUE"""),"Particle counters - knowledge, sales, calibration, training and support. UK 
/ Ireland distributor for Particle Measuring Systems (PMS) Air and liquid 
particle counting applications for cleanrooms, ultra pure water, chemicals 
and compressed gases.")</f>
        <v>Particle counters - knowledge, sales, calibration, training and support. UK 
/ Ireland distributor for Particle Measuring Systems (PMS) Air and liquid 
particle counting applications for cleanrooms, ultra pure water, chemicals 
and compressed gases.</v>
      </c>
    </row>
    <row r="146">
      <c r="A146" s="6" t="str">
        <f>IFERROR(__xludf.DUMMYFUNCTION("""COMPUTED_VALUE"""),"East Durham College")</f>
        <v>East Durham College</v>
      </c>
      <c r="B146" s="6" t="str">
        <f>IFERROR(__xludf.DUMMYFUNCTION("""COMPUTED_VALUE""")," Willerby Grove, Peterlee, Durham, SR8 2RN ")</f>
        <v> Willerby Grove, Peterlee, Durham, SR8 2RN </v>
      </c>
      <c r="C146" s="6">
        <f>IFERROR(__xludf.DUMMYFUNCTION("""COMPUTED_VALUE"""),1.915182E9)</f>
        <v>1915182000</v>
      </c>
      <c r="D146" s="7" t="str">
        <f>IFERROR(__xludf.DUMMYFUNCTION("""COMPUTED_VALUE""")," https://www.edc.ac.uk/ ")</f>
        <v> https://www.edc.ac.uk/ </v>
      </c>
      <c r="E146" s="6" t="str">
        <f>IFERROR(__xludf.DUMMYFUNCTION("""COMPUTED_VALUE"""),"Enterprise Ireland is the government organisation responsible for the 
development and growth of Irish enterprises across the world. We have 
offices in 32 locations across the globe, including London and Manchester 
from where we support Irish companies "&amp;"looking to grow their exports into 
the U.K. We have a team dedicated to supporting Irish owned businesses, 
with specialists in key sector areas of Life-Sciences, Engineering, 
Healthcare, Construction, Consumer Products, Financial Services and 
Software"&amp;".")</f>
        <v>Enterprise Ireland is the government organisation responsible for the 
development and growth of Irish enterprises across the world. We have 
offices in 32 locations across the globe, including London and Manchester 
from where we support Irish companies looking to grow their exports into 
the U.K. We have a team dedicated to supporting Irish owned businesses, 
with specialists in key sector areas of Life-Sciences, Engineering, 
Healthcare, Construction, Consumer Products, Financial Services and 
Software.</v>
      </c>
    </row>
    <row r="147">
      <c r="A147" s="6" t="str">
        <f>IFERROR(__xludf.DUMMYFUNCTION("""COMPUTED_VALUE"""),"Elanco Animal Health")</f>
        <v>Elanco Animal Health</v>
      </c>
      <c r="B147" s="6" t="str">
        <f>IFERROR(__xludf.DUMMYFUNCTION("""COMPUTED_VALUE""")," Speke Operations, Fleming Road, Liverpool, L24 9LN ")</f>
        <v> Speke Operations, Fleming Road, Liverpool, L24 9LN </v>
      </c>
      <c r="C147" s="6" t="str">
        <f>IFERROR(__xludf.DUMMYFUNCTION("""COMPUTED_VALUE""")," 0151 448 6001 ")</f>
        <v> 0151 448 6001 </v>
      </c>
      <c r="D147" s="7" t="str">
        <f>IFERROR(__xludf.DUMMYFUNCTION("""COMPUTED_VALUE""")," http://www.elanco.com ")</f>
        <v> http://www.elanco.com </v>
      </c>
      <c r="E147" s="6" t="str">
        <f>IFERROR(__xludf.DUMMYFUNCTION("""COMPUTED_VALUE"""),"Fund Management")</f>
        <v>Fund Management</v>
      </c>
    </row>
    <row r="148">
      <c r="A148" s="6" t="str">
        <f>IFERROR(__xludf.DUMMYFUNCTION("""COMPUTED_VALUE"""),"Elixir Software")</f>
        <v>Elixir Software</v>
      </c>
      <c r="B148" s="6" t="str">
        <f>IFERROR(__xludf.DUMMYFUNCTION("""COMPUTED_VALUE""")," Glasshouse, Alderley Park,, Congleton Road, Nether Alderley, Macclesfield, 
SK10 4TG ")</f>
        <v> Glasshouse, Alderley Park,, Congleton Road, Nether Alderley, Macclesfield, 
SK10 4TG </v>
      </c>
      <c r="C148" s="6">
        <f>IFERROR(__xludf.DUMMYFUNCTION("""COMPUTED_VALUE"""),7.557640269E9)</f>
        <v>7557640269</v>
      </c>
      <c r="D148" s="7" t="str">
        <f>IFERROR(__xludf.DUMMYFUNCTION("""COMPUTED_VALUE""")," https://www.elixirsoftware.co.uk/ ")</f>
        <v> https://www.elixirsoftware.co.uk/ </v>
      </c>
      <c r="E148" s="6" t="str">
        <f>IFERROR(__xludf.DUMMYFUNCTION("""COMPUTED_VALUE"""),"ESPDx are developing scalable liquid-biopsy tests based upon measurements 
of specific neurodegenerative disease biomarkers in extracellular vesicles 
(EVs) extracted from CSF, blood, saliva and urine. This allows early 
pre-symptomatic detection of neuro"&amp;"logical disorders such as Parkinson’s 
Disease, Dementia with Lewy Bodies, and a differential diagnosis of 
Alzheimer’s.")</f>
        <v>ESPDx are developing scalable liquid-biopsy tests based upon measurements 
of specific neurodegenerative disease biomarkers in extracellular vesicles 
(EVs) extracted from CSF, blood, saliva and urine. This allows early 
pre-symptomatic detection of neurological disorders such as Parkinson’s 
Disease, Dementia with Lewy Bodies, and a differential diagnosis of 
Alzheimer’s.</v>
      </c>
    </row>
    <row r="149">
      <c r="A149" s="6" t="str">
        <f>IFERROR(__xludf.DUMMYFUNCTION("""COMPUTED_VALUE"""),"Elucigene Diagnostics")</f>
        <v>Elucigene Diagnostics</v>
      </c>
      <c r="B149" s="6" t="str">
        <f>IFERROR(__xludf.DUMMYFUNCTION("""COMPUTED_VALUE""")," Citylabs, Nelson Street, Manchester, M13 9NQ ")</f>
        <v> Citylabs, Nelson Street, Manchester, M13 9NQ </v>
      </c>
      <c r="C149" s="6" t="str">
        <f>IFERROR(__xludf.DUMMYFUNCTION("""COMPUTED_VALUE""")," 0161 669 8122 ")</f>
        <v> 0161 669 8122 </v>
      </c>
      <c r="D149" s="7" t="str">
        <f>IFERROR(__xludf.DUMMYFUNCTION("""COMPUTED_VALUE""")," http://www.elucigene.com ")</f>
        <v> http://www.elucigene.com </v>
      </c>
      <c r="E149" s="6" t="str">
        <f>IFERROR(__xludf.DUMMYFUNCTION("""COMPUTED_VALUE"""),"EviView with its cutting-edge software - e-ConnX, is pioneering the way for 
life science manufacturers to manage their performance and reliability, 
which is currently an unmet need in the industry. The company has developed 
smart manufacturing analytic"&amp;"s software (e-ConnX) primarily for the Pharma 
and Biotech industry, using unique domain and industry knowledge of lean 
manufacturing. Already the business has accumulated an impressive portfolio 
of well known global pharma clients across Europe &amp; the U"&amp;"nited States with 
plans underway to enter Asian markets. The EviView team reflects a dynamic 
combination of accomplished entrepreneurs, individuals with tremendous 
knowledge of the pharma/biotech space, highly experienced business analysts 
&amp; product d"&amp;"evelopers, skilled sales personnel complimented by an advisory 
panel of senior figures &amp; well-respected names within the industry.")</f>
        <v>EviView with its cutting-edge software - e-ConnX, is pioneering the way for 
life science manufacturers to manage their performance and reliability, 
which is currently an unmet need in the industry. The company has developed 
smart manufacturing analytics software (e-ConnX) primarily for the Pharma 
and Biotech industry, using unique domain and industry knowledge of lean 
manufacturing. Already the business has accumulated an impressive portfolio 
of well known global pharma clients across Europe &amp; the United States with 
plans underway to enter Asian markets. The EviView team reflects a dynamic 
combination of accomplished entrepreneurs, individuals with tremendous 
knowledge of the pharma/biotech space, highly experienced business analysts 
&amp; product developers, skilled sales personnel complimented by an advisory 
panel of senior figures &amp; well-respected names within the industry.</v>
      </c>
    </row>
    <row r="150">
      <c r="A150" s="6" t="str">
        <f>IFERROR(__xludf.DUMMYFUNCTION("""COMPUTED_VALUE"""),"EMS Particle Solutions")</f>
        <v>EMS Particle Solutions</v>
      </c>
      <c r="B150" s="6" t="str">
        <f>IFERROR(__xludf.DUMMYFUNCTION("""COMPUTED_VALUE""")," Compass House, Vision Park, Chivers Way, Cambridge, Cambridgeshire, CB24 
9AD ")</f>
        <v> Compass House, Vision Park, Chivers Way, Cambridge, Cambridgeshire, CB24 
9AD </v>
      </c>
      <c r="C150" s="6">
        <f>IFERROR(__xludf.DUMMYFUNCTION("""COMPUTED_VALUE"""),1.223257704E9)</f>
        <v>1223257704</v>
      </c>
      <c r="D150" s="7" t="str">
        <f>IFERROR(__xludf.DUMMYFUNCTION("""COMPUTED_VALUE""")," https://www.emsparticlesolutions.co.uk/ ")</f>
        <v> https://www.emsparticlesolutions.co.uk/ </v>
      </c>
      <c r="E150" s="6" t="str">
        <f>IFERROR(__xludf.DUMMYFUNCTION("""COMPUTED_VALUE"""),"Evotec is a drug discovery alliance and development partnership company 
focused on rapidly progressing innovative product approaches with leading 
pharmaceutical and biotechnology companies, academics, patient advocacy 
groups and venture capitalists. We"&amp;" operate worldwide and our more than 
2,900 employees provide the highest quality stand-alone and integrated drug 
discovery and development solutions. We cover all activities from 
target-to-clinic to meet the industry’s need for innovation and efficienc"&amp;"y 
in drug discovery and development (EVT Execute). The Company has 
established a unique position by assembling top-class scientific experts 
and integrating state-of-the-art technologies as well as substantial 
experience and expertise in key therapeuti"&amp;"c areas including neuronal 
diseases, diabetes and complications of diabetes, pain and inflammation, 
oncology, infectious diseases, respiratory diseases, fibrosis, rare 
diseases and women’s health. On this basis, Evotec has built a broad and 
deep pipel"&amp;"ine of approx. 100 co-owned product opportunities at clinical, 
pre-clinical and discovery stages (EVT Innovate). Evotec has established 
multiple long-term alliances with partners including Bayer, Boehringer 
Ingelheim, Bristol-Myers Squibb, CHDI, Novart"&amp;"is, Novo Nordisk, Pfizer, 
Sanofi, Takeda, UCB and others. For additional information please go to 
www.evotec.com and follow us on Twitter @Evotec.")</f>
        <v>Evotec is a drug discovery alliance and development partnership company 
focused on rapidly progressing innovative product approaches with leading 
pharmaceutical and biotechnology companies, academics, patient advocacy 
groups and venture capitalists. We operate worldwide and our more than 
2,900 employees provide the highest quality stand-alone and integrated drug 
discovery and development solutions. We cover all activities from 
target-to-clinic to meet the industry’s need for innovation and efficiency 
in drug discovery and development (EVT Execute). The Company has 
established a unique position by assembling top-class scientific experts 
and integrating state-of-the-art technologies as well as substantial 
experience and expertise in key therapeutic areas including neuronal 
diseases, diabetes and complications of diabetes, pain and inflammation, 
oncology, infectious diseases, respiratory diseases, fibrosis, rare 
diseases and women’s health. On this basis, Evotec has built a broad and 
deep pipeline of approx. 100 co-owned product opportunities at clinical, 
pre-clinical and discovery stages (EVT Innovate). Evotec has established 
multiple long-term alliances with partners including Bayer, Boehringer 
Ingelheim, Bristol-Myers Squibb, CHDI, Novartis, Novo Nordisk, Pfizer, 
Sanofi, Takeda, UCB and others. For additional information please go to 
www.evotec.com and follow us on Twitter @Evotec.</v>
      </c>
    </row>
    <row r="151">
      <c r="A151" s="6" t="str">
        <f>IFERROR(__xludf.DUMMYFUNCTION("""COMPUTED_VALUE"""),"Enterprise Ireland UK")</f>
        <v>Enterprise Ireland UK</v>
      </c>
      <c r="B151" s="6" t="str">
        <f>IFERROR(__xludf.DUMMYFUNCTION("""COMPUTED_VALUE""")," 51 Shaftesbury Ave,, London, WC2H 8AL ")</f>
        <v> 51 Shaftesbury Ave,, London, WC2H 8AL </v>
      </c>
      <c r="C151" s="6" t="str">
        <f>IFERROR(__xludf.DUMMYFUNCTION("""COMPUTED_VALUE""")," +44 (0) 7765 223 626 ")</f>
        <v> +44 (0) 7765 223 626 </v>
      </c>
      <c r="D151" s="7" t="str">
        <f>IFERROR(__xludf.DUMMYFUNCTION("""COMPUTED_VALUE""")," https://www.enterprise-ireland.com/en/ ")</f>
        <v> https://www.enterprise-ireland.com/en/ </v>
      </c>
      <c r="E151" s="6" t="str">
        <f>IFERROR(__xludf.DUMMYFUNCTION("""COMPUTED_VALUE"""),"F2G is a world-leading UK- and Austria-based Biotech company (F2G Ltd and 
F2G Biotech GmbH) focused on the discovery and development of novel 
therapies to treat life-threatening invasive fungal infections. F2G has 
discovered and developed a completely "&amp;"new class of antifungal agents called 
the orotomides. The orotomides target dihydroorotate dehydrogenase (DHODH), 
a key enzyme in the de novo pyrimidine biosynthesis pathway. This is a 
completely different mechanism from that of the currently marketed "&amp;"
antifungal agents and gives the orotomides fungicidal activity against a 
broad range of rare and resistant fungal mould infections. Olorofim 
(formerly F901318) is F2G’s leading candidate from this class and is in a 
Phase 2b open-label study focussing "&amp;"on rare and resistant invasive fungal 
infections such as aspergillosis (including azole-resistant strains), 
scedosporiosis, and lomentosporiosis. Olorofim is being developed both as 
IV and oral formulations.")</f>
        <v>F2G is a world-leading UK- and Austria-based Biotech company (F2G Ltd and 
F2G Biotech GmbH) focused on the discovery and development of novel 
therapies to treat life-threatening invasive fungal infections. F2G has 
discovered and developed a completely new class of antifungal agents called 
the orotomides. The orotomides target dihydroorotate dehydrogenase (DHODH), 
a key enzyme in the de novo pyrimidine biosynthesis pathway. This is a 
completely different mechanism from that of the currently marketed 
antifungal agents and gives the orotomides fungicidal activity against a 
broad range of rare and resistant fungal mould infections. Olorofim 
(formerly F901318) is F2G’s leading candidate from this class and is in a 
Phase 2b open-label study focussing on rare and resistant invasive fungal 
infections such as aspergillosis (including azole-resistant strains), 
scedosporiosis, and lomentosporiosis. Olorofim is being developed both as 
IV and oral formulations.</v>
      </c>
    </row>
    <row r="152">
      <c r="A152" s="6" t="str">
        <f>IFERROR(__xludf.DUMMYFUNCTION("""COMPUTED_VALUE"""),"Epidarex Capital Management LLP")</f>
        <v>Epidarex Capital Management LLP</v>
      </c>
      <c r="B152" s="6" t="str">
        <f>IFERROR(__xludf.DUMMYFUNCTION("""COMPUTED_VALUE""")," 137a George Street, Edinburgh, EH2 4JY ")</f>
        <v> 137a George Street, Edinburgh, EH2 4JY </v>
      </c>
      <c r="C152" s="6" t="str">
        <f>IFERROR(__xludf.DUMMYFUNCTION("""COMPUTED_VALUE""")," 0131 2433700 ")</f>
        <v> 0131 2433700 </v>
      </c>
      <c r="D152" s="7" t="str">
        <f>IFERROR(__xludf.DUMMYFUNCTION("""COMPUTED_VALUE""")," http://www.epidarex.com ")</f>
        <v> http://www.epidarex.com </v>
      </c>
      <c r="E152" s="6" t="str">
        <f>IFERROR(__xludf.DUMMYFUNCTION("""COMPUTED_VALUE"""),"Factorytalk are leading experts in the supply of software products, 
consulting, and validation services for digitisation of GxP regulated 
manufacturing. We provide the groundbreaking BatchLine Cloud EBR and Tulip 
No-Code platform, together with our exp"&amp;"ertise and delivery capability to 
bring GxP operations into the digital era. We operate locally in the UK and 
globally via offices in Daresbury, North West England, and Bangkok, 
Thailand We pride ourselves in having the right people to bring leading 
i"&amp;"nternational standards, technology, and techniques, to projects for any 
size of company. Delivered with the experience required to navigate complex 
company cultures and needs, whether a multi-national, regional, or local 
customer. We help regulated com"&amp;"panies to improve their GxP compliance, 
Quality, and IT systems.")</f>
        <v>Factorytalk are leading experts in the supply of software products, 
consulting, and validation services for digitisation of GxP regulated 
manufacturing. We provide the groundbreaking BatchLine Cloud EBR and Tulip 
No-Code platform, together with our expertise and delivery capability to 
bring GxP operations into the digital era. We operate locally in the UK and 
globally via offices in Daresbury, North West England, and Bangkok, 
Thailand We pride ourselves in having the right people to bring leading 
international standards, technology, and techniques, to projects for any 
size of company. Delivered with the experience required to navigate complex 
company cultures and needs, whether a multi-national, regional, or local 
customer. We help regulated companies to improve their GxP compliance, 
Quality, and IT systems.</v>
      </c>
    </row>
    <row r="153">
      <c r="A153" s="6" t="str">
        <f>IFERROR(__xludf.DUMMYFUNCTION("""COMPUTED_VALUE"""),"ESP Diagnostics Limited")</f>
        <v>ESP Diagnostics Limited</v>
      </c>
      <c r="B153" s="6" t="str">
        <f>IFERROR(__xludf.DUMMYFUNCTION("""COMPUTED_VALUE""")," Edwardson Building, Centre for Ageing &amp; Vitality, Newcastle University, 
Newcastle upon Tyne, Tyne &amp; wear, NE45PL ")</f>
        <v> Edwardson Building, Centre for Ageing &amp; Vitality, Newcastle University, 
Newcastle upon Tyne, Tyne &amp; wear, NE45PL </v>
      </c>
      <c r="C153" s="6">
        <f>IFERROR(__xludf.DUMMYFUNCTION("""COMPUTED_VALUE"""),7.986736191E9)</f>
        <v>7986736191</v>
      </c>
      <c r="D153" s="7" t="str">
        <f>IFERROR(__xludf.DUMMYFUNCTION("""COMPUTED_VALUE""")," https://espdiagnostics.com ")</f>
        <v> https://espdiagnostics.com </v>
      </c>
      <c r="E153" s="6" t="str">
        <f>IFERROR(__xludf.DUMMYFUNCTION("""COMPUTED_VALUE"""),"Ferryx is developing safe and effective bacterial products for the 
treatment and prevention of gut inflammation. Ferryx Ltd was formed in 2019 
as a spin-out from the University of Bristol to take anti-inflammatory 
bacterial products into commercial pro"&amp;"duction for the benefit of humans and 
animals. Their proprietary bacterial products can be developed as food 
supplements or prescription therapeutics and will be licensed to marketing 
and distribution partners for market entry.")</f>
        <v>Ferryx is developing safe and effective bacterial products for the 
treatment and prevention of gut inflammation. Ferryx Ltd was formed in 2019 
as a spin-out from the University of Bristol to take anti-inflammatory 
bacterial products into commercial production for the benefit of humans and 
animals. Their proprietary bacterial products can be developed as food 
supplements or prescription therapeutics and will be licensed to marketing 
and distribution partners for market entry.</v>
      </c>
    </row>
    <row r="154">
      <c r="A154" s="6" t="str">
        <f>IFERROR(__xludf.DUMMYFUNCTION("""COMPUTED_VALUE"""),"EviView Limited")</f>
        <v>EviView Limited</v>
      </c>
      <c r="B154" s="6" t="str">
        <f>IFERROR(__xludf.DUMMYFUNCTION("""COMPUTED_VALUE""")," 74 South mall, Cork, Ireland, T12 F3FD ")</f>
        <v> 74 South mall, Cork, Ireland, T12 F3FD </v>
      </c>
      <c r="C154" s="6" t="str">
        <f>IFERROR(__xludf.DUMMYFUNCTION("""COMPUTED_VALUE""")," +353 (0)21 242 7026 ")</f>
        <v> +353 (0)21 242 7026 </v>
      </c>
      <c r="D154" s="7" t="str">
        <f>IFERROR(__xludf.DUMMYFUNCTION("""COMPUTED_VALUE""")," https://eviview.com/ ")</f>
        <v> https://eviview.com/ </v>
      </c>
      <c r="E154" s="6" t="str">
        <f>IFERROR(__xludf.DUMMYFUNCTION("""COMPUTED_VALUE"""),"FibroFind is a preclinical drug development powerhouse that provides its 
clients with knowledge exchange of current understanding in the field of 
fibrosis and chronic disease to help guide their drug development 
aspirations. Fibrofind designs and execu"&amp;"tes drug development studies with 
care, tailoring work to its clients' goals and building the foundations for 
clinical implementation of their products. Fibrofind has developed a 
technology that allows prolonged use of functional precision-cut slices o"&amp;"f 
various human organs tissues applying our technology to the liver, kidney, 
and IPF lung PCS. With its PCS patented technology Fibrofind is able to 
keep human organ slices in an intact and active state for 7 days. We have 
optimized induction of fibro"&amp;"genesis/fibrosis in normal PCS using a specific 
set of stimuli, which we are able to readily block using an inhibitor, this 
providing a positive control for any treatment that its clients may want us 
to test.")</f>
        <v>FibroFind is a preclinical drug development powerhouse that provides its 
clients with knowledge exchange of current understanding in the field of 
fibrosis and chronic disease to help guide their drug development 
aspirations. Fibrofind designs and executes drug development studies with 
care, tailoring work to its clients' goals and building the foundations for 
clinical implementation of their products. Fibrofind has developed a 
technology that allows prolonged use of functional precision-cut slices of 
various human organs tissues applying our technology to the liver, kidney, 
and IPF lung PCS. With its PCS patented technology Fibrofind is able to 
keep human organ slices in an intact and active state for 7 days. We have 
optimized induction of fibrogenesis/fibrosis in normal PCS using a specific 
set of stimuli, which we are able to readily block using an inhibitor, this 
providing a positive control for any treatment that its clients may want us 
to test.</v>
      </c>
    </row>
    <row r="155">
      <c r="A155" s="6" t="str">
        <f>IFERROR(__xludf.DUMMYFUNCTION("""COMPUTED_VALUE"""),"Evotec (UK) Ltd")</f>
        <v>Evotec (UK) Ltd</v>
      </c>
      <c r="B155" s="6" t="str">
        <f>IFERROR(__xludf.DUMMYFUNCTION("""COMPUTED_VALUE""")," 114 Innovation Drive, Milton Park, Abingdon, OX14 4RZ, Milton Park, 
Abingdon, OX14 4RZ ")</f>
        <v> 114 Innovation Drive, Milton Park, Abingdon, OX14 4RZ, Milton Park, 
Abingdon, OX14 4RZ </v>
      </c>
      <c r="C155" s="6" t="str">
        <f>IFERROR(__xludf.DUMMYFUNCTION("""COMPUTED_VALUE""")," 01235 861561 ")</f>
        <v> 01235 861561 </v>
      </c>
      <c r="D155" s="7" t="str">
        <f>IFERROR(__xludf.DUMMYFUNCTION("""COMPUTED_VALUE""")," https://www.evotec.com/en ")</f>
        <v> https://www.evotec.com/en </v>
      </c>
      <c r="E155" s="6" t="str">
        <f>IFERROR(__xludf.DUMMYFUNCTION("""COMPUTED_VALUE"""),"Assistance with the implementation of management systems that meet the 
requirements of International Standards")</f>
        <v>Assistance with the implementation of management systems that meet the 
requirements of International Standards</v>
      </c>
    </row>
    <row r="156">
      <c r="A156" s="6" t="str">
        <f>IFERROR(__xludf.DUMMYFUNCTION("""COMPUTED_VALUE"""),"F2G Ltd")</f>
        <v>F2G Ltd</v>
      </c>
      <c r="B156" s="6" t="str">
        <f>IFERROR(__xludf.DUMMYFUNCTION("""COMPUTED_VALUE""")," Lankro Way, Eccles, Manchester, M30 0LX ")</f>
        <v> Lankro Way, Eccles, Manchester, M30 0LX </v>
      </c>
      <c r="C156" s="6" t="str">
        <f>IFERROR(__xludf.DUMMYFUNCTION("""COMPUTED_VALUE""")," 0161 785 1270 ")</f>
        <v> 0161 785 1270 </v>
      </c>
      <c r="D156" s="7" t="str">
        <f>IFERROR(__xludf.DUMMYFUNCTION("""COMPUTED_VALUE""")," http://www.f2g.com ")</f>
        <v> http://www.f2g.com </v>
      </c>
      <c r="E156" s="6" t="str">
        <f>IFERROR(__xludf.DUMMYFUNCTION("""COMPUTED_VALUE"""),"The White FOx uses gold coated optical fibres to achieve label-free, 
fluidics free, real time protein quantification and kinetic affinity data, 
sandwich assays and biopanning isolation and monitoring – all from one 
flexible benchtop instrument: • The p"&amp;"erformance and speed of surface 
plasmon resonance • The ease of use of a dip-in sensor • Whole blood 
analysis Multiple targets with one device: proteins, antibodies, 
nanobodies, complex particles, microvesicles … ask us about other 
applications.")</f>
        <v>The White FOx uses gold coated optical fibres to achieve label-free, 
fluidics free, real time protein quantification and kinetic affinity data, 
sandwich assays and biopanning isolation and monitoring – all from one 
flexible benchtop instrument: • The performance and speed of surface 
plasmon resonance • The ease of use of a dip-in sensor • Whole blood 
analysis Multiple targets with one device: proteins, antibodies, 
nanobodies, complex particles, microvesicles … ask us about other 
applications.</v>
      </c>
    </row>
    <row r="157">
      <c r="A157" s="6" t="str">
        <f>IFERROR(__xludf.DUMMYFUNCTION("""COMPUTED_VALUE"""),"Factorytalk")</f>
        <v>Factorytalk</v>
      </c>
      <c r="B157" s="6" t="str">
        <f>IFERROR(__xludf.DUMMYFUNCTION("""COMPUTED_VALUE""")," Ebenezer House, Ryecroft, Newcastle Under Lyme, Staffordshire, ST5 2BE ")</f>
        <v> Ebenezer House, Ryecroft, Newcastle Under Lyme, Staffordshire, ST5 2BE </v>
      </c>
      <c r="C157" s="6" t="str">
        <f>IFERROR(__xludf.DUMMYFUNCTION("""COMPUTED_VALUE""")," +(44) 1925 506 130 ")</f>
        <v> +(44) 1925 506 130 </v>
      </c>
      <c r="D157" s="7" t="str">
        <f>IFERROR(__xludf.DUMMYFUNCTION("""COMPUTED_VALUE""")," https://factory-talk.com ")</f>
        <v> https://factory-talk.com </v>
      </c>
      <c r="E157" s="6" t="str">
        <f>IFERROR(__xludf.DUMMYFUNCTION("""COMPUTED_VALUE"""),"Frazer-Nash is a systems and engineering technology consultancy, providing 
specialist engineering support to clients across market sectors as diverse 
as medical / healthcare, power generation, transport, marine and civil 
aerospace. The range of service"&amp;"s we provide to medical &amp; healthcare clients 
include:-• Mechanical Design• Structural Analysis (Static &amp; Dynamic) • 
Software Development and Validation• Human Factors• Fluid &amp; Heat Transfer 
Analysis• Noise &amp; Vibration• Safety, Sustainability &amp; Environm"&amp;"ental 
Support• Electrical Design &amp; Analysis, particularly control &amp; 
instrumentation")</f>
        <v>Frazer-Nash is a systems and engineering technology consultancy, providing 
specialist engineering support to clients across market sectors as diverse 
as medical / healthcare, power generation, transport, marine and civil 
aerospace. The range of services we provide to medical &amp; healthcare clients 
include:-• Mechanical Design• Structural Analysis (Static &amp; Dynamic) • 
Software Development and Validation• Human Factors• Fluid &amp; Heat Transfer 
Analysis• Noise &amp; Vibration• Safety, Sustainability &amp; Environmental 
Support• Electrical Design &amp; Analysis, particularly control &amp; 
instrumentation</v>
      </c>
    </row>
    <row r="158">
      <c r="A158" s="6" t="str">
        <f>IFERROR(__xludf.DUMMYFUNCTION("""COMPUTED_VALUE"""),"Ferryx")</f>
        <v>Ferryx</v>
      </c>
      <c r="B158" s="6" t="str">
        <f>IFERROR(__xludf.DUMMYFUNCTION("""COMPUTED_VALUE""")," Future Space,, UWE Northgate, Bristol, BS34 8RB ")</f>
        <v> Future Space,, UWE Northgate, Bristol, BS34 8RB </v>
      </c>
      <c r="C158" s="6" t="str">
        <f>IFERROR(__xludf.DUMMYFUNCTION("""COMPUTED_VALUE""")," 0117 4280200 ")</f>
        <v> 0117 4280200 </v>
      </c>
      <c r="D158" s="7" t="str">
        <f>IFERROR(__xludf.DUMMYFUNCTION("""COMPUTED_VALUE""")," https://www.ferryx.com/ ")</f>
        <v> https://www.ferryx.com/ </v>
      </c>
      <c r="E158" s="6" t="str">
        <f>IFERROR(__xludf.DUMMYFUNCTION("""COMPUTED_VALUE"""),"Specialist Life Sciences Tax Compliance and Consulting")</f>
        <v>Specialist Life Sciences Tax Compliance and Consulting</v>
      </c>
    </row>
    <row r="159">
      <c r="A159" s="6" t="str">
        <f>IFERROR(__xludf.DUMMYFUNCTION("""COMPUTED_VALUE"""),"Fibrofind Ltd")</f>
        <v>Fibrofind Ltd</v>
      </c>
      <c r="B159" s="6" t="str">
        <f>IFERROR(__xludf.DUMMYFUNCTION("""COMPUTED_VALUE""")," 12 Regent Terrace, Gateshead, NE8 1LU ")</f>
        <v> 12 Regent Terrace, Gateshead, NE8 1LU </v>
      </c>
      <c r="C159" s="6">
        <f>IFERROR(__xludf.DUMMYFUNCTION("""COMPUTED_VALUE"""),1.912085902E9)</f>
        <v>1912085902</v>
      </c>
      <c r="D159" s="7" t="str">
        <f>IFERROR(__xludf.DUMMYFUNCTION("""COMPUTED_VALUE""")," https://www.fibrofind.com/ ")</f>
        <v> https://www.fibrofind.com/ </v>
      </c>
      <c r="E159" s="6" t="str">
        <f>IFERROR(__xludf.DUMMYFUNCTION("""COMPUTED_VALUE"""),"We are a cGMP contract manufacturer using microbial and mammalian 
expression systems for pre-clinical to commercial production of therapeutic 
proteins.")</f>
        <v>We are a cGMP contract manufacturer using microbial and mammalian 
expression systems for pre-clinical to commercial production of therapeutic 
proteins.</v>
      </c>
    </row>
    <row r="160">
      <c r="A160" s="6" t="str">
        <f>IFERROR(__xludf.DUMMYFUNCTION("""COMPUTED_VALUE"""),"Flintloque Management Systems Ltd")</f>
        <v>Flintloque Management Systems Ltd</v>
      </c>
      <c r="B160" s="6" t="str">
        <f>IFERROR(__xludf.DUMMYFUNCTION("""COMPUTED_VALUE""")," The Innovation Centre, Keckwick Lane, Daresbury, Warrington, WA4 4FS ")</f>
        <v> The Innovation Centre, Keckwick Lane, Daresbury, Warrington, WA4 4FS </v>
      </c>
      <c r="C160" s="6" t="str">
        <f>IFERROR(__xludf.DUMMYFUNCTION("""COMPUTED_VALUE""")," 07528 472 222 ")</f>
        <v> 07528 472 222 </v>
      </c>
      <c r="D160" s="7" t="str">
        <f>IFERROR(__xludf.DUMMYFUNCTION("""COMPUTED_VALUE""")," http://www.flintloque.co.uk ")</f>
        <v> http://www.flintloque.co.uk </v>
      </c>
      <c r="E160" s="6" t="str">
        <f>IFERROR(__xludf.DUMMYFUNCTION("""COMPUTED_VALUE"""),"Insurance and risk management services for the Life Sciences industry")</f>
        <v>Insurance and risk management services for the Life Sciences industry</v>
      </c>
    </row>
    <row r="161">
      <c r="A161" s="6" t="str">
        <f>IFERROR(__xludf.DUMMYFUNCTION("""COMPUTED_VALUE"""),"FOx Biosystems")</f>
        <v>FOx Biosystems</v>
      </c>
      <c r="B161" s="6" t="str">
        <f>IFERROR(__xludf.DUMMYFUNCTION("""COMPUTED_VALUE""")," FOx Biosystems NV, Bioville, Agoralaan Abis, Diepenbeek,, Belgium, 3590 ")</f>
        <v> FOx Biosystems NV, Bioville, Agoralaan Abis, Diepenbeek,, Belgium, 3590 </v>
      </c>
      <c r="C161" s="6" t="str">
        <f>IFERROR(__xludf.DUMMYFUNCTION("""COMPUTED_VALUE""")," +44(0) 7736 971120 ")</f>
        <v> +44(0) 7736 971120 </v>
      </c>
      <c r="D161" s="7" t="str">
        <f>IFERROR(__xludf.DUMMYFUNCTION("""COMPUTED_VALUE""")," https://www.foxbiosystems.com ")</f>
        <v> https://www.foxbiosystems.com </v>
      </c>
      <c r="E161" s="6" t="str">
        <f>IFERROR(__xludf.DUMMYFUNCTION("""COMPUTED_VALUE"""),"Gallarus provide Intelligent Machine, IT &amp; OT solutions that make smart 
decisions easy for you. We combine the key principles of Industry 4.0 to 
deploy Pharma 4.0 best in class solutions that address the evolving Life 
Science environment and production"&amp;" challenges. This delivers exponential 
benefits in the form of cost saving, quality enhancement and OEE 
efficiencies.")</f>
        <v>Gallarus provide Intelligent Machine, IT &amp; OT solutions that make smart 
decisions easy for you. We combine the key principles of Industry 4.0 to 
deploy Pharma 4.0 best in class solutions that address the evolving Life 
Science environment and production challenges. This delivers exponential 
benefits in the form of cost saving, quality enhancement and OEE 
efficiencies.</v>
      </c>
    </row>
    <row r="162">
      <c r="A162" s="6" t="str">
        <f>IFERROR(__xludf.DUMMYFUNCTION("""COMPUTED_VALUE"""),"Frazer-Nash Consultancy Ltd.")</f>
        <v>Frazer-Nash Consultancy Ltd.</v>
      </c>
      <c r="B162" s="6" t="str">
        <f>IFERROR(__xludf.DUMMYFUNCTION("""COMPUTED_VALUE""")," Suite R210, Materials Processing Institute, Eston Road, Middlesbrough, TS6 
6US ")</f>
        <v> Suite R210, Materials Processing Institute, Eston Road, Middlesbrough, TS6 
6US </v>
      </c>
      <c r="C162" s="6" t="str">
        <f>IFERROR(__xludf.DUMMYFUNCTION("""COMPUTED_VALUE""")," 01642 382107 ")</f>
        <v> 01642 382107 </v>
      </c>
      <c r="D162" s="7" t="str">
        <f>IFERROR(__xludf.DUMMYFUNCTION("""COMPUTED_VALUE""")," http://www.fnc.co.uk ")</f>
        <v> http://www.fnc.co.uk </v>
      </c>
      <c r="E162" s="6" t="str">
        <f>IFERROR(__xludf.DUMMYFUNCTION("""COMPUTED_VALUE"""),"Gentronix provides services and solutions to help organisations optimise 
the development of drugs and other chemicals, by reducing attrition due to 
toxicity thus ensuring safer products across a wide range of chemistry 
driven industries. We provide con"&amp;"tract services for genotoxicity using a 
patented human cell GADD45a reporter GreenScreen HC® and BlueScreen HC™ 
assays and related assays including Micronucleus and Ames MPF™")</f>
        <v>Gentronix provides services and solutions to help organisations optimise 
the development of drugs and other chemicals, by reducing attrition due to 
toxicity thus ensuring safer products across a wide range of chemistry 
driven industries. We provide contract services for genotoxicity using a 
patented human cell GADD45a reporter GreenScreen HC® and BlueScreen HC™ 
assays and related assays including Micronucleus and Ames MPF™</v>
      </c>
    </row>
    <row r="163">
      <c r="A163" s="6" t="str">
        <f>IFERROR(__xludf.DUMMYFUNCTION("""COMPUTED_VALUE"""),"FTI Consulting LLP - Tax/ Life Science")</f>
        <v>FTI Consulting LLP - Tax/ Life Science</v>
      </c>
      <c r="B163" s="6" t="str">
        <f>IFERROR(__xludf.DUMMYFUNCTION("""COMPUTED_VALUE""")," 200 Aldersgate,, Aldersgate Street, London, EC1A 4HD ")</f>
        <v> 200 Aldersgate,, Aldersgate Street, London, EC1A 4HD </v>
      </c>
      <c r="C163" s="6" t="str">
        <f>IFERROR(__xludf.DUMMYFUNCTION("""COMPUTED_VALUE""")," 07717 702162 ")</f>
        <v> 07717 702162 </v>
      </c>
      <c r="D163" s="7" t="str">
        <f>IFERROR(__xludf.DUMMYFUNCTION("""COMPUTED_VALUE""")," 
https://www.fticonsulting-emea.com/services/corporate-finance-restructuring/tax-advisory/life-sciences 
")</f>
        <v> 
https://www.fticonsulting-emea.com/services/corporate-finance-restructuring/tax-advisory/life-sciences 
</v>
      </c>
      <c r="E163" s="6" t="str">
        <f>IFERROR(__xludf.DUMMYFUNCTION("""COMPUTED_VALUE"""),"We bridge the gaps between healthcare companies, patients and the medical 
community")</f>
        <v>We bridge the gaps between healthcare companies, patients and the medical 
community</v>
      </c>
    </row>
    <row r="164">
      <c r="A164" s="6" t="str">
        <f>IFERROR(__xludf.DUMMYFUNCTION("""COMPUTED_VALUE"""),"FUJIFILM Diosynth Biotechnologies Ltd")</f>
        <v>FUJIFILM Diosynth Biotechnologies Ltd</v>
      </c>
      <c r="B164" s="6" t="str">
        <f>IFERROR(__xludf.DUMMYFUNCTION("""COMPUTED_VALUE""")," Belasis Avenue, Billingham, TS23 1LH ")</f>
        <v> Belasis Avenue, Billingham, TS23 1LH </v>
      </c>
      <c r="C164" s="6" t="str">
        <f>IFERROR(__xludf.DUMMYFUNCTION("""COMPUTED_VALUE""")," 01642 363 511 ")</f>
        <v> 01642 363 511 </v>
      </c>
      <c r="D164" s="7" t="str">
        <f>IFERROR(__xludf.DUMMYFUNCTION("""COMPUTED_VALUE""")," http://www.fujifilmdiosynth.com ")</f>
        <v> http://www.fujifilmdiosynth.com </v>
      </c>
      <c r="E164" s="6" t="str">
        <f>IFERROR(__xludf.DUMMYFUNCTION("""COMPUTED_VALUE"""),"GMP Manufacturing Ltd A leading UK contract manufacturer working with 
multinational and individual companies to produce a wide range of 
high-quality products. We specialise in contract manufacturing, filling and 
packing solutions for Biocides, Pharmace"&amp;"uticals, Cosmetics and Healthcare 
products in the United Kingdom. We provide: Complete contract manufacturing 
solutions, including full pack development - Structural and Inventive 
design / Packaging Sourcing and Ingredient Sourcing. Label design and 
r"&amp;"epacking activities for businesses. Unique solutions that include a free 
trial prior to the agreement, understanding the customers' requirements are 
different according to the project. Regulatory and quality checks by our 
highly qualified specialists i"&amp;"n the desired area of expertise. Packaging 
solutions to ensure the safety and reliability of various goods. Thereby 
protecting your products during their storage and transportation. All 
manufacturing activities performed in the UK Manufacturing facilit"&amp;"y with 
excellent heritage since 1937")</f>
        <v>GMP Manufacturing Ltd A leading UK contract manufacturer working with 
multinational and individual companies to produce a wide range of 
high-quality products. We specialise in contract manufacturing, filling and 
packing solutions for Biocides, Pharmaceuticals, Cosmetics and Healthcare 
products in the United Kingdom. We provide: Complete contract manufacturing 
solutions, including full pack development - Structural and Inventive 
design / Packaging Sourcing and Ingredient Sourcing. Label design and 
repacking activities for businesses. Unique solutions that include a free 
trial prior to the agreement, understanding the customers' requirements are 
different according to the project. Regulatory and quality checks by our 
highly qualified specialists in the desired area of expertise. Packaging 
solutions to ensure the safety and reliability of various goods. Thereby 
protecting your products during their storage and transportation. All 
manufacturing activities performed in the UK Manufacturing facility with 
excellent heritage since 1937</v>
      </c>
    </row>
    <row r="165">
      <c r="A165" s="6" t="str">
        <f>IFERROR(__xludf.DUMMYFUNCTION("""COMPUTED_VALUE"""),"Gallagher")</f>
        <v>Gallagher</v>
      </c>
      <c r="B165" s="6" t="str">
        <f>IFERROR(__xludf.DUMMYFUNCTION("""COMPUTED_VALUE""")," 4 Oak Court, Prologis Park, Coventry, Coventry, Warwickshire, CV6 4QH ")</f>
        <v> 4 Oak Court, Prologis Park, Coventry, Coventry, Warwickshire, CV6 4QH </v>
      </c>
      <c r="C165" s="6">
        <f>IFERROR(__xludf.DUMMYFUNCTION("""COMPUTED_VALUE"""),7.873628549E9)</f>
        <v>7873628549</v>
      </c>
      <c r="D165" s="7" t="str">
        <f>IFERROR(__xludf.DUMMYFUNCTION("""COMPUTED_VALUE""")," https://www.ajg.com/uk/life-sciences/ ")</f>
        <v> https://www.ajg.com/uk/life-sciences/ </v>
      </c>
      <c r="E165" s="6" t="str">
        <f>IFERROR(__xludf.DUMMYFUNCTION("""COMPUTED_VALUE"""),"We provide first-class legal, compliance and HR services to businesses. Our 
mission is to enable innovative businesses with big ideas to realise their 
ambitions, reduce their stress and limit their risk. We take a holistic 
approach to our clients provi"&amp;"ding them with a personalised and complete 
legal, compliance and HR ecosystem enabling them to focus on what they do 
best. Encompassing board support, company secretarial, governance and 
compliance, shareholder support, HR support, health and safety, m"&amp;"ergers &amp; 
acquisitions, property, Intellectual Property strategy and advice, 
commercial and contractual advice. We train, support and guide our clients 
on their journey to success. Our people are experienced professionals who 
have worked inside the bus"&amp;"iness sectors we serve. We have extensive 
experience working with STEM clients with a strong focus on the life 
sciences and biomedical sector. Our network is our client’s network so they 
can make successful and valuable connections. We deliver practica"&amp;"l 
commercial advice in a friendly way, based on our commitment to understand 
our clients’ business and building long-lasting relationships. We have 
lived the same pragmatism, commerciality and personal service that you 
demand of us. Our Values of Trus"&amp;"t, Warmth, Personal Service and Premium 
Quality are uppermost in all that we do.")</f>
        <v>We provide first-class legal, compliance and HR services to businesses. Our 
mission is to enable innovative businesses with big ideas to realise their 
ambitions, reduce their stress and limit their risk. We take a holistic 
approach to our clients providing them with a personalised and complete 
legal, compliance and HR ecosystem enabling them to focus on what they do 
best. Encompassing board support, company secretarial, governance and 
compliance, shareholder support, HR support, health and safety, mergers &amp; 
acquisitions, property, Intellectual Property strategy and advice, 
commercial and contractual advice. We train, support and guide our clients 
on their journey to success. Our people are experienced professionals who 
have worked inside the business sectors we serve. We have extensive 
experience working with STEM clients with a strong focus on the life 
sciences and biomedical sector. Our network is our client’s network so they 
can make successful and valuable connections. We deliver practical 
commercial advice in a friendly way, based on our commitment to understand 
our clients’ business and building long-lasting relationships. We have 
lived the same pragmatism, commerciality and personal service that you 
demand of us. Our Values of Trust, Warmth, Personal Service and Premium 
Quality are uppermost in all that we do.</v>
      </c>
    </row>
    <row r="166">
      <c r="A166" s="6" t="str">
        <f>IFERROR(__xludf.DUMMYFUNCTION("""COMPUTED_VALUE"""),"Gallarus")</f>
        <v>Gallarus</v>
      </c>
      <c r="B166" s="6" t="str">
        <f>IFERROR(__xludf.DUMMYFUNCTION("""COMPUTED_VALUE""")," Unit 3B, Block B, 4 Park Business Centre, Farranfore, Co Kerry, V93 K372 ")</f>
        <v> Unit 3B, Block B, 4 Park Business Centre, Farranfore, Co Kerry, V93 K372 </v>
      </c>
      <c r="C166" s="6" t="str">
        <f>IFERROR(__xludf.DUMMYFUNCTION("""COMPUTED_VALUE""")," (064) 667 6600 ")</f>
        <v> (064) 667 6600 </v>
      </c>
      <c r="D166" s="7" t="str">
        <f>IFERROR(__xludf.DUMMYFUNCTION("""COMPUTED_VALUE""")," https://gis.ie/ ")</f>
        <v> https://gis.ie/ </v>
      </c>
      <c r="E166" s="6" t="str">
        <f>IFERROR(__xludf.DUMMYFUNCTION("""COMPUTED_VALUE"""),"Founded in 2002, Hart Biologicals Ltd is based in Hartlepool in the North 
East of England.The facility is engaged in the research, development, 
manufacture, and marketing of a range of ""in-vitro"" diagnostic products for 
use in the detection, preventi"&amp;"on, and monitoring of a number of medical 
conditions related to haemostasis and platelet function.")</f>
        <v>Founded in 2002, Hart Biologicals Ltd is based in Hartlepool in the North 
East of England.The facility is engaged in the research, development, 
manufacture, and marketing of a range of "in-vitro" diagnostic products for 
use in the detection, prevention, and monitoring of a number of medical 
conditions related to haemostasis and platelet function.</v>
      </c>
    </row>
    <row r="167">
      <c r="A167" s="6" t="str">
        <f>IFERROR(__xludf.DUMMYFUNCTION("""COMPUTED_VALUE"""),"Gentronix Ltd")</f>
        <v>Gentronix Ltd</v>
      </c>
      <c r="B167" s="6" t="str">
        <f>IFERROR(__xludf.DUMMYFUNCTION("""COMPUTED_VALUE""")," BioHub at Alderley Park, Alderley Edge, Cheshire, SK10 4TG ")</f>
        <v> BioHub at Alderley Park, Alderley Edge, Cheshire, SK10 4TG </v>
      </c>
      <c r="C167" s="6" t="str">
        <f>IFERROR(__xludf.DUMMYFUNCTION("""COMPUTED_VALUE""")," 01625 238 740 ")</f>
        <v> 01625 238 740 </v>
      </c>
      <c r="D167" s="7" t="str">
        <f>IFERROR(__xludf.DUMMYFUNCTION("""COMPUTED_VALUE""")," http://www.gentronix.co.uk ")</f>
        <v> http://www.gentronix.co.uk </v>
      </c>
      <c r="E167" s="6" t="str">
        <f>IFERROR(__xludf.DUMMYFUNCTION("""COMPUTED_VALUE"""),"Health Innovation Manchester is an ‘academic health science system’ that 
leverages the city region’s entire spectrum of exceptional clinical, 
academic and public assets, alongside industry innovators, to inject proven 
innovation into population health,"&amp;" social care, and acute services.")</f>
        <v>Health Innovation Manchester is an ‘academic health science system’ that 
leverages the city region’s entire spectrum of exceptional clinical, 
academic and public assets, alongside industry innovators, to inject proven 
innovation into population health, social care, and acute services.</v>
      </c>
    </row>
    <row r="168">
      <c r="A168" s="6" t="str">
        <f>IFERROR(__xludf.DUMMYFUNCTION("""COMPUTED_VALUE"""),"Glasshouse Health")</f>
        <v>Glasshouse Health</v>
      </c>
      <c r="B168" s="6" t="str">
        <f>IFERROR(__xludf.DUMMYFUNCTION("""COMPUTED_VALUE""")," Glasshouse, Alderley Park, Macclesfield, SK10 4TF ")</f>
        <v> Glasshouse, Alderley Park, Macclesfield, SK10 4TF </v>
      </c>
      <c r="C168" s="6">
        <f>IFERROR(__xludf.DUMMYFUNCTION("""COMPUTED_VALUE"""),7.928893768E9)</f>
        <v>7928893768</v>
      </c>
      <c r="D168" s="7" t="str">
        <f>IFERROR(__xludf.DUMMYFUNCTION("""COMPUTED_VALUE""")," https://www.glasshousehealth.com/ ")</f>
        <v> https://www.glasshousehealth.com/ </v>
      </c>
      <c r="E168" s="6" t="str">
        <f>IFERROR(__xludf.DUMMYFUNCTION("""COMPUTED_VALUE"""),"The North West Coast Academic Health Science Network (NWC AHSN) is 
pioneering a new, innovative way of working. Our aim is to close the gap 
between best practice and current practice through collaborating with 
patients, the NHS, academia and industry t"&amp;"o co-develop solutions to joint 
challenges. Our goal is to improve patient and population health outcomes 
by translating research into practice across Cheshire, Merseyside, South 
Cumbria and Lancashire. We are delivering a step-change in the way the NH"&amp;"S 
identifies, develops and adopts new innovative products and services. We 
have a unique opportunity to align education, clinical research, 
informatics, innovation and healthcare delivery to improve patient care.")</f>
        <v>The North West Coast Academic Health Science Network (NWC AHSN) is 
pioneering a new, innovative way of working. Our aim is to close the gap 
between best practice and current practice through collaborating with 
patients, the NHS, academia and industry to co-develop solutions to joint 
challenges. Our goal is to improve patient and population health outcomes 
by translating research into practice across Cheshire, Merseyside, South 
Cumbria and Lancashire. We are delivering a step-change in the way the NHS 
identifies, develops and adopts new innovative products and services. We 
have a unique opportunity to align education, clinical research, 
informatics, innovation and healthcare delivery to improve patient care.</v>
      </c>
    </row>
    <row r="169">
      <c r="A169" s="6" t="str">
        <f>IFERROR(__xludf.DUMMYFUNCTION("""COMPUTED_VALUE"""),"GMP Healthcare Ltd")</f>
        <v>GMP Healthcare Ltd</v>
      </c>
      <c r="B169" s="6" t="str">
        <f>IFERROR(__xludf.DUMMYFUNCTION("""COMPUTED_VALUE""")," GMP Manufacturing Ltd, Marfleet house, Valletta Street, Hull, East Riding 
of Yorkshire, HU9 5NP ")</f>
        <v> GMP Manufacturing Ltd, Marfleet house, Valletta Street, Hull, East Riding 
of Yorkshire, HU9 5NP </v>
      </c>
      <c r="C169" s="6">
        <f>IFERROR(__xludf.DUMMYFUNCTION("""COMPUTED_VALUE"""),7.54961301E9)</f>
        <v>7549613010</v>
      </c>
      <c r="D169" s="7" t="str">
        <f>IFERROR(__xludf.DUMMYFUNCTION("""COMPUTED_VALUE""")," https://www.gmpmanufacturing.co.uk ")</f>
        <v> https://www.gmpmanufacturing.co.uk </v>
      </c>
      <c r="E169" s="6" t="str">
        <f>IFERROR(__xludf.DUMMYFUNCTION("""COMPUTED_VALUE"""),"Hematogenix was established in 2007. The goal was to build a different kind 
of esoteric reference laboratory - one that puts patients and their care 
first. No venture capitalists, no publicly traded board, no big business 
and no pressure to provide hig"&amp;"h profits that could compromise patient 
care.From the beginning, Hematogenix established testing protocols that 
ensure each patient's individual medical history and stage of disease is 
taken into account. It is priority to ensure that every test ordere"&amp;"d is 
truly needed and will yield valuable clinical insight.Today, our 
state-of-the-art facilities in both USA &amp; Europe (UK) span 32,000 square 
feet and are specially designed to optimize work flow and promote 
department collaboration. Our scientific s"&amp;"pace houses advanced technologies 
from the top laboratory equipment manufacturers. Often times, we are the 
first commercial site to house leading edge instrumentation.Hematogenix 
offers a comprehensive array of services designed to navigate the 
comple"&amp;"xities of human subject clinical trials. Our deep research and 
clinical laboratory experience enable us to resolve emerging challenges 
found in clinical trials. Hematogenix provides logistic management of 
tissue and sample procurement, distributes coll"&amp;"ection kits and contributes 
to standards and procedures required for initiating a clinical trial. 
Powered by a state-of-the-art laboratory information system, Hematogenix 
facilities and practices comply with rigorous chain of custody and specimen 
mana"&amp;"gement practices. We are a CAP, CLIA and GCP compliant laboratory.We 
offer Clinical Trail Biomarker Services including: Flow Cytometry, FISH, 
IHC, mRNA ISH, PCR, Sequencing, &amp; more, Biomarker Assay Development, 
Companion Diagnostics, Bio Banking Servic"&amp;"es, Bone Marrow, Blood, &amp; Solid 
Tumors.")</f>
        <v>Hematogenix was established in 2007. The goal was to build a different kind 
of esoteric reference laboratory - one that puts patients and their care 
first. No venture capitalists, no publicly traded board, no big business 
and no pressure to provide high profits that could compromise patient 
care.From the beginning, Hematogenix established testing protocols that 
ensure each patient's individual medical history and stage of disease is 
taken into account. It is priority to ensure that every test ordered is 
truly needed and will yield valuable clinical insight.Today, our 
state-of-the-art facilities in both USA &amp; Europe (UK) span 32,000 square 
feet and are specially designed to optimize work flow and promote 
department collaboration. Our scientific space houses advanced technologies 
from the top laboratory equipment manufacturers. Often times, we are the 
first commercial site to house leading edge instrumentation.Hematogenix 
offers a comprehensive array of services designed to navigate the 
complexities of human subject clinical trials. Our deep research and 
clinical laboratory experience enable us to resolve emerging challenges 
found in clinical trials. Hematogenix provides logistic management of 
tissue and sample procurement, distributes collection kits and contributes 
to standards and procedures required for initiating a clinical trial. 
Powered by a state-of-the-art laboratory information system, Hematogenix 
facilities and practices comply with rigorous chain of custody and specimen 
management practices. We are a CAP, CLIA and GCP compliant laboratory.We 
offer Clinical Trail Biomarker Services including: Flow Cytometry, FISH, 
IHC, mRNA ISH, PCR, Sequencing, &amp; more, Biomarker Assay Development, 
Companion Diagnostics, Bio Banking Services, Bone Marrow, Blood, &amp; Solid 
Tumors.</v>
      </c>
    </row>
    <row r="170">
      <c r="A170" s="6" t="str">
        <f>IFERROR(__xludf.DUMMYFUNCTION("""COMPUTED_VALUE"""),"GSK")</f>
        <v>GSK</v>
      </c>
      <c r="B170" s="6" t="str">
        <f>IFERROR(__xludf.DUMMYFUNCTION("""COMPUTED_VALUE""")," Harmire Road,, Barnard Castle, County Durham, DL12 8DT ")</f>
        <v> Harmire Road,, Barnard Castle, County Durham, DL12 8DT </v>
      </c>
      <c r="C170" s="6" t="str">
        <f>IFERROR(__xludf.DUMMYFUNCTION("""COMPUTED_VALUE""")," 01833 692189 ")</f>
        <v> 01833 692189 </v>
      </c>
      <c r="D170" s="7" t="str">
        <f>IFERROR(__xludf.DUMMYFUNCTION("""COMPUTED_VALUE""")," http://www.gsk.com/ ")</f>
        <v> http://www.gsk.com/ </v>
      </c>
      <c r="E170" s="6" t="str">
        <f>IFERROR(__xludf.DUMMYFUNCTION("""COMPUTED_VALUE"""),"HexisLab researches and develops new bioactive ingredients. Using our 
Artificial Intelligence (A) discovery approach, we help our clients 
identify and validate new formulations for cosmetics, nutraceutical, and 
pharmaceutical applications.")</f>
        <v>HexisLab researches and develops new bioactive ingredients. Using our 
Artificial Intelligence (A) discovery approach, we help our clients 
identify and validate new formulations for cosmetics, nutraceutical, and 
pharmaceutical applications.</v>
      </c>
    </row>
    <row r="171">
      <c r="A171" s="6" t="str">
        <f>IFERROR(__xludf.DUMMYFUNCTION("""COMPUTED_VALUE"""),"Haddletons")</f>
        <v>Haddletons</v>
      </c>
      <c r="B171" s="6" t="str">
        <f>IFERROR(__xludf.DUMMYFUNCTION("""COMPUTED_VALUE""")," Windsor House, Cornwall Road, Harrogate, HG1 2PW ")</f>
        <v> Windsor House, Cornwall Road, Harrogate, HG1 2PW </v>
      </c>
      <c r="C171" s="6">
        <f>IFERROR(__xludf.DUMMYFUNCTION("""COMPUTED_VALUE"""),3.3302317E9)</f>
        <v>3330231700</v>
      </c>
      <c r="D171" s="7" t="str">
        <f>IFERROR(__xludf.DUMMYFUNCTION("""COMPUTED_VALUE""")," https://www.haddletons.com/ ")</f>
        <v> https://www.haddletons.com/ </v>
      </c>
      <c r="E171" s="6" t="str">
        <f>IFERROR(__xludf.DUMMYFUNCTION("""COMPUTED_VALUE"""),"Highbury Regulatory Science provides consulting support to small and 
mid-size growing biotech companies on regulatory and development strategies 
across a range of therapy areas and regions. We also provide advice on 
organisational development and outso"&amp;"urcing key regulatory activities. We 
operate from London and Biohub at Alderley Park.")</f>
        <v>Highbury Regulatory Science provides consulting support to small and 
mid-size growing biotech companies on regulatory and development strategies 
across a range of therapy areas and regions. We also provide advice on 
organisational development and outsourcing key regulatory activities. We 
operate from London and Biohub at Alderley Park.</v>
      </c>
    </row>
    <row r="172">
      <c r="A172" s="6" t="str">
        <f>IFERROR(__xludf.DUMMYFUNCTION("""COMPUTED_VALUE"""),"Hart Biologicals")</f>
        <v>Hart Biologicals</v>
      </c>
      <c r="B172" s="6" t="str">
        <f>IFERROR(__xludf.DUMMYFUNCTION("""COMPUTED_VALUE""")," 2 Rivergreen Business Centre, Queens Meadow, Hartlepool, TS25 2DL ")</f>
        <v> 2 Rivergreen Business Centre, Queens Meadow, Hartlepool, TS25 2DL </v>
      </c>
      <c r="C172" s="6" t="str">
        <f>IFERROR(__xludf.DUMMYFUNCTION("""COMPUTED_VALUE""")," 01429 271 100 ")</f>
        <v> 01429 271 100 </v>
      </c>
      <c r="D172" s="7" t="str">
        <f>IFERROR(__xludf.DUMMYFUNCTION("""COMPUTED_VALUE""")," http://www.hartbio.com ")</f>
        <v> http://www.hartbio.com </v>
      </c>
      <c r="E172" s="6" t="str">
        <f>IFERROR(__xludf.DUMMYFUNCTION("""COMPUTED_VALUE"""),"Histologix Ltd - One of the UK’s Leading Independent, GLP/GCP Accredited 
Laboratories for specialised histology, biomarker and immune-oncology 
Quantitative IHC and ISH Tissue Expression Services. Formed in 2005, 
Histologix Ltd is a GLP &amp; GCP accredited"&amp;" CRO, licenced by the Human Tissue 
Authority, that provides the Pharmaceutical and Biotechnology industry with 
specialist Histopathology services to assist our client’s drug development 
programmes from Discovery and regulatory preclinical safety testin"&amp;"g through 
to clinical trials. Services include; Human tissue sourcing, Histology, 
Medical and Veterinary Pathologist review, Immunohistochemistry and in situ 
hybridisation, Tissue Cross-Reactivity of Therapeutic Antibodies, 
Over-expressing cell line a"&amp;"nd xenograft studies - In-vitro efficacy 
studies, Target Development and Distribution, Angiogenesis, Cell 
Proliferation/Apoptosis, Tumour and Stromal immune cell phenotyping, 
Biosimilar efficacy, Validated and optimised IHC immuno-oncology biomarker 
a"&amp;"ssays together with next generation quantitative image analysis clinical 
trial support, IHC Multiplexing using fluorescent and chromogenic systems, 
Digital Pathology, Patient recruitment/stratification, Through 
Collaboration We offer validated in vitro"&amp;" and in vivo models in: • 
Immuno-oncology • Autoimmune disease • Inflammation and allergy • 
Anti-microbials, anti-virals and vaccinology As part of our Immuno-Oncology 
service Histologix offers immune cell biomarker assays, checkpoint 
inhibitor assays"&amp;" and a range of dual and multiplexed staining assays that 
will provide functional readouts and additional mechanistic information and 
understanding of the tumour immune microenvironment, which in turn delivers 
a valuable immunological insight into tumo"&amp;"ur immune processes. Image 
analysis algorithms are critical within this process to consistently 
localise staining and to reproducibly measure the proximity and spatial 
relationships between immune cells within the tumour microenvironment and 
surroundi"&amp;"ng stroma. The HistologiX science-led Immuno-oncology team 
consists of Marie Cumberbatch (Director, Immune Insight Ltd and former 
Molecular Pathology Team Leader in Translational Science at AstraZeneca 
specialising in immuno-oncology), Professor Adam H"&amp;"argreaves (Director, 
PathCelerate Ltd, British (FRCPath), American (DiplACVP) board-certified 
veterinary and toxicologic histopathologist), and Professor Chris Womack 
(Chairman of HistologiX Ltd and former Head of Oncology Molecular Pathology 
group, A"&amp;"straZeneca). Histologix has clients throughout UK, EU, Scandanavia, 
Switzerland, Russia, Canada and the USA.")</f>
        <v>Histologix Ltd - One of the UK’s Leading Independent, GLP/GCP Accredited 
Laboratories for specialised histology, biomarker and immune-oncology 
Quantitative IHC and ISH Tissue Expression Services. Formed in 2005, 
Histologix Ltd is a GLP &amp; GCP accredited CRO, licenced by the Human Tissue 
Authority, that provides the Pharmaceutical and Biotechnology industry with 
specialist Histopathology services to assist our client’s drug development 
programmes from Discovery and regulatory preclinical safety testing through 
to clinical trials. Services include; Human tissue sourcing, Histology, 
Medical and Veterinary Pathologist review, Immunohistochemistry and in situ 
hybridisation, Tissue Cross-Reactivity of Therapeutic Antibodies, 
Over-expressing cell line and xenograft studies - In-vitro efficacy 
studies, Target Development and Distribution, Angiogenesis, Cell 
Proliferation/Apoptosis, Tumour and Stromal immune cell phenotyping, 
Biosimilar efficacy, Validated and optimised IHC immuno-oncology biomarker 
assays together with next generation quantitative image analysis clinical 
trial support, IHC Multiplexing using fluorescent and chromogenic systems, 
Digital Pathology, Patient recruitment/stratification, Through 
Collaboration We offer validated in vitro and in vivo models in: • 
Immuno-oncology • Autoimmune disease • Inflammation and allergy • 
Anti-microbials, anti-virals and vaccinology As part of our Immuno-Oncology 
service Histologix offers immune cell biomarker assays, checkpoint 
inhibitor assays and a range of dual and multiplexed staining assays that 
will provide functional readouts and additional mechanistic information and 
understanding of the tumour immune microenvironment, which in turn delivers 
a valuable immunological insight into tumour immune processes. Image 
analysis algorithms are critical within this process to consistently 
localise staining and to reproducibly measure the proximity and spatial 
relationships between immune cells within the tumour microenvironment and 
surrounding stroma. The HistologiX science-led Immuno-oncology team 
consists of Marie Cumberbatch (Director, Immune Insight Ltd and former 
Molecular Pathology Team Leader in Translational Science at AstraZeneca 
specialising in immuno-oncology), Professor Adam Hargreaves (Director, 
PathCelerate Ltd, British (FRCPath), American (DiplACVP) board-certified 
veterinary and toxicologic histopathologist), and Professor Chris Womack 
(Chairman of HistologiX Ltd and former Head of Oncology Molecular Pathology 
group, AstraZeneca). Histologix has clients throughout UK, EU, Scandanavia, 
Switzerland, Russia, Canada and the USA.</v>
      </c>
    </row>
    <row r="173">
      <c r="A173" s="6" t="str">
        <f>IFERROR(__xludf.DUMMYFUNCTION("""COMPUTED_VALUE"""),"Health Innovation Manchester")</f>
        <v>Health Innovation Manchester</v>
      </c>
      <c r="B173" s="6" t="str">
        <f>IFERROR(__xludf.DUMMYFUNCTION("""COMPUTED_VALUE""")," Suite C, Third floor, Citylabs 1.0, Nelson Street, Manchester, M13 9NQ ")</f>
        <v> Suite C, Third floor, Citylabs 1.0, Nelson Street, Manchester, M13 9NQ </v>
      </c>
      <c r="C173" s="6" t="str">
        <f>IFERROR(__xludf.DUMMYFUNCTION("""COMPUTED_VALUE""")," 0161 509 3840 ")</f>
        <v> 0161 509 3840 </v>
      </c>
      <c r="D173" s="7" t="str">
        <f>IFERROR(__xludf.DUMMYFUNCTION("""COMPUTED_VALUE""")," http://www.healthinnovationmanchester.com ")</f>
        <v> http://www.healthinnovationmanchester.com </v>
      </c>
      <c r="E173" s="6" t="str">
        <f>IFERROR(__xludf.DUMMYFUNCTION("""COMPUTED_VALUE"""),"We’re an innovative medical technology company whose purpose is to enable 
healthier lives everywhere, every day. While we discover and develop 
groundbreaking products and services that benefit everyone, we are 
especially passionate about those that adv"&amp;"ance women’s health and 
well-being. This allows us to be a company that prospers, grows and 
empowers women to experience healthier lives.")</f>
        <v>We’re an innovative medical technology company whose purpose is to enable 
healthier lives everywhere, every day. While we discover and develop 
groundbreaking products and services that benefit everyone, we are 
especially passionate about those that advance women’s health and 
well-being. This allows us to be a company that prospers, grows and 
empowers women to experience healthier lives.</v>
      </c>
    </row>
    <row r="174">
      <c r="A174" s="6" t="str">
        <f>IFERROR(__xludf.DUMMYFUNCTION("""COMPUTED_VALUE"""),"Health Innovation North West Coast")</f>
        <v>Health Innovation North West Coast</v>
      </c>
      <c r="B174" s="6" t="str">
        <f>IFERROR(__xludf.DUMMYFUNCTION("""COMPUTED_VALUE""")," Vanguard House, Sci-Tech Daresbury, Keckwick Lane, Daresbury, Halton, WA4 
4AB ")</f>
        <v> Vanguard House, Sci-Tech Daresbury, Keckwick Lane, Daresbury, Halton, WA4 
4AB </v>
      </c>
      <c r="C174" s="6" t="str">
        <f>IFERROR(__xludf.DUMMYFUNCTION("""COMPUTED_VALUE""")," 01772 520251 ")</f>
        <v> 01772 520251 </v>
      </c>
      <c r="D174" s="7" t="str">
        <f>IFERROR(__xludf.DUMMYFUNCTION("""COMPUTED_VALUE""")," http://www.innovationagencynwc.nhs.uk/ ")</f>
        <v> http://www.innovationagencynwc.nhs.uk/ </v>
      </c>
      <c r="E174" s="6" t="str">
        <f>IFERROR(__xludf.DUMMYFUNCTION("""COMPUTED_VALUE"""),"Founded and run by Ricky Martin in partnership with Lord Alan Sugar, Hyper 
Recruitment Solutions (HRS) combine a wealth of scientific recruitment 
expertise with outstanding compliance and commercial awareness. We are 
passionate about the life sciences,"&amp;" and we aim to provide truly 
comprehensive recruiting solutions to both jobseekers and employers.")</f>
        <v>Founded and run by Ricky Martin in partnership with Lord Alan Sugar, Hyper 
Recruitment Solutions (HRS) combine a wealth of scientific recruitment 
expertise with outstanding compliance and commercial awareness. We are 
passionate about the life sciences, and we aim to provide truly 
comprehensive recruiting solutions to both jobseekers and employers.</v>
      </c>
    </row>
    <row r="175">
      <c r="A175" s="6" t="str">
        <f>IFERROR(__xludf.DUMMYFUNCTION("""COMPUTED_VALUE"""),"Hematogenix")</f>
        <v>Hematogenix</v>
      </c>
      <c r="B175" s="6" t="str">
        <f>IFERROR(__xludf.DUMMYFUNCTION("""COMPUTED_VALUE""")," Hematogenix, 2 Oakwood Square, Cheadle Royal Business Park, Cheadle, SK8 
3SB ")</f>
        <v> Hematogenix, 2 Oakwood Square, Cheadle Royal Business Park, Cheadle, SK8 
3SB </v>
      </c>
      <c r="C175" s="6" t="str">
        <f>IFERROR(__xludf.DUMMYFUNCTION("""COMPUTED_VALUE""")," 0161 938 2121 ")</f>
        <v> 0161 938 2121 </v>
      </c>
      <c r="D175" s="7" t="str">
        <f>IFERROR(__xludf.DUMMYFUNCTION("""COMPUTED_VALUE""")," http://www.hematogenix.com ")</f>
        <v> http://www.hematogenix.com </v>
      </c>
      <c r="E175" s="6" t="str">
        <f>IFERROR(__xludf.DUMMYFUNCTION("""COMPUTED_VALUE"""),"IGNIFI is a full-service, independent creative agency that specialises in 
healthcare. We blend a flexible, friendly attitude with the expertise, 
creativity and grit to get things done, and done well. Our services include 
strategic planning, branding, d"&amp;"esign, creative, copy/medical writing and 
digital (design and execution). Our clients are largely pharmaceutical, 
biotech and med device companies, for whom we develop campaigns that are 
targeted to healthcare professionals and patients (both promotion"&amp;"al and 
educational). We also develop corporate advertising, including exhibition 
stands. As well as creative services, we are able to print, store and 
distribute sales materials to your team in the field, managing your 
inventory, helping streamline th"&amp;"e marketing process and maximising the 
reach and ROI of your branded collateral. Our well-rounded, 30-strong unit 
offers marketing, business, creative, design, digital and life science 
disciplines, dovetailed by a first-class client services team and a"&amp;"n ethos 
of do more and do it better. You can view our showreel here: 
https://ignifi.co.uk/our-work/")</f>
        <v>IGNIFI is a full-service, independent creative agency that specialises in 
healthcare. We blend a flexible, friendly attitude with the expertise, 
creativity and grit to get things done, and done well. Our services include 
strategic planning, branding, design, creative, copy/medical writing and 
digital (design and execution). Our clients are largely pharmaceutical, 
biotech and med device companies, for whom we develop campaigns that are 
targeted to healthcare professionals and patients (both promotional and 
educational). We also develop corporate advertising, including exhibition 
stands. As well as creative services, we are able to print, store and 
distribute sales materials to your team in the field, managing your 
inventory, helping streamline the marketing process and maximising the 
reach and ROI of your branded collateral. Our well-rounded, 30-strong unit 
offers marketing, business, creative, design, digital and life science 
disciplines, dovetailed by a first-class client services team and an ethos 
of do more and do it better. You can view our showreel here: 
https://ignifi.co.uk/our-work/</v>
      </c>
    </row>
    <row r="176">
      <c r="A176" s="6" t="str">
        <f>IFERROR(__xludf.DUMMYFUNCTION("""COMPUTED_VALUE"""),"Hexis Lab Limited")</f>
        <v>Hexis Lab Limited</v>
      </c>
      <c r="B176" s="6" t="str">
        <f>IFERROR(__xludf.DUMMYFUNCTION("""COMPUTED_VALUE""")," The Catalyst, Newcastle Helix, Newcastle, --Select--, NE4 5TG ")</f>
        <v> The Catalyst, Newcastle Helix, Newcastle, --Select--, NE4 5TG </v>
      </c>
      <c r="C176" s="6">
        <f>IFERROR(__xludf.DUMMYFUNCTION("""COMPUTED_VALUE"""),1.394825487E9)</f>
        <v>1394825487</v>
      </c>
      <c r="D176" s="7" t="str">
        <f>IFERROR(__xludf.DUMMYFUNCTION("""COMPUTED_VALUE""")," https://hexislab.com/ ")</f>
        <v> https://hexislab.com/ </v>
      </c>
      <c r="E176" s="6" t="str">
        <f>IFERROR(__xludf.DUMMYFUNCTION("""COMPUTED_VALUE"""),"Iksuda Therapeutics is a biotechnology company focussed on the development 
of innovative, next generation Antibody Drug Conjugates (ADCs). Our 
approach, centred on our proprietary, highly specific, highly stable 
PermaLink® conjugation platform is to en"&amp;"hance antitumor activity whilst 
minimising payload de-drugging and the off-target effects of chemotherapy. 
We are developing a pipeline of precision conjugates to effectively and 
safely treat current unmet clinical need through combination of our highl"&amp;"y 
stable conjugation platform with a range of highly potent, tissue specific, 
novel toxin payloads.")</f>
        <v>Iksuda Therapeutics is a biotechnology company focussed on the development 
of innovative, next generation Antibody Drug Conjugates (ADCs). Our 
approach, centred on our proprietary, highly specific, highly stable 
PermaLink® conjugation platform is to enhance antitumor activity whilst 
minimising payload de-drugging and the off-target effects of chemotherapy. 
We are developing a pipeline of precision conjugates to effectively and 
safely treat current unmet clinical need through combination of our highly 
stable conjugation platform with a range of highly potent, tissue specific, 
novel toxin payloads.</v>
      </c>
    </row>
    <row r="177">
      <c r="A177" s="6" t="str">
        <f>IFERROR(__xludf.DUMMYFUNCTION("""COMPUTED_VALUE"""),"Highbury Regulatory Science Limited")</f>
        <v>Highbury Regulatory Science Limited</v>
      </c>
      <c r="B177" s="6" t="str">
        <f>IFERROR(__xludf.DUMMYFUNCTION("""COMPUTED_VALUE""")," 108 Eaststand Apartments, Highbury Stadium Square, London, N5 1FF ")</f>
        <v> 108 Eaststand Apartments, Highbury Stadium Square, London, N5 1FF </v>
      </c>
      <c r="C177" s="6" t="str">
        <f>IFERROR(__xludf.DUMMYFUNCTION("""COMPUTED_VALUE""")," 07768 502 067 ")</f>
        <v> 07768 502 067 </v>
      </c>
      <c r="D177" s="7" t="str">
        <f>IFERROR(__xludf.DUMMYFUNCTION("""COMPUTED_VALUE""")," http://www.highburyregsci.com ")</f>
        <v> http://www.highburyregsci.com </v>
      </c>
      <c r="E177" s="6" t="str">
        <f>IFERROR(__xludf.DUMMYFUNCTION("""COMPUTED_VALUE"""),"For more than 20 years, Illumina has aspired to improve human health by 
unlocking the power of the genome. Now, with more than 3400 patents 
worldwide and our sequencing-by-synthesis technology being used to generate 
over 90% of the world’s sequencing d"&amp;"ata, we are just beginning to discover 
the true impact of genomics and whole-genome sequencing. This realization, 
and the discoveries we know lie ahead, are what inspire us to push the 
boundaries of our imagination, drive innovation, and offer solution"&amp;"s across 
the genomic spectrum.")</f>
        <v>For more than 20 years, Illumina has aspired to improve human health by 
unlocking the power of the genome. Now, with more than 3400 patents 
worldwide and our sequencing-by-synthesis technology being used to generate 
over 90% of the world’s sequencing data, we are just beginning to discover 
the true impact of genomics and whole-genome sequencing. This realization, 
and the discoveries we know lie ahead, are what inspire us to push the 
boundaries of our imagination, drive innovation, and offer solutions across 
the genomic spectrum.</v>
      </c>
    </row>
    <row r="178">
      <c r="A178" s="6" t="str">
        <f>IFERROR(__xludf.DUMMYFUNCTION("""COMPUTED_VALUE"""),"Histologix Limited")</f>
        <v>Histologix Limited</v>
      </c>
      <c r="B178" s="6" t="str">
        <f>IFERROR(__xludf.DUMMYFUNCTION("""COMPUTED_VALUE""")," Biocity, Biocity, Pennyfoot Street, Nottingham, NG1 1GF ")</f>
        <v> Biocity, Biocity, Pennyfoot Street, Nottingham, NG1 1GF </v>
      </c>
      <c r="C178" s="6" t="str">
        <f>IFERROR(__xludf.DUMMYFUNCTION("""COMPUTED_VALUE""")," 0115 9124460 ")</f>
        <v> 0115 9124460 </v>
      </c>
      <c r="D178" s="7" t="str">
        <f>IFERROR(__xludf.DUMMYFUNCTION("""COMPUTED_VALUE""")," http://www.histologix.com ")</f>
        <v> http://www.histologix.com </v>
      </c>
      <c r="E178" s="6" t="str">
        <f>IFERROR(__xludf.DUMMYFUNCTION("""COMPUTED_VALUE"""),"Immundnz is a specialist immunology company providing customised and 
experimental immunology services using in vitro and ex vivo human cell 
models for preclinical drug research and development. Key areas that we 
focus on are immuno-oncology, inflammati"&amp;"on, auto-immune disease and the 
assessment of immune risk, immune safety and immunotoxicity in order to 
understand the effect of novel compounds on the immune system.")</f>
        <v>Immundnz is a specialist immunology company providing customised and 
experimental immunology services using in vitro and ex vivo human cell 
models for preclinical drug research and development. Key areas that we 
focus on are immuno-oncology, inflammation, auto-immune disease and the 
assessment of immune risk, immune safety and immunotoxicity in order to 
understand the effect of novel compounds on the immune system.</v>
      </c>
    </row>
    <row r="179">
      <c r="A179" s="6" t="str">
        <f>IFERROR(__xludf.DUMMYFUNCTION("""COMPUTED_VALUE"""),"Hologic Ltd")</f>
        <v>Hologic Ltd</v>
      </c>
      <c r="B179" s="6" t="str">
        <f>IFERROR(__xludf.DUMMYFUNCTION("""COMPUTED_VALUE""")," Heron House, Oaks Business Park, Crewe Road, Wythenshawe, Manchester, M23 
9HZ ")</f>
        <v> Heron House, Oaks Business Park, Crewe Road, Wythenshawe, Manchester, M23 
9HZ </v>
      </c>
      <c r="C179" s="6" t="str">
        <f>IFERROR(__xludf.DUMMYFUNCTION("""COMPUTED_VALUE""")," 0161 9462200 ")</f>
        <v> 0161 9462200 </v>
      </c>
      <c r="D179" s="7" t="str">
        <f>IFERROR(__xludf.DUMMYFUNCTION("""COMPUTED_VALUE""")," https://www.hologic.com/ ")</f>
        <v> https://www.hologic.com/ </v>
      </c>
      <c r="E179" s="6" t="str">
        <f>IFERROR(__xludf.DUMMYFUNCTION("""COMPUTED_VALUE"""),"IDM is a data science and analytics company that provides detailed insights 
to clients across the economic development, property and healthcare sectors.")</f>
        <v>IDM is a data science and analytics company that provides detailed insights 
to clients across the economic development, property and healthcare sectors.</v>
      </c>
    </row>
    <row r="180">
      <c r="A180" s="6" t="str">
        <f>IFERROR(__xludf.DUMMYFUNCTION("""COMPUTED_VALUE"""),"Hyper Recruitment Solutions")</f>
        <v>Hyper Recruitment Solutions</v>
      </c>
      <c r="B180" s="6" t="str">
        <f>IFERROR(__xludf.DUMMYFUNCTION("""COMPUTED_VALUE""")," 3rd Floor, 68 Sackville Street, Manchester, M1 3NJ ")</f>
        <v> 3rd Floor, 68 Sackville Street, Manchester, M1 3NJ </v>
      </c>
      <c r="C180" s="6" t="str">
        <f>IFERROR(__xludf.DUMMYFUNCTION("""COMPUTED_VALUE""")," 0161 507 0450 ")</f>
        <v> 0161 507 0450 </v>
      </c>
      <c r="D180" s="7" t="str">
        <f>IFERROR(__xludf.DUMMYFUNCTION("""COMPUTED_VALUE""")," http://www.hyperec.com ")</f>
        <v> http://www.hyperec.com </v>
      </c>
      <c r="E180" s="6" t="str">
        <f>IFERROR(__xludf.DUMMYFUNCTION("""COMPUTED_VALUE"""),"Indigena Biodiversity is a company that facilitates the development of 
naturally-occurring materials. Using expertise in intellectual property and 
commercialization, the company mission is to help biodiversity-rich 
countries to benefit from their local"&amp;" genetic resources. The concept is to 
identify naturally occurring genetic materials from around the world, which 
may have a commercial use; and act as a foreign partner to assist in 
licensing and development. Whenever possible we create patent protect"&amp;"ion, 
as a basis for higher value commercialization. In the company operations, 
we follow the principles of the Convention on Biological Diversity (CBD) 
and the Nagoya Protocol. Indigena ensures that a share of any benefit from 
the commercialization of"&amp;" products derived from plant material is returned 
to country of origin. We have built up considerable practical expertise in 
the operation of these conventions in countries of origin.")</f>
        <v>Indigena Biodiversity is a company that facilitates the development of 
naturally-occurring materials. Using expertise in intellectual property and 
commercialization, the company mission is to help biodiversity-rich 
countries to benefit from their local genetic resources. The concept is to 
identify naturally occurring genetic materials from around the world, which 
may have a commercial use; and act as a foreign partner to assist in 
licensing and development. Whenever possible we create patent protection, 
as a basis for higher value commercialization. In the company operations, 
we follow the principles of the Convention on Biological Diversity (CBD) 
and the Nagoya Protocol. Indigena ensures that a share of any benefit from 
the commercialization of products derived from plant material is returned 
to country of origin. We have built up considerable practical expertise in 
the operation of these conventions in countries of origin.</v>
      </c>
    </row>
    <row r="181">
      <c r="A181" s="6" t="str">
        <f>IFERROR(__xludf.DUMMYFUNCTION("""COMPUTED_VALUE"""),"IGNIFI")</f>
        <v>IGNIFI</v>
      </c>
      <c r="B181" s="6" t="str">
        <f>IFERROR(__xludf.DUMMYFUNCTION("""COMPUTED_VALUE""")," 43, West Sunniside, Sunderland, SR1 1BA ")</f>
        <v> 43, West Sunniside, Sunderland, SR1 1BA </v>
      </c>
      <c r="C181" s="6" t="str">
        <f>IFERROR(__xludf.DUMMYFUNCTION("""COMPUTED_VALUE""")," 0191 423 8000 ")</f>
        <v> 0191 423 8000 </v>
      </c>
      <c r="D181" s="7" t="str">
        <f>IFERROR(__xludf.DUMMYFUNCTION("""COMPUTED_VALUE""")," http://www.ignifi.co.uk ")</f>
        <v> http://www.ignifi.co.uk </v>
      </c>
      <c r="E181" s="6" t="str">
        <f>IFERROR(__xludf.DUMMYFUNCTION("""COMPUTED_VALUE"""),"The AMR Centre is a key part of the UK’s response to the global threat from 
Antimicrobial Resistance. Based at Alderley Park, The AMR Centre is a joint 
private-public initiative to support/accelerate the development of new 
antibiotics and diagnostics t"&amp;"hrough a fully integrated development 
capability, offering translational R&amp;D from pre-clinical hits through to 
clinical proof of concept.")</f>
        <v>The AMR Centre is a key part of the UK’s response to the global threat from 
Antimicrobial Resistance. Based at Alderley Park, The AMR Centre is a joint 
private-public initiative to support/accelerate the development of new 
antibiotics and diagnostics through a fully integrated development 
capability, offering translational R&amp;D from pre-clinical hits through to 
clinical proof of concept.</v>
      </c>
    </row>
    <row r="182">
      <c r="A182" s="6" t="str">
        <f>IFERROR(__xludf.DUMMYFUNCTION("""COMPUTED_VALUE"""),"Iksuda Therapeutics")</f>
        <v>Iksuda Therapeutics</v>
      </c>
      <c r="B182" s="6" t="str">
        <f>IFERROR(__xludf.DUMMYFUNCTION("""COMPUTED_VALUE""")," The Biosphere, Drayman's Way, Newcastle Helix, Newcastle Upon Tyne, Tyne 
and Wear, NE4 5BX ")</f>
        <v> The Biosphere, Drayman's Way, Newcastle Helix, Newcastle Upon Tyne, Tyne 
and Wear, NE4 5BX </v>
      </c>
      <c r="C182" s="6">
        <f>IFERROR(__xludf.DUMMYFUNCTION("""COMPUTED_VALUE"""),1.91603168E9)</f>
        <v>1916031680</v>
      </c>
      <c r="D182" s="7" t="str">
        <f>IFERROR(__xludf.DUMMYFUNCTION("""COMPUTED_VALUE""")," http://www.iksuda.com ")</f>
        <v> http://www.iksuda.com </v>
      </c>
      <c r="E182" s="6" t="str">
        <f>IFERROR(__xludf.DUMMYFUNCTION("""COMPUTED_VALUE"""),"Instil Bio (UK)")</f>
        <v>Instil Bio (UK)</v>
      </c>
    </row>
    <row r="183">
      <c r="A183" s="6" t="str">
        <f>IFERROR(__xludf.DUMMYFUNCTION("""COMPUTED_VALUE"""),"Illumina")</f>
        <v>Illumina</v>
      </c>
      <c r="B183" s="6" t="str">
        <f>IFERROR(__xludf.DUMMYFUNCTION("""COMPUTED_VALUE""")," Illumina Cambridge Ltd, Illumina Centre, 19 Granta Park,, Great Abington, 
Cambridge, Cambridgeshire, CB216DF ")</f>
        <v> Illumina Cambridge Ltd, Illumina Centre, 19 Granta Park,, Great Abington, 
Cambridge, Cambridgeshire, CB216DF </v>
      </c>
      <c r="C183" s="6" t="str">
        <f>IFERROR(__xludf.DUMMYFUNCTION("""COMPUTED_VALUE""")," 44 800 012 6019 ")</f>
        <v> 44 800 012 6019 </v>
      </c>
      <c r="D183" s="7" t="str">
        <f>IFERROR(__xludf.DUMMYFUNCTION("""COMPUTED_VALUE""")," https://www.illumina.com/ ")</f>
        <v> https://www.illumina.com/ </v>
      </c>
      <c r="E183" s="6" t="str">
        <f>IFERROR(__xludf.DUMMYFUNCTION("""COMPUTED_VALUE"""),"Business advice and accounting expertise, ""Virtual FD"" service. More than a 
fee-for-service accountancy practice - Integral Finance brings capabilities 
that creating sustainable value in your business.")</f>
        <v>Business advice and accounting expertise, "Virtual FD" service. More than a 
fee-for-service accountancy practice - Integral Finance brings capabilities 
that creating sustainable value in your business.</v>
      </c>
    </row>
    <row r="184">
      <c r="A184" s="6" t="str">
        <f>IFERROR(__xludf.DUMMYFUNCTION("""COMPUTED_VALUE"""),"Immundnz Ltd.")</f>
        <v>Immundnz Ltd.</v>
      </c>
      <c r="B184" s="6" t="str">
        <f>IFERROR(__xludf.DUMMYFUNCTION("""COMPUTED_VALUE""")," 19G45 Mereside at Alderley Park, Alderley Edge, Cheshire, SK10 4TG ")</f>
        <v> 19G45 Mereside at Alderley Park, Alderley Edge, Cheshire, SK10 4TG </v>
      </c>
      <c r="C184" s="6" t="str">
        <f>IFERROR(__xludf.DUMMYFUNCTION("""COMPUTED_VALUE""")," +44 (0) 787 827 9127 ")</f>
        <v> +44 (0) 787 827 9127 </v>
      </c>
      <c r="D184" s="7" t="str">
        <f>IFERROR(__xludf.DUMMYFUNCTION("""COMPUTED_VALUE""")," https://www.immundnz.com/ ")</f>
        <v> https://www.immundnz.com/ </v>
      </c>
      <c r="E184" s="6" t="str">
        <f>IFERROR(__xludf.DUMMYFUNCTION("""COMPUTED_VALUE"""),"Inventya is a leading international management consultancy specialising in 
market intelligence and commercialisation of science, engineering and 
technology. We provide your best first source for virtually any research, 
development or commercialisation "&amp;"challenge. We believe in providing value 
for money and operating in an ethical and conscientious manner. Our clients 
range from business support organisations, technology transfer centre, 
research institutes and corporates, to private businesses and ve"&amp;"nture 
funders seeking market validation for their investments. We specialise in 
the following sectors: • Biotechnology, Pharmaceuticals and Healthcare • 
Engineering, Materials, Processes and Manufacturing • Environment, Energy 
and Utilities • Food and"&amp;" Drink • IT, Communications, Instrumentation and 
Control • Physics &amp; Chemistry. All our work is completely bespoke and we 
only operate in the business to business sector. All our team members 
possess superb academic backgrounds in science with signific"&amp;"ant commercial 
experience. Based primarily in the UK, we have in-depth experience of the 
European, Asian and American markets and are fluent in all major global 
languages.Understanding our clients’ technology and requirements, attention 
to detail, a d"&amp;"edicated, thorough and methodical approach are the key 
features of our work.")</f>
        <v>Inventya is a leading international management consultancy specialising in 
market intelligence and commercialisation of science, engineering and 
technology. We provide your best first source for virtually any research, 
development or commercialisation challenge. We believe in providing value 
for money and operating in an ethical and conscientious manner. Our clients 
range from business support organisations, technology transfer centre, 
research institutes and corporates, to private businesses and venture 
funders seeking market validation for their investments. We specialise in 
the following sectors: • Biotechnology, Pharmaceuticals and Healthcare • 
Engineering, Materials, Processes and Manufacturing • Environment, Energy 
and Utilities • Food and Drink • IT, Communications, Instrumentation and 
Control • Physics &amp; Chemistry. All our work is completely bespoke and we 
only operate in the business to business sector. All our team members 
possess superb academic backgrounds in science with significant commercial 
experience. Based primarily in the UK, we have in-depth experience of the 
European, Asian and American markets and are fluent in all major global 
languages.Understanding our clients’ technology and requirements, attention 
to detail, a dedicated, thorough and methodical approach are the key 
features of our work.</v>
      </c>
    </row>
    <row r="185">
      <c r="A185" s="6" t="str">
        <f>IFERROR(__xludf.DUMMYFUNCTION("""COMPUTED_VALUE"""),"Impact Data Metrics Ltd")</f>
        <v>Impact Data Metrics Ltd</v>
      </c>
      <c r="B185" s="6" t="str">
        <f>IFERROR(__xludf.DUMMYFUNCTION("""COMPUTED_VALUE""")," Office 8, 12 Jordan Street, Liverpool, L1 0BP ")</f>
        <v> Office 8, 12 Jordan Street, Liverpool, L1 0BP </v>
      </c>
      <c r="C185" s="6" t="str">
        <f>IFERROR(__xludf.DUMMYFUNCTION("""COMPUTED_VALUE""")," 0203 488 0710 ")</f>
        <v> 0203 488 0710 </v>
      </c>
      <c r="D185" s="7" t="str">
        <f>IFERROR(__xludf.DUMMYFUNCTION("""COMPUTED_VALUE""")," https://impactdatametrics.com/index.php ")</f>
        <v> https://impactdatametrics.com/index.php </v>
      </c>
      <c r="E185" s="6" t="str">
        <f>IFERROR(__xludf.DUMMYFUNCTION("""COMPUTED_VALUE"""),"Invest North East provides advice and support to Life Sciences businesses 
looking to locate or invest in the North East of England.")</f>
        <v>Invest North East provides advice and support to Life Sciences businesses 
looking to locate or invest in the North East of England.</v>
      </c>
    </row>
    <row r="186">
      <c r="A186" s="6" t="str">
        <f>IFERROR(__xludf.DUMMYFUNCTION("""COMPUTED_VALUE"""),"Indigena Biodiversity Limited")</f>
        <v>Indigena Biodiversity Limited</v>
      </c>
      <c r="B186" s="6" t="str">
        <f>IFERROR(__xludf.DUMMYFUNCTION("""COMPUTED_VALUE""")," 8 South Park Court, South Park, Gerrards Cross, SL9 8HG ")</f>
        <v> 8 South Park Court, South Park, Gerrards Cross, SL9 8HG </v>
      </c>
      <c r="C186" s="6" t="str">
        <f>IFERROR(__xludf.DUMMYFUNCTION("""COMPUTED_VALUE""")," 01753 886871 ")</f>
        <v> 01753 886871 </v>
      </c>
      <c r="D186" s="7" t="str">
        <f>IFERROR(__xludf.DUMMYFUNCTION("""COMPUTED_VALUE""")," http://www.indigena.ltd ")</f>
        <v> http://www.indigena.ltd </v>
      </c>
      <c r="E186" s="6" t="str">
        <f>IFERROR(__xludf.DUMMYFUNCTION("""COMPUTED_VALUE"""),"In vitro diagnostics and Life Sciences Consultancy")</f>
        <v>In vitro diagnostics and Life Sciences Consultancy</v>
      </c>
    </row>
    <row r="187">
      <c r="A187" s="6" t="str">
        <f>IFERROR(__xludf.DUMMYFUNCTION("""COMPUTED_VALUE"""),"Infex Therapeutics")</f>
        <v>Infex Therapeutics</v>
      </c>
      <c r="B187" s="6" t="str">
        <f>IFERROR(__xludf.DUMMYFUNCTION("""COMPUTED_VALUE""")," 19B70, Mereside, Alderley Park, Alderley Edge, SK10 4TG ")</f>
        <v> 19B70, Mereside, Alderley Park, Alderley Edge, SK10 4TG </v>
      </c>
      <c r="C187" s="6" t="str">
        <f>IFERROR(__xludf.DUMMYFUNCTION("""COMPUTED_VALUE""")," 0161 274 9440 ")</f>
        <v> 0161 274 9440 </v>
      </c>
      <c r="D187" s="7" t="str">
        <f>IFERROR(__xludf.DUMMYFUNCTION("""COMPUTED_VALUE""")," http://www.amrcentre.com ")</f>
        <v> http://www.amrcentre.com </v>
      </c>
      <c r="E187" s="6" t="str">
        <f>IFERROR(__xludf.DUMMYFUNCTION("""COMPUTED_VALUE"""),"KBS provide bespoke launch support for anti-infectives on behalf of our 
pharmaceutical clients. We aim to be an independent and trusted partner for 
diagnostic strategy and enabling services from development through to 
commercialization. The team at KBS"&amp;" have spent over 10 years successfully 
supporting our pharmaceutical clients in developing bespoke and flexible 
diagnostic strategies which help to achieve their launch objectives. By 
taking a systemic approach to our understanding of the global market"&amp;" and 
continuously monitoring and assessing the many operational and commercial 
factors which can affect a diagnostic launch strategy. We can generate 
market insight for our clients that gives context and clarity to the 
crucial 3rd party interactions t"&amp;"hat underpin successful strategies.")</f>
        <v>KBS provide bespoke launch support for anti-infectives on behalf of our 
pharmaceutical clients. We aim to be an independent and trusted partner for 
diagnostic strategy and enabling services from development through to 
commercialization. The team at KBS have spent over 10 years successfully 
supporting our pharmaceutical clients in developing bespoke and flexible 
diagnostic strategies which help to achieve their launch objectives. By 
taking a systemic approach to our understanding of the global market and 
continuously monitoring and assessing the many operational and commercial 
factors which can affect a diagnostic launch strategy. We can generate 
market insight for our clients that gives context and clarity to the 
crucial 3rd party interactions that underpin successful strategies.</v>
      </c>
    </row>
    <row r="188">
      <c r="A188" s="6" t="str">
        <f>IFERROR(__xludf.DUMMYFUNCTION("""COMPUTED_VALUE"""),"Instilbio UK")</f>
        <v>Instilbio UK</v>
      </c>
      <c r="B188" s="6" t="str">
        <f>IFERROR(__xludf.DUMMYFUNCTION("""COMPUTED_VALUE""")," Manchester Incubator Building, 48 Grafton Street, Manchester, M13 9XX ")</f>
        <v> Manchester Incubator Building, 48 Grafton Street, Manchester, M13 9XX </v>
      </c>
      <c r="C188" s="6" t="str">
        <f>IFERROR(__xludf.DUMMYFUNCTION("""COMPUTED_VALUE""")," 0161 606 7278 ")</f>
        <v> 0161 606 7278 </v>
      </c>
      <c r="D188" s="7" t="str">
        <f>IFERROR(__xludf.DUMMYFUNCTION("""COMPUTED_VALUE""")," https://www.instilbio.com ")</f>
        <v> https://www.instilbio.com </v>
      </c>
      <c r="E188" s="6" t="str">
        <f>IFERROR(__xludf.DUMMYFUNCTION("""COMPUTED_VALUE"""),"An Australian based, leading Scientific &amp; Medical Recruitment Partner for 
many organisations within the Life Science, Medical, Clinical, Pathology 
and Healthcare space. Have landed in the UK! Offices in: •Australia •New 
Zealand •Singapore •UK")</f>
        <v>An Australian based, leading Scientific &amp; Medical Recruitment Partner for 
many organisations within the Life Science, Medical, Clinical, Pathology 
and Healthcare space. Have landed in the UK! Offices in: •Australia •New 
Zealand •Singapore •UK</v>
      </c>
    </row>
    <row r="189">
      <c r="A189" s="6" t="str">
        <f>IFERROR(__xludf.DUMMYFUNCTION("""COMPUTED_VALUE"""),"Integral Finance")</f>
        <v>Integral Finance</v>
      </c>
      <c r="B189" s="6" t="str">
        <f>IFERROR(__xludf.DUMMYFUNCTION("""COMPUTED_VALUE""")," Mereside, Alderley Park, Alderley Park, Stockport, SK10 4TG ")</f>
        <v> Mereside, Alderley Park, Alderley Park, Stockport, SK10 4TG </v>
      </c>
      <c r="C189" s="6" t="str">
        <f>IFERROR(__xludf.DUMMYFUNCTION("""COMPUTED_VALUE""")," 07900 670003 ")</f>
        <v> 07900 670003 </v>
      </c>
      <c r="D189" s="7" t="str">
        <f>IFERROR(__xludf.DUMMYFUNCTION("""COMPUTED_VALUE""")," http://www.integralfinance.org.uk ")</f>
        <v> http://www.integralfinance.org.uk </v>
      </c>
      <c r="E189" s="6" t="str">
        <f>IFERROR(__xludf.DUMMYFUNCTION("""COMPUTED_VALUE"""),"KPC International is a key supplier of specialist technical services &amp; 
solutions to the Pharmaceutical &amp; Biopharmaceutical industries. Operating 
from our headquarters in Cork, Ireland, we deliver support &amp; experience for 
all stages in plant startup. Ou"&amp;"r industry knowledge &amp; global experience 
consistently delivers cost effective &amp; innovative solutions for our 
clients. We understand the importance of schedule certainty. The result is 
excellence from concept to completion.")</f>
        <v>KPC International is a key supplier of specialist technical services &amp; 
solutions to the Pharmaceutical &amp; Biopharmaceutical industries. Operating 
from our headquarters in Cork, Ireland, we deliver support &amp; experience for 
all stages in plant startup. Our industry knowledge &amp; global experience 
consistently delivers cost effective &amp; innovative solutions for our 
clients. We understand the importance of schedule certainty. The result is 
excellence from concept to completion.</v>
      </c>
    </row>
    <row r="190">
      <c r="A190" s="6" t="str">
        <f>IFERROR(__xludf.DUMMYFUNCTION("""COMPUTED_VALUE"""),"Inventya Ltd")</f>
        <v>Inventya Ltd</v>
      </c>
      <c r="B190" s="6" t="str">
        <f>IFERROR(__xludf.DUMMYFUNCTION("""COMPUTED_VALUE""")," 520 Birchwood Boulevard, Warrington, Cheshire, WA3 7QX ")</f>
        <v> 520 Birchwood Boulevard, Warrington, Cheshire, WA3 7QX </v>
      </c>
      <c r="C190" s="6" t="str">
        <f>IFERROR(__xludf.DUMMYFUNCTION("""COMPUTED_VALUE""")," 01925 506 100 ")</f>
        <v> 01925 506 100 </v>
      </c>
      <c r="D190" s="7" t="str">
        <f>IFERROR(__xludf.DUMMYFUNCTION("""COMPUTED_VALUE""")," http://www.inventya.com ")</f>
        <v> http://www.inventya.com </v>
      </c>
      <c r="E190" s="6" t="str">
        <f>IFERROR(__xludf.DUMMYFUNCTION("""COMPUTED_VALUE"""),"Our group assists patent and trademark firms and direct clients in handling 
issues they encounter from time to time outside their usual professional 
activities. Among them is match-making between parties to broaden their 
innovation applications by comb"&amp;"ining synergistic technologies. An example 
is shortening the time it takes to make PCR more effective by reducing the 
time it takes to identify bacteria types. Another is improving, through 
complementary technologies, lab practice by identifying much m"&amp;"ore speedily 
bacteria likely to be anti-microbial resistant (AMR). Part of this process 
is to bring such opportunities to the attention of investor groups 
interested in expanding openings for their existing investments while 
locating additional fundin"&amp;"g.")</f>
        <v>Our group assists patent and trademark firms and direct clients in handling 
issues they encounter from time to time outside their usual professional 
activities. Among them is match-making between parties to broaden their 
innovation applications by combining synergistic technologies. An example 
is shortening the time it takes to make PCR more effective by reducing the 
time it takes to identify bacteria types. Another is improving, through 
complementary technologies, lab practice by identifying much more speedily 
bacteria likely to be anti-microbial resistant (AMR). Part of this process 
is to bring such opportunities to the attention of investor groups 
interested in expanding openings for their existing investments while 
locating additional funding.</v>
      </c>
    </row>
    <row r="191">
      <c r="A191" s="6" t="str">
        <f>IFERROR(__xludf.DUMMYFUNCTION("""COMPUTED_VALUE"""),"Invest North East England")</f>
        <v>Invest North East England</v>
      </c>
      <c r="B191" s="6" t="str">
        <f>IFERROR(__xludf.DUMMYFUNCTION("""COMPUTED_VALUE""")," Quadrus Business Centre, Boldon Business Park, Boldon, Tyne &amp; Wear, NE35 
9PF ")</f>
        <v> Quadrus Business Centre, Boldon Business Park, Boldon, Tyne &amp; Wear, NE35 
9PF </v>
      </c>
      <c r="C191" s="6" t="str">
        <f>IFERROR(__xludf.DUMMYFUNCTION("""COMPUTED_VALUE""")," +44 (0) 191 519 7215 ")</f>
        <v> +44 (0) 191 519 7215 </v>
      </c>
      <c r="D191" s="7" t="str">
        <f>IFERROR(__xludf.DUMMYFUNCTION("""COMPUTED_VALUE""")," https://investnortheastengland.co.uk/ ")</f>
        <v> https://investnortheastengland.co.uk/ </v>
      </c>
      <c r="E191" s="6" t="str">
        <f>IFERROR(__xludf.DUMMYFUNCTION("""COMPUTED_VALUE"""),"Custom lab automation and robotics, supplying automated systems to all 
aspects of Pharmaceutical manufacturing, QC and R&amp;D.")</f>
        <v>Custom lab automation and robotics, supplying automated systems to all 
aspects of Pharmaceutical manufacturing, QC and R&amp;D.</v>
      </c>
    </row>
    <row r="192">
      <c r="A192" s="6" t="str">
        <f>IFERROR(__xludf.DUMMYFUNCTION("""COMPUTED_VALUE"""),"IVD Innovation Consulting Limited")</f>
        <v>IVD Innovation Consulting Limited</v>
      </c>
      <c r="B192" s="6" t="str">
        <f>IFERROR(__xludf.DUMMYFUNCTION("""COMPUTED_VALUE""")," 225 Market Street, Hyde, SK14 1HF ")</f>
        <v> 225 Market Street, Hyde, SK14 1HF </v>
      </c>
      <c r="C192" s="6">
        <f>IFERROR(__xludf.DUMMYFUNCTION("""COMPUTED_VALUE"""),7.870552148E9)</f>
        <v>7870552148</v>
      </c>
      <c r="D192" s="7" t="str">
        <f>IFERROR(__xludf.DUMMYFUNCTION("""COMPUTED_VALUE""")," https://ivd-innovation.co.uk/ ")</f>
        <v> https://ivd-innovation.co.uk/ </v>
      </c>
      <c r="E192" s="6" t="str">
        <f>IFERROR(__xludf.DUMMYFUNCTION("""COMPUTED_VALUE"""),"Contract Development and Manufacturing Organisation")</f>
        <v>Contract Development and Manufacturing Organisation</v>
      </c>
    </row>
    <row r="193">
      <c r="A193" s="6" t="str">
        <f>IFERROR(__xludf.DUMMYFUNCTION("""COMPUTED_VALUE"""),"KBS Consultancy")</f>
        <v>KBS Consultancy</v>
      </c>
      <c r="B193" s="6" t="str">
        <f>IFERROR(__xludf.DUMMYFUNCTION("""COMPUTED_VALUE""")," No 1 Lounge, Alderley Park, Alderley Edge, Macclesfield, Cheshire, SK10 
4TG ")</f>
        <v> No 1 Lounge, Alderley Park, Alderley Edge, Macclesfield, Cheshire, SK10 
4TG </v>
      </c>
      <c r="C193" s="6">
        <f>IFERROR(__xludf.DUMMYFUNCTION("""COMPUTED_VALUE"""),7.58431527E9)</f>
        <v>7584315270</v>
      </c>
      <c r="D193" s="7" t="str">
        <f>IFERROR(__xludf.DUMMYFUNCTION("""COMPUTED_VALUE""")," https://kbsconsultancy.co.uk/ ")</f>
        <v> https://kbsconsultancy.co.uk/ </v>
      </c>
      <c r="E193" s="6" t="str">
        <f>IFERROR(__xludf.DUMMYFUNCTION("""COMPUTED_VALUE"""),"Lean Life Science is an organisation dedicated to catalysing innovation in 
life science through partnership. Focused on leveraging its unique 
collaboration of expertise spanning the R&amp;D ecosystem, LLS uses its 
Innovation Development Framework™ (IDF) to"&amp;" provide the critical insights 
and validated delivery plans needed to accelerate the translational journey 
of life science innovations into highly desirable, de-risked, investable 
opportunities.")</f>
        <v>Lean Life Science is an organisation dedicated to catalysing innovation in 
life science through partnership. Focused on leveraging its unique 
collaboration of expertise spanning the R&amp;D ecosystem, LLS uses its 
Innovation Development Framework™ (IDF) to provide the critical insights 
and validated delivery plans needed to accelerate the translational journey 
of life science innovations into highly desirable, de-risked, investable 
opportunities.</v>
      </c>
    </row>
    <row r="194">
      <c r="A194" s="6" t="str">
        <f>IFERROR(__xludf.DUMMYFUNCTION("""COMPUTED_VALUE"""),"KE Select Ltd")</f>
        <v>KE Select Ltd</v>
      </c>
      <c r="B194" s="6" t="str">
        <f>IFERROR(__xludf.DUMMYFUNCTION("""COMPUTED_VALUE""")," Suit 300, Manchester Business Park, Aviator Way, Manchester, UK, M22 5TG ")</f>
        <v> Suit 300, Manchester Business Park, Aviator Way, Manchester, UK, M22 5TG </v>
      </c>
      <c r="C194" s="6">
        <f>IFERROR(__xludf.DUMMYFUNCTION("""COMPUTED_VALUE"""),7.481563495E9)</f>
        <v>7481563495</v>
      </c>
      <c r="D194" s="7" t="str">
        <f>IFERROR(__xludf.DUMMYFUNCTION("""COMPUTED_VALUE""")," https://www.keselect.com ")</f>
        <v> https://www.keselect.com </v>
      </c>
      <c r="E194" s="6" t="str">
        <f>IFERROR(__xludf.DUMMYFUNCTION("""COMPUTED_VALUE"""),"With unique expertise across the patient journey from tissue acquisition to 
treatment, Leica Biosystems is focused on driving innovations by connecting 
people across radiology, pathology, surgery and oncology")</f>
        <v>With unique expertise across the patient journey from tissue acquisition to 
treatment, Leica Biosystems is focused on driving innovations by connecting 
people across radiology, pathology, surgery and oncology</v>
      </c>
    </row>
    <row r="195">
      <c r="A195" s="6" t="str">
        <f>IFERROR(__xludf.DUMMYFUNCTION("""COMPUTED_VALUE"""),"KPC International Ltd")</f>
        <v>KPC International Ltd</v>
      </c>
      <c r="B195" s="6" t="str">
        <f>IFERROR(__xludf.DUMMYFUNCTION("""COMPUTED_VALUE""")," KPC International Ltd, NSC Campus, Mahon, Co. Cork, IRELAND ")</f>
        <v> KPC International Ltd, NSC Campus, Mahon, Co. Cork, IRELAND </v>
      </c>
      <c r="C195" s="6" t="str">
        <f>IFERROR(__xludf.DUMMYFUNCTION("""COMPUTED_VALUE""")," +353 21 230 7087 ")</f>
        <v> +353 21 230 7087 </v>
      </c>
      <c r="D195" s="7" t="str">
        <f>IFERROR(__xludf.DUMMYFUNCTION("""COMPUTED_VALUE""")," https://www.kpc-international.com/ ")</f>
        <v> https://www.kpc-international.com/ </v>
      </c>
      <c r="E195" s="6" t="str">
        <f>IFERROR(__xludf.DUMMYFUNCTION("""COMPUTED_VALUE"""),"We are a specialist scientific recruitment agency, operating to serve fine 
chemical and life science companies. We work on a variety of scientific 
roles with our main specialisms in analytical, formulation, production and 
synthesis chemistry staffing, "&amp;"across quality and research. We provide these 
recruitment services on a permanent as well as temporary basis. LiCa 
Scientific is staffed by scientists who have swapped the lab bench for a 
desk, and are therefore able to operate on a highly technical le"&amp;"vel with 
our clients and candidates. We bring speed-with-quality due to the 
consistency we have built up over time in delivering shortlists in the 
above fields, and networks that we have built over many years of this 
activity.")</f>
        <v>We are a specialist scientific recruitment agency, operating to serve fine 
chemical and life science companies. We work on a variety of scientific 
roles with our main specialisms in analytical, formulation, production and 
synthesis chemistry staffing, across quality and research. We provide these 
recruitment services on a permanent as well as temporary basis. LiCa 
Scientific is staffed by scientists who have swapped the lab bench for a 
desk, and are therefore able to operate on a highly technical level with 
our clients and candidates. We bring speed-with-quality due to the 
consistency we have built up over time in delivering shortlists in the 
above fields, and networks that we have built over many years of this 
activity.</v>
      </c>
    </row>
    <row r="196">
      <c r="A196" s="6" t="str">
        <f>IFERROR(__xludf.DUMMYFUNCTION("""COMPUTED_VALUE"""),"Krysium Technologies")</f>
        <v>Krysium Technologies</v>
      </c>
      <c r="B196" s="6" t="str">
        <f>IFERROR(__xludf.DUMMYFUNCTION("""COMPUTED_VALUE""")," PO Box 16, Leominster, Herefordshire, HR6 0DD ")</f>
        <v> PO Box 16, Leominster, Herefordshire, HR6 0DD </v>
      </c>
      <c r="C196" s="6" t="str">
        <f>IFERROR(__xludf.DUMMYFUNCTION("""COMPUTED_VALUE""")," 01568 610777 ")</f>
        <v> 01568 610777 </v>
      </c>
      <c r="D196" s="7" t="str">
        <f>IFERROR(__xludf.DUMMYFUNCTION("""COMPUTED_VALUE""")," http://krysium.com/ ")</f>
        <v> http://krysium.com/ </v>
      </c>
      <c r="E196" s="6" t="str">
        <f>IFERROR(__xludf.DUMMYFUNCTION("""COMPUTED_VALUE"""),"International Freight Forwarder")</f>
        <v>International Freight Forwarder</v>
      </c>
    </row>
    <row r="197">
      <c r="A197" s="6" t="str">
        <f>IFERROR(__xludf.DUMMYFUNCTION("""COMPUTED_VALUE"""),"Labman Automation Ltd")</f>
        <v>Labman Automation Ltd</v>
      </c>
      <c r="B197" s="6" t="str">
        <f>IFERROR(__xludf.DUMMYFUNCTION("""COMPUTED_VALUE""")," Seamer Hill, Stokesley, Middlesbrough, North Yorkshire, TS9 5NQ ")</f>
        <v> Seamer Hill, Stokesley, Middlesbrough, North Yorkshire, TS9 5NQ </v>
      </c>
      <c r="C197" s="6" t="str">
        <f>IFERROR(__xludf.DUMMYFUNCTION("""COMPUTED_VALUE""")," +44 (0) 1642 710 580 ")</f>
        <v> +44 (0) 1642 710 580 </v>
      </c>
      <c r="D197" s="7" t="str">
        <f>IFERROR(__xludf.DUMMYFUNCTION("""COMPUTED_VALUE""")," https://www.labmanautomation.com/ ")</f>
        <v> https://www.labmanautomation.com/ </v>
      </c>
      <c r="E197" s="6" t="str">
        <f>IFERROR(__xludf.DUMMYFUNCTION("""COMPUTED_VALUE"""),"Liverpool ChiroChem is an international, chemical technology innovator, on 
a mission to accelerate the discovery and development of high-quality 
drugs. The company has developed a suite of synthetic methodologies that 
have been used to produce thousand"&amp;"s of novel, multifunctional 3D 
fragments/scaffolds/BB’s to support NCE discovery &amp; development. LCC’s main 
focus areas are in DEL scaffolds, enantiopair fragment libraries, linkers 
for hetero bifunctionals, and a 3Discovery™ Virtual Library of over 1.5"&amp;" 
million lead-like molecules.")</f>
        <v>Liverpool ChiroChem is an international, chemical technology innovator, on 
a mission to accelerate the discovery and development of high-quality 
drugs. The company has developed a suite of synthetic methodologies that 
have been used to produce thousands of novel, multifunctional 3D 
fragments/scaffolds/BB’s to support NCE discovery &amp; development. LCC’s main 
focus areas are in DEL scaffolds, enantiopair fragment libraries, linkers 
for hetero bifunctionals, and a 3Discovery™ Virtual Library of over 1.5 
million lead-like molecules.</v>
      </c>
    </row>
    <row r="198">
      <c r="A198" s="6" t="str">
        <f>IFERROR(__xludf.DUMMYFUNCTION("""COMPUTED_VALUE"""),"Lakes BioScience Ltd")</f>
        <v>Lakes BioScience Ltd</v>
      </c>
      <c r="B198" s="6" t="str">
        <f>IFERROR(__xludf.DUMMYFUNCTION("""COMPUTED_VALUE""")," 17 Woodland Road, Cumbria, Ulverston, Cumbria, LA12 ODX ")</f>
        <v> 17 Woodland Road, Cumbria, Ulverston, Cumbria, LA12 ODX </v>
      </c>
      <c r="C198" s="6">
        <f>IFERROR(__xludf.DUMMYFUNCTION("""COMPUTED_VALUE"""),7.717224976E9)</f>
        <v>7717224976</v>
      </c>
      <c r="D198" s="7" t="str">
        <f>IFERROR(__xludf.DUMMYFUNCTION("""COMPUTED_VALUE""")," http://www.lakesbio.com ")</f>
        <v> http://www.lakesbio.com </v>
      </c>
      <c r="E198" s="6" t="str">
        <f>IFERROR(__xludf.DUMMYFUNCTION("""COMPUTED_VALUE"""),"The Liverpool Life Sciences UTC offers a completely new experience of 
education for its students. Our commitment to teaching and learning of the 
highest standards, and our expectations that all students strive for 
success is supported by an education p"&amp;"rovision that ensures real life 
industry sector experience, development of a true and representative 
portfolio of industry standard skills, an atmosphere of creative 
excitement, a genuine engagement with the pursuit of knowledge plus 
delivery of the f"&amp;"ull range of academic qualifications. This will open doors 
for our students, and we guarantee them a place at university on a course 
of their choosing, a job or an apprenticeship when they successfully 
complete their programme of study")</f>
        <v>The Liverpool Life Sciences UTC offers a completely new experience of 
education for its students. Our commitment to teaching and learning of the 
highest standards, and our expectations that all students strive for 
success is supported by an education provision that ensures real life 
industry sector experience, development of a true and representative 
portfolio of industry standard skills, an atmosphere of creative 
excitement, a genuine engagement with the pursuit of knowledge plus 
delivery of the full range of academic qualifications. This will open doors 
for our students, and we guarantee them a place at university on a course 
of their choosing, a job or an apprenticeship when they successfully 
complete their programme of study</v>
      </c>
    </row>
    <row r="199">
      <c r="A199" s="6" t="str">
        <f>IFERROR(__xludf.DUMMYFUNCTION("""COMPUTED_VALUE"""),"Lean Life Science")</f>
        <v>Lean Life Science</v>
      </c>
      <c r="B199" s="6" t="str">
        <f>IFERROR(__xludf.DUMMYFUNCTION("""COMPUTED_VALUE""")," Lean Life Science, 1S32 Alderley Park, ALDERLEY EDGE, Cheshire, - none -, 
SK10 7TG ")</f>
        <v> Lean Life Science, 1S32 Alderley Park, ALDERLEY EDGE, Cheshire, - none -, 
SK10 7TG </v>
      </c>
      <c r="C199" s="6">
        <f>IFERROR(__xludf.DUMMYFUNCTION("""COMPUTED_VALUE"""),7.887727999E9)</f>
        <v>7887727999</v>
      </c>
      <c r="D199" s="7" t="str">
        <f>IFERROR(__xludf.DUMMYFUNCTION("""COMPUTED_VALUE""")," https://leanlifescience.com/ ")</f>
        <v> https://leanlifescience.com/ </v>
      </c>
      <c r="E199" s="6" t="str">
        <f>IFERROR(__xludf.DUMMYFUNCTION("""COMPUTED_VALUE"""),"Liverpool School of Tropical Medicine (LSTM) was the first institution in 
the world dedicated to research and teaching in the field of tropical 
medicine and as we approach our 115th anniversary, we continue to be a 
leading international institution in "&amp;"the fight against infectious, 
debilitating and disabling diseases. As a registered charity, we work in 
over 60 countries worldwide, often in very difficult circumstances, to 
fulfil our mission of reducing the burden of sickness and mortality in 
diseas"&amp;"e endemic countries through the delivery of effective interventions 
which improve human health and are relevant to the poorest communities.Our 
work in combating diseases such as TB, HIV/AIDS, malaria, dengue and 
lymphatic filariasis is supported by a r"&amp;"esearch order book of over £200 
million. Our worldwide reputation and the calibre of our research outputs 
has secured funding to lead 12 international consortia and product 
development partnerships aimed at reducing or eliminating the impact of 
diseas"&amp;"es upon the world's poorest people. Our new Centre for Tropical and 
Infectious Diseases is a £23 million state of the art facility for 
developing new drugs, vaccines and pesticides which puts us at the 
forefront of infectious disease research.As a teac"&amp;"hing institution, we 
attract more than 600 students from 68 countries, from PhD research and 
Masters programmes to a range of short courses, and work in partnership 
with health ministries, universities and research institutions worldwide to 
train the "&amp;"next generation of doctors, scientists, researchers and health 
professionals.The provision of technical assistance is a major component of 
LSTM's mission of promoting the improved health of the poor and 
disadvantaged peoples. LSTM consultancy improves "&amp;"health systems in 
developing countries whilst helping to inform our teaching and research 
agendas.We also provide pre and post travel clinical services through our 
subsidiary Well Travelled Clinics Ltd, with centres in Liverpool and 
Chester.")</f>
        <v>Liverpool School of Tropical Medicine (LSTM) was the first institution in 
the world dedicated to research and teaching in the field of tropical 
medicine and as we approach our 115th anniversary, we continue to be a 
leading international institution in the fight against infectious, 
debilitating and disabling diseases. As a registered charity, we work in 
over 60 countries worldwide, often in very difficult circumstances, to 
fulfil our mission of reducing the burden of sickness and mortality in 
disease endemic countries through the delivery of effective interventions 
which improve human health and are relevant to the poorest communities.Our 
work in combating diseases such as TB, HIV/AIDS, malaria, dengue and 
lymphatic filariasis is supported by a research order book of over £200 
million. Our worldwide reputation and the calibre of our research outputs 
has secured funding to lead 12 international consortia and product 
development partnerships aimed at reducing or eliminating the impact of 
diseases upon the world's poorest people. Our new Centre for Tropical and 
Infectious Diseases is a £23 million state of the art facility for 
developing new drugs, vaccines and pesticides which puts us at the 
forefront of infectious disease research.As a teaching institution, we 
attract more than 600 students from 68 countries, from PhD research and 
Masters programmes to a range of short courses, and work in partnership 
with health ministries, universities and research institutions worldwide to 
train the next generation of doctors, scientists, researchers and health 
professionals.The provision of technical assistance is a major component of 
LSTM's mission of promoting the improved health of the poor and 
disadvantaged peoples. LSTM consultancy improves health systems in 
developing countries whilst helping to inform our teaching and research 
agendas.We also provide pre and post travel clinical services through our 
subsidiary Well Travelled Clinics Ltd, with centres in Liverpool and 
Chester.</v>
      </c>
    </row>
    <row r="200">
      <c r="A200" s="6" t="str">
        <f>IFERROR(__xludf.DUMMYFUNCTION("""COMPUTED_VALUE"""),"Leica Biosystems")</f>
        <v>Leica Biosystems</v>
      </c>
      <c r="B200" s="6" t="str">
        <f>IFERROR(__xludf.DUMMYFUNCTION("""COMPUTED_VALUE""")," Baliol Business Park, Benton Lane, Newcastle upon Tyne, Tyne &amp; Wear, NE12 
8EW ")</f>
        <v> Baliol Business Park, Benton Lane, Newcastle upon Tyne, Tyne &amp; Wear, NE12 
8EW </v>
      </c>
      <c r="C200" s="6" t="str">
        <f>IFERROR(__xludf.DUMMYFUNCTION("""COMPUTED_VALUE""")," 0191 2154212 ")</f>
        <v> 0191 2154212 </v>
      </c>
      <c r="D200" s="7" t="str">
        <f>IFERROR(__xludf.DUMMYFUNCTION("""COMPUTED_VALUE""")," https://www.leicabiosystems.com/ ")</f>
        <v> https://www.leicabiosystems.com/ </v>
      </c>
      <c r="E200" s="6" t="str">
        <f>IFERROR(__xludf.DUMMYFUNCTION("""COMPUTED_VALUE"""),"The life sciences industry is evolving fast. Businesses in this growing 
Industry are facing ever-changing regulatory requirements and a wide range 
of emerging risks. That’s why appropriately tailored insurance is 
absolutely critical in protecting your "&amp;"organisation, whether you are 
involved in Research and Development, Medical Devices manufacturing, 
Pharmaceuticals, or Nutraceuticals. Lockton are different from your 
traditional insurance broker and go beyond offering just a transactional 
service. We"&amp;" view ourselves as advisors, and your trusted partner. We will 
take the time to fully understand your business – so we can help you 
anticipate the risks and exposures that could have an impact on your 
organisation. Our approach allows us to deliver sol"&amp;"utions that meet your 
specific requirements. And that means we optimise your costs, so you only 
pay for the coverage you need. Our expert team will create a tailored 
solution that offers the right protection for you and your business, 
allowing you to "&amp;"do focus on, what you do best. Not only do we offer 
tailor-made solutions, we also aim to provide exceptional value to our 
clients. By doing this, we can help you better manage and mitigate your 
risks and protect your business.")</f>
        <v>The life sciences industry is evolving fast. Businesses in this growing 
Industry are facing ever-changing regulatory requirements and a wide range 
of emerging risks. That’s why appropriately tailored insurance is 
absolutely critical in protecting your organisation, whether you are 
involved in Research and Development, Medical Devices manufacturing, 
Pharmaceuticals, or Nutraceuticals. Lockton are different from your 
traditional insurance broker and go beyond offering just a transactional 
service. We view ourselves as advisors, and your trusted partner. We will 
take the time to fully understand your business – so we can help you 
anticipate the risks and exposures that could have an impact on your 
organisation. Our approach allows us to deliver solutions that meet your 
specific requirements. And that means we optimise your costs, so you only 
pay for the coverage you need. Our expert team will create a tailored 
solution that offers the right protection for you and your business, 
allowing you to do focus on, what you do best. Not only do we offer 
tailor-made solutions, we also aim to provide exceptional value to our 
clients. By doing this, we can help you better manage and mitigate your 
risks and protect your business.</v>
      </c>
    </row>
    <row r="201">
      <c r="A201" s="6" t="str">
        <f>IFERROR(__xludf.DUMMYFUNCTION("""COMPUTED_VALUE"""),"LiCa Scientific Ltd")</f>
        <v>LiCa Scientific Ltd</v>
      </c>
      <c r="B201" s="6" t="str">
        <f>IFERROR(__xludf.DUMMYFUNCTION("""COMPUTED_VALUE""")," LiCa Scientific, Office 331, SBIC, Broadstone Mil, Broadstone Road, 
STOCKPORT, Cheshire, SK5 7DL ")</f>
        <v> LiCa Scientific, Office 331, SBIC, Broadstone Mil, Broadstone Road, 
STOCKPORT, Cheshire, SK5 7DL </v>
      </c>
      <c r="C201" s="6" t="str">
        <f>IFERROR(__xludf.DUMMYFUNCTION("""COMPUTED_VALUE""")," +44 161 443 4173 ")</f>
        <v> +44 161 443 4173 </v>
      </c>
      <c r="D201" s="7" t="str">
        <f>IFERROR(__xludf.DUMMYFUNCTION("""COMPUTED_VALUE""")," https://www.licasci.com/ ")</f>
        <v> https://www.licasci.com/ </v>
      </c>
      <c r="E201" s="6" t="str">
        <f>IFERROR(__xludf.DUMMYFUNCTION("""COMPUTED_VALUE"""),"LPD Lab Services delivers a 'one-stop shop' for industrial process problem 
solving and materials analysis.")</f>
        <v>LPD Lab Services delivers a 'one-stop shop' for industrial process problem 
solving and materials analysis.</v>
      </c>
    </row>
    <row r="202">
      <c r="A202" s="6" t="str">
        <f>IFERROR(__xludf.DUMMYFUNCTION("""COMPUTED_VALUE"""),"Ligentia UK Ltd")</f>
        <v>Ligentia UK Ltd</v>
      </c>
      <c r="B202" s="6" t="str">
        <f>IFERROR(__xludf.DUMMYFUNCTION("""COMPUTED_VALUE""")," Ligentia House, 6 Butler Way, Leeds, LS28 6EA ")</f>
        <v> Ligentia House, 6 Butler Way, Leeds, LS28 6EA </v>
      </c>
      <c r="C202" s="6" t="str">
        <f>IFERROR(__xludf.DUMMYFUNCTION("""COMPUTED_VALUE""")," 07917 087215 ")</f>
        <v> 07917 087215 </v>
      </c>
      <c r="D202" s="7" t="str">
        <f>IFERROR(__xludf.DUMMYFUNCTION("""COMPUTED_VALUE""")," https://www.ligentia.com/ ")</f>
        <v> https://www.ligentia.com/ </v>
      </c>
      <c r="E202" s="6" t="str">
        <f>IFERROR(__xludf.DUMMYFUNCTION("""COMPUTED_VALUE"""),"LUNAC Therapeutics is a spin out from the University of Leeds pursuing the 
discovery of next generation oral anticoagulant therapies with a reduced 
risk of causing bleeding compared to current treatments. LUNAC’s primary 
focus is on the inhibition of a"&amp;"ctivated Factor XII (FXIIa), a clotting 
factor enzyme which plays a role in pathological clot formation 
(thrombosis), but not in the stemming of bleeding (haemostasis). The 
business is founded on IP generated by Professor Helen Philippou (Professor 
of"&amp;" Translational Medicine in the Faculty of Medicine and Health at the 
University of Leeds) and Dr Richard Foster (Associate Professor at the 
University of Leeds), built on a decade of academic research into FXIIa in 
association with some of the world’s "&amp;"leading supporters of scientific and 
medical research, including the Wellcome Trust, British Heart Foundation 
and the UK’s Medical Research Council.")</f>
        <v>LUNAC Therapeutics is a spin out from the University of Leeds pursuing the 
discovery of next generation oral anticoagulant therapies with a reduced 
risk of causing bleeding compared to current treatments. LUNAC’s primary 
focus is on the inhibition of activated Factor XII (FXIIa), a clotting 
factor enzyme which plays a role in pathological clot formation 
(thrombosis), but not in the stemming of bleeding (haemostasis). The 
business is founded on IP generated by Professor Helen Philippou (Professor 
of Translational Medicine in the Faculty of Medicine and Health at the 
University of Leeds) and Dr Richard Foster (Associate Professor at the 
University of Leeds), built on a decade of academic research into FXIIa in 
association with some of the world’s leading supporters of scientific and 
medical research, including the Wellcome Trust, British Heart Foundation 
and the UK’s Medical Research Council.</v>
      </c>
    </row>
    <row r="203">
      <c r="A203" s="6" t="str">
        <f>IFERROR(__xludf.DUMMYFUNCTION("""COMPUTED_VALUE"""),"Liverpool ChiroChem Ltd")</f>
        <v>Liverpool ChiroChem Ltd</v>
      </c>
      <c r="B203" s="6" t="str">
        <f>IFERROR(__xludf.DUMMYFUNCTION("""COMPUTED_VALUE""")," The Heath Business Park, Runcorn, Cheshire, WA7 4QX ")</f>
        <v> The Heath Business Park, Runcorn, Cheshire, WA7 4QX </v>
      </c>
      <c r="C203" s="6" t="str">
        <f>IFERROR(__xludf.DUMMYFUNCTION("""COMPUTED_VALUE""")," 0151 794 2936 ")</f>
        <v> 0151 794 2936 </v>
      </c>
      <c r="D203" s="7" t="str">
        <f>IFERROR(__xludf.DUMMYFUNCTION("""COMPUTED_VALUE""")," http://www.liverpoolchirochem.com ")</f>
        <v> http://www.liverpoolchirochem.com </v>
      </c>
      <c r="E203" s="6" t="str">
        <f>IFERROR(__xludf.DUMMYFUNCTION("""COMPUTED_VALUE"""),"MAC SciTech is a scientific and technical consultancy with over 10 years 
experience in design and prototyping of a wide range of equipment and 
devices in electronics, sensors, medical diagnostics, advanced 
manufacturing, sub sea and space applications."&amp;" We are currently developing 
technology for off-planet life support and have a keen interest in 
astronaut welfare, Off-Planet biotech, medtech and agritech.")</f>
        <v>MAC SciTech is a scientific and technical consultancy with over 10 years 
experience in design and prototyping of a wide range of equipment and 
devices in electronics, sensors, medical diagnostics, advanced 
manufacturing, sub sea and space applications. We are currently developing 
technology for off-planet life support and have a keen interest in 
astronaut welfare, Off-Planet biotech, medtech and agritech.</v>
      </c>
    </row>
    <row r="204">
      <c r="A204" s="6" t="str">
        <f>IFERROR(__xludf.DUMMYFUNCTION("""COMPUTED_VALUE"""),"Liverpool Life Sciences UTC")</f>
        <v>Liverpool Life Sciences UTC</v>
      </c>
      <c r="B204" s="6" t="str">
        <f>IFERROR(__xludf.DUMMYFUNCTION("""COMPUTED_VALUE""")," Contemporary Urban Centre, 41 Greenland Street, Liverpool, L1 0BS ")</f>
        <v> Contemporary Urban Centre, 41 Greenland Street, Liverpool, L1 0BS </v>
      </c>
      <c r="C204" s="6" t="str">
        <f>IFERROR(__xludf.DUMMYFUNCTION("""COMPUTED_VALUE""")," 0151 230 1320 ")</f>
        <v> 0151 230 1320 </v>
      </c>
      <c r="D204" s="7" t="str">
        <f>IFERROR(__xludf.DUMMYFUNCTION("""COMPUTED_VALUE""")," http://www.lifesciencesutc.co.uk ")</f>
        <v> http://www.lifesciencesutc.co.uk </v>
      </c>
      <c r="E204" s="6" t="str">
        <f>IFERROR(__xludf.DUMMYFUNCTION("""COMPUTED_VALUE"""),"MMU offers a wide range of health-related teaching, research and 
state-of-the-art facilities, working in close collaboration with healthcare 
services, industry and the community. Our healthcare science research 
ranges from molecular, micro- and cellula"&amp;"r biology to neurophysiology, 
whole body and biomechanical analysis of the regulation of human health and 
disease, focusing on in vitro cellular models and on analytical techniques")</f>
        <v>MMU offers a wide range of health-related teaching, research and 
state-of-the-art facilities, working in close collaboration with healthcare 
services, industry and the community. Our healthcare science research 
ranges from molecular, micro- and cellular biology to neurophysiology, 
whole body and biomechanical analysis of the regulation of human health and 
disease, focusing on in vitro cellular models and on analytical techniques</v>
      </c>
    </row>
    <row r="205">
      <c r="A205" s="6" t="str">
        <f>IFERROR(__xludf.DUMMYFUNCTION("""COMPUTED_VALUE"""),"Liverpool School of Tropical Medicine")</f>
        <v>Liverpool School of Tropical Medicine</v>
      </c>
      <c r="B205" s="6" t="str">
        <f>IFERROR(__xludf.DUMMYFUNCTION("""COMPUTED_VALUE""")," LSTM, Pembroke Place, Liverpool, L3 5QA ")</f>
        <v> LSTM, Pembroke Place, Liverpool, L3 5QA </v>
      </c>
      <c r="C205" s="6" t="str">
        <f>IFERROR(__xludf.DUMMYFUNCTION("""COMPUTED_VALUE""")," 0151 705 3100 ")</f>
        <v> 0151 705 3100 </v>
      </c>
      <c r="D205" s="7" t="str">
        <f>IFERROR(__xludf.DUMMYFUNCTION("""COMPUTED_VALUE""")," http://www.lstmed.ac.uk ")</f>
        <v> http://www.lstmed.ac.uk </v>
      </c>
      <c r="E205" s="6" t="str">
        <f>IFERROR(__xludf.DUMMYFUNCTION("""COMPUTED_VALUE"""),"Markel UK is an SME-focused insurance provider with a strong focus on 
sector propositions. Its specialist biomedical and life sciences insurance 
product provides tailored protection for businesses across the 
pharmaceutical, biotechnology, medical devic"&amp;"e, dietary supplement, medical 
food, laboratory instruments, and equipment industries. Markel can also 
help medical technology SMEs achieve their growth ambitions, with its 
innovative sector proposition, MarkelTech. Markel’s specialist tax 
consultancy"&amp;" firm, Markel Tax, is one of the UK’s leading independent 
specialist tax and funding consultancy firms in the UK. Markel Tax’s team 
of chartered tax advisers, chartered accountants and PhD scientists and 
engineers have a high success rate of R&amp;D and Pa"&amp;"tent Box tax claims. Also 
within its capability is an experienced grant funding team, who help 
companies all over the UK identify and secure grant funding.")</f>
        <v>Markel UK is an SME-focused insurance provider with a strong focus on 
sector propositions. Its specialist biomedical and life sciences insurance 
product provides tailored protection for businesses across the 
pharmaceutical, biotechnology, medical device, dietary supplement, medical 
food, laboratory instruments, and equipment industries. Markel can also 
help medical technology SMEs achieve their growth ambitions, with its 
innovative sector proposition, MarkelTech. Markel’s specialist tax 
consultancy firm, Markel Tax, is one of the UK’s leading independent 
specialist tax and funding consultancy firms in the UK. Markel Tax’s team 
of chartered tax advisers, chartered accountants and PhD scientists and 
engineers have a high success rate of R&amp;D and Patent Box tax claims. Also 
within its capability is an experienced grant funding team, who help 
companies all over the UK identify and secure grant funding.</v>
      </c>
    </row>
    <row r="206">
      <c r="A206" s="6" t="str">
        <f>IFERROR(__xludf.DUMMYFUNCTION("""COMPUTED_VALUE"""),"Lockton")</f>
        <v>Lockton</v>
      </c>
      <c r="B206" s="6" t="str">
        <f>IFERROR(__xludf.DUMMYFUNCTION("""COMPUTED_VALUE""")," The St Botolph Building, 138 Houndsditch, London, London, EC3A 7AG ")</f>
        <v> The St Botolph Building, 138 Houndsditch, London, London, EC3A 7AG </v>
      </c>
      <c r="C206" s="6" t="str">
        <f>IFERROR(__xludf.DUMMYFUNCTION("""COMPUTED_VALUE""")," 020 7933 0000 ")</f>
        <v> 020 7933 0000 </v>
      </c>
      <c r="D206" s="7" t="str">
        <f>IFERROR(__xludf.DUMMYFUNCTION("""COMPUTED_VALUE""")," https://global.lockton.com/gb/en/products-services/life-sciences ")</f>
        <v> https://global.lockton.com/gb/en/products-services/life-sciences </v>
      </c>
      <c r="E206" s="6" t="str">
        <f>IFERROR(__xludf.DUMMYFUNCTION("""COMPUTED_VALUE"""),"A leading firm of patent and trade mark attorneys, with an associated firm 
of specialist solicitors")</f>
        <v>A leading firm of patent and trade mark attorneys, with an associated firm 
of specialist solicitors</v>
      </c>
    </row>
    <row r="207">
      <c r="A207" s="6" t="str">
        <f>IFERROR(__xludf.DUMMYFUNCTION("""COMPUTED_VALUE"""),"LPD Lab Services Ltd")</f>
        <v>LPD Lab Services Ltd</v>
      </c>
      <c r="B207" s="6" t="str">
        <f>IFERROR(__xludf.DUMMYFUNCTION("""COMPUTED_VALUE""")," D Building, Philips Site, Philips Road, Blackburn, BB1 5RZ ")</f>
        <v> D Building, Philips Site, Philips Road, Blackburn, BB1 5RZ </v>
      </c>
      <c r="C207" s="6" t="str">
        <f>IFERROR(__xludf.DUMMYFUNCTION("""COMPUTED_VALUE""")," 01254 676074 ")</f>
        <v> 01254 676074 </v>
      </c>
      <c r="D207" s="7" t="str">
        <f>IFERROR(__xludf.DUMMYFUNCTION("""COMPUTED_VALUE""")," http://www.lpdlabservices.co.uk ")</f>
        <v> http://www.lpdlabservices.co.uk </v>
      </c>
      <c r="E207" s="6" t="str">
        <f>IFERROR(__xludf.DUMMYFUNCTION("""COMPUTED_VALUE"""),"MarraBio has developed a series of proprietary engineered protein polymers 
that are able to mimic the action of bioactive proteins such as growth and 
adhesion factors. The polymers are highly stable, easy to use, animal free 
and can be produced at ultr"&amp;"a low cost by bacterial fermentation at high 
yield. Moreover, modules with different bioactivies can be combined like a 
""molecular Lego set"". We are targeting these polymers initially as 
replacements for reagents in the research market, with medium a"&amp;"nd longer 
term goals to apply them in the cultivated meat and cell therapy markets.")</f>
        <v>MarraBio has developed a series of proprietary engineered protein polymers 
that are able to mimic the action of bioactive proteins such as growth and 
adhesion factors. The polymers are highly stable, easy to use, animal free 
and can be produced at ultra low cost by bacterial fermentation at high 
yield. Moreover, modules with different bioactivies can be combined like a 
"molecular Lego set". We are targeting these polymers initially as 
replacements for reagents in the research market, with medium and longer 
term goals to apply them in the cultivated meat and cell therapy markets.</v>
      </c>
    </row>
    <row r="208">
      <c r="A208" s="6" t="str">
        <f>IFERROR(__xludf.DUMMYFUNCTION("""COMPUTED_VALUE"""),"LUNAC Therapeutics")</f>
        <v>LUNAC Therapeutics</v>
      </c>
      <c r="B208" s="6" t="str">
        <f>IFERROR(__xludf.DUMMYFUNCTION("""COMPUTED_VALUE""")," Ec Stoner Building,, Woodhouse Lane,, Leeds, LS2 9JT ")</f>
        <v> Ec Stoner Building,, Woodhouse Lane,, Leeds, LS2 9JT </v>
      </c>
      <c r="C208" s="6">
        <f>IFERROR(__xludf.DUMMYFUNCTION("""COMPUTED_VALUE"""),7.900430235E9)</f>
        <v>7900430235</v>
      </c>
      <c r="D208" s="7" t="str">
        <f>IFERROR(__xludf.DUMMYFUNCTION("""COMPUTED_VALUE""")," http://www.lunactherapeutics.com ")</f>
        <v> http://www.lunactherapeutics.com </v>
      </c>
      <c r="E208" s="6" t="str">
        <f>IFERROR(__xludf.DUMMYFUNCTION("""COMPUTED_VALUE"""),"Specialis.t in Life Science Business creation, from Idea to 
commercialisation. Incubation, coaching and mentoring")</f>
        <v>Specialis.t in Life Science Business creation, from Idea to 
commercialisation. Incubation, coaching and mentoring</v>
      </c>
    </row>
    <row r="209">
      <c r="A209" s="6" t="str">
        <f>IFERROR(__xludf.DUMMYFUNCTION("""COMPUTED_VALUE"""),"MAC SciTech Limited")</f>
        <v>MAC SciTech Limited</v>
      </c>
      <c r="B209" s="6" t="str">
        <f>IFERROR(__xludf.DUMMYFUNCTION("""COMPUTED_VALUE""")," Orbit Research Centre, Joseph Swan Road, North East Technology Park, 
Sedgefield, Durham, TS21 3FD ")</f>
        <v> Orbit Research Centre, Joseph Swan Road, North East Technology Park, 
Sedgefield, Durham, TS21 3FD </v>
      </c>
      <c r="C209" s="6">
        <f>IFERROR(__xludf.DUMMYFUNCTION("""COMPUTED_VALUE"""),1.91447034E9)</f>
        <v>1914470340</v>
      </c>
      <c r="D209" s="7" t="str">
        <f>IFERROR(__xludf.DUMMYFUNCTION("""COMPUTED_VALUE""")," https://www.mac-scitech.co.uk ")</f>
        <v> https://www.mac-scitech.co.uk </v>
      </c>
      <c r="E209" s="6" t="str">
        <f>IFERROR(__xludf.DUMMYFUNCTION("""COMPUTED_VALUE"""),"Mathys &amp; Squire are one of the UK's leading Intellectual Property (IP) law 
firms.")</f>
        <v>Mathys &amp; Squire are one of the UK's leading Intellectual Property (IP) law 
firms.</v>
      </c>
    </row>
    <row r="210">
      <c r="A210" s="6" t="str">
        <f>IFERROR(__xludf.DUMMYFUNCTION("""COMPUTED_VALUE"""),"Manchester Metropolitan University")</f>
        <v>Manchester Metropolitan University</v>
      </c>
      <c r="B210" s="6" t="str">
        <f>IFERROR(__xludf.DUMMYFUNCTION("""COMPUTED_VALUE""")," Centre for Enterprise, Manchester Metropolitan University, Business 
School, All Saints Campus, M15 6BH ")</f>
        <v> Centre for Enterprise, Manchester Metropolitan University, Business 
School, All Saints Campus, M15 6BH </v>
      </c>
      <c r="C210" s="6" t="str">
        <f>IFERROR(__xludf.DUMMYFUNCTION("""COMPUTED_VALUE""")," 0161 247 3610 ")</f>
        <v> 0161 247 3610 </v>
      </c>
      <c r="D210" s="7" t="str">
        <f>IFERROR(__xludf.DUMMYFUNCTION("""COMPUTED_VALUE""")," http://mmu.ac.uk ")</f>
        <v> http://mmu.ac.uk </v>
      </c>
      <c r="E210" s="6" t="str">
        <f>IFERROR(__xludf.DUMMYFUNCTION("""COMPUTED_VALUE"""),"Mazars is an international audit, tax and advisory firm committed to 
helping our clients build and grow their business.")</f>
        <v>Mazars is an international audit, tax and advisory firm committed to 
helping our clients build and grow their business.</v>
      </c>
    </row>
    <row r="211">
      <c r="A211" s="6" t="str">
        <f>IFERROR(__xludf.DUMMYFUNCTION("""COMPUTED_VALUE"""),"Markel (UK) Limited")</f>
        <v>Markel (UK) Limited</v>
      </c>
      <c r="B211" s="6" t="str">
        <f>IFERROR(__xludf.DUMMYFUNCTION("""COMPUTED_VALUE""")," Verity House, 6 Canal Wharf, Leeds, LS11 5BQ ")</f>
        <v> Verity House, 6 Canal Wharf, Leeds, LS11 5BQ </v>
      </c>
      <c r="C211" s="6" t="str">
        <f>IFERROR(__xludf.DUMMYFUNCTION("""COMPUTED_VALUE""")," 0845 351 2600 ")</f>
        <v> 0845 351 2600 </v>
      </c>
      <c r="D211" s="7" t="str">
        <f>IFERROR(__xludf.DUMMYFUNCTION("""COMPUTED_VALUE""")," https://uk.markel.com/ ")</f>
        <v> https://uk.markel.com/ </v>
      </c>
      <c r="E211" s="6" t="str">
        <f>IFERROR(__xludf.DUMMYFUNCTION("""COMPUTED_VALUE"""),"MECO is building the next generation of water purification equipment and 
systems for the Pharmaceutical industry. For over 90 years, we’ve been 
committed to providing our customers with efficient, effective solutions 
with sustainability at their core. "&amp;"Together, we’re protecting the planet 
and changing the way the world interacts with water.")</f>
        <v>MECO is building the next generation of water purification equipment and 
systems for the Pharmaceutical industry. For over 90 years, we’ve been 
committed to providing our customers with efficient, effective solutions 
with sustainability at their core. Together, we’re protecting the planet 
and changing the way the world interacts with water.</v>
      </c>
    </row>
    <row r="212">
      <c r="A212" s="6" t="str">
        <f>IFERROR(__xludf.DUMMYFUNCTION("""COMPUTED_VALUE"""),"Marks &amp; Clerk")</f>
        <v>Marks &amp; Clerk</v>
      </c>
      <c r="B212" s="6" t="str">
        <f>IFERROR(__xludf.DUMMYFUNCTION("""COMPUTED_VALUE""")," Marks &amp; Clerk, 1 New York Street, Manchester, M1 4HD ")</f>
        <v> Marks &amp; Clerk, 1 New York Street, Manchester, M1 4HD </v>
      </c>
      <c r="C212" s="6" t="str">
        <f>IFERROR(__xludf.DUMMYFUNCTION("""COMPUTED_VALUE""")," 0161 233 5800 ")</f>
        <v> 0161 233 5800 </v>
      </c>
      <c r="D212" s="7" t="str">
        <f>IFERROR(__xludf.DUMMYFUNCTION("""COMPUTED_VALUE""")," http://www.marks-clerk.com ")</f>
        <v> http://www.marks-clerk.com </v>
      </c>
      <c r="E212" s="6" t="str">
        <f>IFERROR(__xludf.DUMMYFUNCTION("""COMPUTED_VALUE"""),"MEU specialises in respiratory and healthy volunteer clinical trials, 
processing extensive pharmaceutical, scientific, clinical and volunteer 
recruitment expertise within a state-of-the-art 36 bed research facility. 
MEU also holds MHRA Phase 1 Accredit"&amp;"ation.")</f>
        <v>MEU specialises in respiratory and healthy volunteer clinical trials, 
processing extensive pharmaceutical, scientific, clinical and volunteer 
recruitment expertise within a state-of-the-art 36 bed research facility. 
MEU also holds MHRA Phase 1 Accreditation.</v>
      </c>
    </row>
    <row r="213">
      <c r="A213" s="6" t="str">
        <f>IFERROR(__xludf.DUMMYFUNCTION("""COMPUTED_VALUE"""),"MarraBio Ltd.")</f>
        <v>MarraBio Ltd.</v>
      </c>
      <c r="B213" s="6" t="str">
        <f>IFERROR(__xludf.DUMMYFUNCTION("""COMPUTED_VALUE""")," M3009, Medical School, Framlington Place, Newcastle upon Tyne, NE2 4HH ")</f>
        <v> M3009, Medical School, Framlington Place, Newcastle upon Tyne, NE2 4HH </v>
      </c>
      <c r="C213" s="6" t="str">
        <f>IFERROR(__xludf.DUMMYFUNCTION("""COMPUTED_VALUE""")," 0191 208 7442 ")</f>
        <v> 0191 208 7442 </v>
      </c>
      <c r="D213" s="7" t="str">
        <f>IFERROR(__xludf.DUMMYFUNCTION("""COMPUTED_VALUE""")," https://www.marrabio.co.uk/ ")</f>
        <v> https://www.marrabio.co.uk/ </v>
      </c>
      <c r="E213" s="6" t="str">
        <f>IFERROR(__xludf.DUMMYFUNCTION("""COMPUTED_VALUE"""),"MEDQP LTD. is a Leeds-based company with an established history as an 
early-stage medical consultancy, focusing on phase I/ II regulation and 
development programmes. MEDQP LTD has been working to develop its own 
platform technically. The MEDQP LTD. Bub"&amp;"ble technology is a niosomal 
technology that can encapsulate existing medical products to evolve its 
existing capabilities. If interested in investing inthis new technology 
platform please contact the company. MEDQP LTD. is proud to announce the 
launc"&amp;"h of our new responsible research pathway offerings. We are using the 
lessons we have learnt and our experience to provide:- 1. Training in 
ethics and responsible research 2. Development and review 3. Ethical 
problem solving 4. Assisting in the real-wo"&amp;"rld implementation of best 
ethical practices. On offer is comprehensive training programs that help 
researchers stay up to date with the latest developments in the field. 
Contact MEDQP for details One of MEDQP LTD's core principles is that 
responsible"&amp;" research is critical to advancing science and technology in a 
sustainable and equitable way. That's why we're committed to providing 
researchers and organizations with the tools and expertise they need to 
navigate complex ethical issues and ensure the"&amp;"ir work aligns with best 
practices. We understand that responsible research is not just a set of 
rules but a mindset that requires ongoing learning and adaptation. That's 
why we offer comprehensive training programs that help researchers stay 
up-to-da"&amp;"te with the latest developments in the field.")</f>
        <v>MEDQP LTD. is a Leeds-based company with an established history as an 
early-stage medical consultancy, focusing on phase I/ II regulation and 
development programmes. MEDQP LTD has been working to develop its own 
platform technically. The MEDQP LTD. Bubble technology is a niosomal 
technology that can encapsulate existing medical products to evolve its 
existing capabilities. If interested in investing inthis new technology 
platform please contact the company. MEDQP LTD. is proud to announce the 
launch of our new responsible research pathway offerings. We are using the 
lessons we have learnt and our experience to provide:- 1. Training in 
ethics and responsible research 2. Development and review 3. Ethical 
problem solving 4. Assisting in the real-world implementation of best 
ethical practices. On offer is comprehensive training programs that help 
researchers stay up to date with the latest developments in the field. 
Contact MEDQP for details One of MEDQP LTD's core principles is that 
responsible research is critical to advancing science and technology in a 
sustainable and equitable way. That's why we're committed to providing 
researchers and organizations with the tools and expertise they need to 
navigate complex ethical issues and ensure their work aligns with best 
practices. We understand that responsible research is not just a set of 
rules but a mindset that requires ongoing learning and adaptation. That's 
why we offer comprehensive training programs that help researchers stay 
up-to-date with the latest developments in the field.</v>
      </c>
    </row>
    <row r="214">
      <c r="A214" s="6" t="str">
        <f>IFERROR(__xludf.DUMMYFUNCTION("""COMPUTED_VALUE"""),"Martino Picardo")</f>
        <v>Martino Picardo</v>
      </c>
      <c r="B214" s="6" t="str">
        <f>IFERROR(__xludf.DUMMYFUNCTION("""COMPUTED_VALUE""")," 21 Westholme Road, withington, Manchester, Manchester, M20 3QZ ")</f>
        <v> 21 Westholme Road, withington, Manchester, Manchester, M20 3QZ </v>
      </c>
      <c r="C214" s="6" t="str">
        <f>IFERROR(__xludf.DUMMYFUNCTION("""COMPUTED_VALUE""")," 07833 458325 ")</f>
        <v> 07833 458325 </v>
      </c>
      <c r="D214" s="7" t="str">
        <f>IFERROR(__xludf.DUMMYFUNCTION("""COMPUTED_VALUE""")," http://none ")</f>
        <v> http://none </v>
      </c>
      <c r="E214" s="6" t="str">
        <f>IFERROR(__xludf.DUMMYFUNCTION("""COMPUTED_VALUE"""),"MetalloBio is developing a novel antimicrobial coating technology to 
prevent biofilm formation on medical devices and surfaces.")</f>
        <v>MetalloBio is developing a novel antimicrobial coating technology to 
prevent biofilm formation on medical devices and surfaces.</v>
      </c>
    </row>
    <row r="215">
      <c r="A215" s="6" t="str">
        <f>IFERROR(__xludf.DUMMYFUNCTION("""COMPUTED_VALUE"""),"Mathys &amp; Squire LLP")</f>
        <v>Mathys &amp; Squire LLP</v>
      </c>
      <c r="B215" s="6" t="str">
        <f>IFERROR(__xludf.DUMMYFUNCTION("""COMPUTED_VALUE""")," Abbey House, 32 Booth Street, Manchester, M2 4AB ")</f>
        <v> Abbey House, 32 Booth Street, Manchester, M2 4AB </v>
      </c>
      <c r="C215" s="6" t="str">
        <f>IFERROR(__xludf.DUMMYFUNCTION("""COMPUTED_VALUE""")," 0161 8705900 ")</f>
        <v> 0161 8705900 </v>
      </c>
      <c r="D215" s="7" t="str">
        <f>IFERROR(__xludf.DUMMYFUNCTION("""COMPUTED_VALUE""")," http://www.mathys-squire.com ")</f>
        <v> http://www.mathys-squire.com </v>
      </c>
      <c r="E215" s="6" t="str">
        <f>IFERROR(__xludf.DUMMYFUNCTION("""COMPUTED_VALUE"""),"Mewburn Ellis is the forward-looking IP firm. We work with organisations 
building the brands and technology that will define tomorrow. We provide 
commercially focused, creative advice on obtaining, enforcing and 
exploiting intellectual property rights "&amp;"including patents, trade marks and 
designs.")</f>
        <v>Mewburn Ellis is the forward-looking IP firm. We work with organisations 
building the brands and technology that will define tomorrow. We provide 
commercially focused, creative advice on obtaining, enforcing and 
exploiting intellectual property rights including patents, trade marks and 
designs.</v>
      </c>
    </row>
    <row r="216">
      <c r="A216" s="6" t="str">
        <f>IFERROR(__xludf.DUMMYFUNCTION("""COMPUTED_VALUE"""),"Mazars LLP")</f>
        <v>Mazars LLP</v>
      </c>
      <c r="B216" s="6" t="str">
        <f>IFERROR(__xludf.DUMMYFUNCTION("""COMPUTED_VALUE""")," 1 St. Peter's Square, Bowdon, Manchester, Greater Manchester, M2 3DE ")</f>
        <v> 1 St. Peter's Square, Bowdon, Manchester, Greater Manchester, M2 3DE </v>
      </c>
      <c r="C216" s="6">
        <f>IFERROR(__xludf.DUMMYFUNCTION("""COMPUTED_VALUE"""),7.768710511E9)</f>
        <v>7768710511</v>
      </c>
      <c r="D216" s="7" t="str">
        <f>IFERROR(__xludf.DUMMYFUNCTION("""COMPUTED_VALUE""")," https://www.mazars.co.uk/ ")</f>
        <v> https://www.mazars.co.uk/ </v>
      </c>
      <c r="E216" s="6" t="str">
        <f>IFERROR(__xludf.DUMMYFUNCTION("""COMPUTED_VALUE"""),"Microbiosensor is a medical device company developing disposable 
point-of-care safety monitors for detecting microbial infection.")</f>
        <v>Microbiosensor is a medical device company developing disposable 
point-of-care safety monitors for detecting microbial infection.</v>
      </c>
    </row>
    <row r="217">
      <c r="A217" s="6" t="str">
        <f>IFERROR(__xludf.DUMMYFUNCTION("""COMPUTED_VALUE"""),"MECO")</f>
        <v>MECO</v>
      </c>
      <c r="B217" s="6" t="str">
        <f>IFERROR(__xludf.DUMMYFUNCTION("""COMPUTED_VALUE""")," 11 Smithy Way, Lindley, Huddersfield, West Yorkshire, HD3 3ZD ")</f>
        <v> 11 Smithy Way, Lindley, Huddersfield, West Yorkshire, HD3 3ZD </v>
      </c>
      <c r="C217" s="6">
        <f>IFERROR(__xludf.DUMMYFUNCTION("""COMPUTED_VALUE"""),7.496376606E9)</f>
        <v>7496376606</v>
      </c>
      <c r="D217" s="7" t="str">
        <f>IFERROR(__xludf.DUMMYFUNCTION("""COMPUTED_VALUE""")," https://www.meco.com ")</f>
        <v> https://www.meco.com </v>
      </c>
      <c r="E217" s="6" t="str">
        <f>IFERROR(__xludf.DUMMYFUNCTION("""COMPUTED_VALUE"""),"Monument Tx develops products to treat serious diseases of the central 
nervous system. Our precision medicine approach utilises proprietary 
digital biomarkers to reduce heterogeneity and identify patients with 
homogenous underlying neurobiology, which "&amp;"are then matched with 
appropriately targeted compounds.")</f>
        <v>Monument Tx develops products to treat serious diseases of the central 
nervous system. Our precision medicine approach utilises proprietary 
digital biomarkers to reduce heterogeneity and identify patients with 
homogenous underlying neurobiology, which are then matched with 
appropriately targeted compounds.</v>
      </c>
    </row>
    <row r="218">
      <c r="A218" s="6" t="str">
        <f>IFERROR(__xludf.DUMMYFUNCTION("""COMPUTED_VALUE"""),"Medicines Evaluation Unit")</f>
        <v>Medicines Evaluation Unit</v>
      </c>
      <c r="B218" s="6" t="str">
        <f>IFERROR(__xludf.DUMMYFUNCTION("""COMPUTED_VALUE""")," The Langley Building, Southmoor Road, Wythenshawe, M23 9QZ ")</f>
        <v> The Langley Building, Southmoor Road, Wythenshawe, M23 9QZ </v>
      </c>
      <c r="C218" s="6" t="str">
        <f>IFERROR(__xludf.DUMMYFUNCTION("""COMPUTED_VALUE""")," 0161 946 4050 ")</f>
        <v> 0161 946 4050 </v>
      </c>
      <c r="D218" s="7" t="str">
        <f>IFERROR(__xludf.DUMMYFUNCTION("""COMPUTED_VALUE""")," http://www.meu.org.uk ")</f>
        <v> http://www.meu.org.uk </v>
      </c>
      <c r="E218" s="6" t="str">
        <f>IFERROR(__xludf.DUMMYFUNCTION("""COMPUTED_VALUE"""),"Reformulating medicines to improve claims and performance. Focus on drug 
solubility and vaccine improvement")</f>
        <v>Reformulating medicines to improve claims and performance. Focus on drug 
solubility and vaccine improvement</v>
      </c>
    </row>
    <row r="219">
      <c r="A219" s="6" t="str">
        <f>IFERROR(__xludf.DUMMYFUNCTION("""COMPUTED_VALUE"""),"MEDQP LTD")</f>
        <v>MEDQP LTD</v>
      </c>
      <c r="B219" s="6" t="str">
        <f>IFERROR(__xludf.DUMMYFUNCTION("""COMPUTED_VALUE""")," Headingley Enterprise and Arts Centre Ltd., PULSE Offices, Bennet Road 
Headingley, Leeds, LS6 3HN ")</f>
        <v> Headingley Enterprise and Arts Centre Ltd., PULSE Offices, Bennet Road 
Headingley, Leeds, LS6 3HN </v>
      </c>
      <c r="C219" s="6">
        <f>IFERROR(__xludf.DUMMYFUNCTION("""COMPUTED_VALUE"""),7.73943605E9)</f>
        <v>7739436050</v>
      </c>
      <c r="D219" s="6" t="str">
        <f>IFERROR(__xludf.DUMMYFUNCTION("""COMPUTED_VALUE""")," http:// ")</f>
        <v> http:// </v>
      </c>
      <c r="E219" s="6" t="str">
        <f>IFERROR(__xludf.DUMMYFUNCTION("""COMPUTED_VALUE"""),"The N8 Research Partnership is a collaboration of the eight most research 
intensive Universities in the North of England: Durham, Lancaster, Leeds, 
Liverpool, Manchester, Newcastle, Sheffield and York.Working with 
universities, industry and society, N8"&amp;" aims to maximise the impact of this 
research base by: promoting collaboration; establishing innovative research 
capabilities &amp; programmes; driving economic growth.")</f>
        <v>The N8 Research Partnership is a collaboration of the eight most research 
intensive Universities in the North of England: Durham, Lancaster, Leeds, 
Liverpool, Manchester, Newcastle, Sheffield and York.Working with 
universities, industry and society, N8 aims to maximise the impact of this 
research base by: promoting collaboration; establishing innovative research 
capabilities &amp; programmes; driving economic growth.</v>
      </c>
    </row>
    <row r="220">
      <c r="A220" s="6" t="str">
        <f>IFERROR(__xludf.DUMMYFUNCTION("""COMPUTED_VALUE"""),"Metallobio")</f>
        <v>Metallobio</v>
      </c>
      <c r="B220" s="6" t="str">
        <f>IFERROR(__xludf.DUMMYFUNCTION("""COMPUTED_VALUE""")," The Innovation Centre, 217 Portobello Road, Sheffield, South Yorkshire, S1 
4DP ")</f>
        <v> The Innovation Centre, 217 Portobello Road, Sheffield, South Yorkshire, S1 
4DP </v>
      </c>
      <c r="C220" s="6" t="str">
        <f>IFERROR(__xludf.DUMMYFUNCTION("""COMPUTED_VALUE""")," 0114 224 2424 ")</f>
        <v> 0114 224 2424 </v>
      </c>
      <c r="D220" s="7" t="str">
        <f>IFERROR(__xludf.DUMMYFUNCTION("""COMPUTED_VALUE""")," https://www.metallobio.com/ ")</f>
        <v> https://www.metallobio.com/ </v>
      </c>
      <c r="E220" s="6" t="str">
        <f>IFERROR(__xludf.DUMMYFUNCTION("""COMPUTED_VALUE"""),"Established in 2016, NanOptima Ltd. is based at the Alderley Park 
Accelerator, Cheshire Alderley Park is the UK’s largest single site science 
campus: https://www.alderleypark.co.uk/")</f>
        <v>Established in 2016, NanOptima Ltd. is based at the Alderley Park 
Accelerator, Cheshire Alderley Park is the UK’s largest single site science 
campus: https://www.alderleypark.co.uk/</v>
      </c>
    </row>
    <row r="221">
      <c r="A221" s="6" t="str">
        <f>IFERROR(__xludf.DUMMYFUNCTION("""COMPUTED_VALUE"""),"Mewburn Ellis LLP")</f>
        <v>Mewburn Ellis LLP</v>
      </c>
      <c r="B221" s="6" t="str">
        <f>IFERROR(__xludf.DUMMYFUNCTION("""COMPUTED_VALUE""")," Manchester One, 53 Portland Street, Manchester, M1 3LD ")</f>
        <v> Manchester One, 53 Portland Street, Manchester, M1 3LD </v>
      </c>
      <c r="C221" s="6" t="str">
        <f>IFERROR(__xludf.DUMMYFUNCTION("""COMPUTED_VALUE""")," 0161 247 7722 ")</f>
        <v> 0161 247 7722 </v>
      </c>
      <c r="D221" s="7" t="str">
        <f>IFERROR(__xludf.DUMMYFUNCTION("""COMPUTED_VALUE""")," http://www.mewburn.com ")</f>
        <v> http://www.mewburn.com </v>
      </c>
      <c r="E221" s="6" t="str">
        <f>IFERROR(__xludf.DUMMYFUNCTION("""COMPUTED_VALUE"""),"Nanovery is developing nanorobots to diagnose the world’s deadliest 
diseases. Our nanorobots are added to blood samples. When they capture a 
cancer biomarker they light up, allowing point-of-care testing. As there is 
no need for high capital expenditur"&amp;"e, our nanorobots are 10 times cheaper. 
The whole process is also more than 100 times faster – a matter of one or 
two hours rather than weeks – as there is no need for complex lab protocols 
which require bioinformaticians to analyse the data.")</f>
        <v>Nanovery is developing nanorobots to diagnose the world’s deadliest 
diseases. Our nanorobots are added to blood samples. When they capture a 
cancer biomarker they light up, allowing point-of-care testing. As there is 
no need for high capital expenditure, our nanorobots are 10 times cheaper. 
The whole process is also more than 100 times faster – a matter of one or 
two hours rather than weeks – as there is no need for complex lab protocols 
which require bioinformaticians to analyse the data.</v>
      </c>
    </row>
    <row r="222">
      <c r="A222" s="6" t="str">
        <f>IFERROR(__xludf.DUMMYFUNCTION("""COMPUTED_VALUE"""),"Microbiosensor Limited")</f>
        <v>Microbiosensor Limited</v>
      </c>
      <c r="B222" s="6" t="str">
        <f>IFERROR(__xludf.DUMMYFUNCTION("""COMPUTED_VALUE""")," The Incubator Building, 48 Grafton Street, Manchester, M13 9XX ")</f>
        <v> The Incubator Building, 48 Grafton Street, Manchester, M13 9XX </v>
      </c>
      <c r="C222" s="6" t="str">
        <f>IFERROR(__xludf.DUMMYFUNCTION("""COMPUTED_VALUE""")," 0161 606 7401 ")</f>
        <v> 0161 606 7401 </v>
      </c>
      <c r="D222" s="7" t="str">
        <f>IFERROR(__xludf.DUMMYFUNCTION("""COMPUTED_VALUE""")," http://www.microbiosensor.com ")</f>
        <v> http://www.microbiosensor.com </v>
      </c>
      <c r="E222" s="6" t="str">
        <f>IFERROR(__xludf.DUMMYFUNCTION("""COMPUTED_VALUE"""),"The National Physical Laboratory (NPL) is the UK's National Measurement 
Institute, and a world-leading centre of excellence in developing and 
applying the most accurate measurement standards, science and technology 
available. Today we are increasingly "&amp;"involved in applying our resources to 
address some of the world’s biggest challenges in Life sciences and Health. 
We work in collaboration with industry, academia and government in the 
provision of independent expert advice, collaborative research and "&amp;"
development, access to state-of-the-art facilities, products and services, 
and training.")</f>
        <v>The National Physical Laboratory (NPL) is the UK's National Measurement 
Institute, and a world-leading centre of excellence in developing and 
applying the most accurate measurement standards, science and technology 
available. Today we are increasingly involved in applying our resources to 
address some of the world’s biggest challenges in Life sciences and Health. 
We work in collaboration with industry, academia and government in the 
provision of independent expert advice, collaborative research and 
development, access to state-of-the-art facilities, products and services, 
and training.</v>
      </c>
    </row>
    <row r="223">
      <c r="A223" s="6" t="str">
        <f>IFERROR(__xludf.DUMMYFUNCTION("""COMPUTED_VALUE"""),"Monument Tx")</f>
        <v>Monument Tx</v>
      </c>
      <c r="B223" s="6" t="str">
        <f>IFERROR(__xludf.DUMMYFUNCTION("""COMPUTED_VALUE""")," Alderley Park, Macclesfield, SK10 4TG ")</f>
        <v> Alderley Park, Macclesfield, SK10 4TG </v>
      </c>
      <c r="C223" s="6">
        <f>IFERROR(__xludf.DUMMYFUNCTION("""COMPUTED_VALUE"""),7.733364258E9)</f>
        <v>7733364258</v>
      </c>
      <c r="D223" s="7" t="str">
        <f>IFERROR(__xludf.DUMMYFUNCTION("""COMPUTED_VALUE""")," https://monumenttx.com/about/ ")</f>
        <v> https://monumenttx.com/about/ </v>
      </c>
      <c r="E223" s="6" t="str">
        <f>IFERROR(__xludf.DUMMYFUNCTION("""COMPUTED_VALUE"""),"Naturiol is a new company dedicated to the development and supply of 
naturally sourced performance chemicals such as saponins and fatty acids 
for use in the cosmetic, agriculture, animal health and other industries. 
Explore our website and find out wha"&amp;"t we offer, our people and some of the 
research that we have on-going.")</f>
        <v>Naturiol is a new company dedicated to the development and supply of 
naturally sourced performance chemicals such as saponins and fatty acids 
for use in the cosmetic, agriculture, animal health and other industries. 
Explore our website and find out what we offer, our people and some of the 
research that we have on-going.</v>
      </c>
    </row>
    <row r="224">
      <c r="A224" s="6" t="str">
        <f>IFERROR(__xludf.DUMMYFUNCTION("""COMPUTED_VALUE"""),"N4 Pharma")</f>
        <v>N4 Pharma</v>
      </c>
      <c r="B224" s="6" t="str">
        <f>IFERROR(__xludf.DUMMYFUNCTION("""COMPUTED_VALUE""")," Weston House, Bradgate, Park View, Derby, DE73 5UJ ")</f>
        <v> Weston House, Bradgate, Park View, Derby, DE73 5UJ </v>
      </c>
      <c r="C224" s="6" t="str">
        <f>IFERROR(__xludf.DUMMYFUNCTION("""COMPUTED_VALUE""")," 01332 690061 ")</f>
        <v> 01332 690061 </v>
      </c>
      <c r="D224" s="7" t="str">
        <f>IFERROR(__xludf.DUMMYFUNCTION("""COMPUTED_VALUE""")," http://www.n4pharma.co.uk ")</f>
        <v> http://www.n4pharma.co.uk </v>
      </c>
      <c r="E224" s="6" t="str">
        <f>IFERROR(__xludf.DUMMYFUNCTION("""COMPUTED_VALUE"""),"Neotherix develop regenerative scaffolds for soft tissue repair and 
regeneration - bioresorbable devices providing 3D architecture for enhanced 
repair. Capabilities include polymer electrospinning, cell and drug 
delivery scaffolds and scaffolds for in "&amp;"vitro modelling. Founded as a 
spin-out from Smith &amp; Nephew in 2007, our electrospun scaffolds are highly 
porous three-dimensional structures which support the migration and 
proliferation of cells from surrounding healthy soft tissue in order to 
facili"&amp;"tate tissue regeneration. Repair can thus be enhanced with consequent 
benefits to the patient (less scarring, less disruption and improved 
quality of life) and cost and time savings for global health systems. Work 
is focused on the development of scaff"&amp;"olds tailored to specific clinical 
indications in acute and chronic wound repair and oral surgery. 
EktoTherix™, our lead product, entered clinical trials for the treatment of 
surgical excision wounds in 2015. A second product - RegeniTherix Wound 
Ther"&amp;"anostic System - is due to undergo clinical testing in late 2016. Other 
pipeline products are at earlier stages of translation.")</f>
        <v>Neotherix develop regenerative scaffolds for soft tissue repair and 
regeneration - bioresorbable devices providing 3D architecture for enhanced 
repair. Capabilities include polymer electrospinning, cell and drug 
delivery scaffolds and scaffolds for in vitro modelling. Founded as a 
spin-out from Smith &amp; Nephew in 2007, our electrospun scaffolds are highly 
porous three-dimensional structures which support the migration and 
proliferation of cells from surrounding healthy soft tissue in order to 
facilitate tissue regeneration. Repair can thus be enhanced with consequent 
benefits to the patient (less scarring, less disruption and improved 
quality of life) and cost and time savings for global health systems. Work 
is focused on the development of scaffolds tailored to specific clinical 
indications in acute and chronic wound repair and oral surgery. 
EktoTherix™, our lead product, entered clinical trials for the treatment of 
surgical excision wounds in 2015. A second product - RegeniTherix Wound 
Theranostic System - is due to undergo clinical testing in late 2016. Other 
pipeline products are at earlier stages of translation.</v>
      </c>
    </row>
    <row r="225">
      <c r="A225" s="6" t="str">
        <f>IFERROR(__xludf.DUMMYFUNCTION("""COMPUTED_VALUE"""),"N8 Research Partnership")</f>
        <v>N8 Research Partnership</v>
      </c>
      <c r="B225" s="6" t="str">
        <f>IFERROR(__xludf.DUMMYFUNCTION("""COMPUTED_VALUE""")," Room H5, Sackville Street Campus, University of Manchester, Manchester, M1 
3BB ")</f>
        <v> Room H5, Sackville Street Campus, University of Manchester, Manchester, M1 
3BB </v>
      </c>
      <c r="C225" s="6" t="str">
        <f>IFERROR(__xludf.DUMMYFUNCTION("""COMPUTED_VALUE""")," 07740 167 515 ")</f>
        <v> 07740 167 515 </v>
      </c>
      <c r="D225" s="7" t="str">
        <f>IFERROR(__xludf.DUMMYFUNCTION("""COMPUTED_VALUE""")," http://www.n8research.org.uk ")</f>
        <v> http://www.n8research.org.uk </v>
      </c>
      <c r="E225" s="6" t="str">
        <f>IFERROR(__xludf.DUMMYFUNCTION("""COMPUTED_VALUE"""),"The North East of England Process Industry Cluster Limited (trading as 
NEPIC) is a cluster organisation that works across a broad range of 
inter-related chemistry using industries, such as bioprocessing, chemicals, 
polymers and composites, pharmaceutic"&amp;"als, specialities and renewable energy 
and low carbon materials, and their supply chains within Northeast England. 
This is a globally significant region for the process industry as there are 
more than 1400 companies directly involved or in the supply c"&amp;"hain of these 
sectors, generating £26bn of annual sales, who employ 190,000 people and 
export £12bn each year. This is the Northeast’s largest industrial sector 
and vital to the future of the Northeast economy. NEPIC has a strategic 
role in shaping th"&amp;"e future of these sectors and has made significant impact 
since its formation in 2005. Through industry leadership and the collective 
mass of the cluster the industry has a stronger voice to regional, UK and 
EU government; and the coordination of mutua"&amp;"lly beneficial activities has 
significantly improved the competitiveness of the Northeast Process 
Industries and the companies actively participating in cluster. By 
providing a more collaborative environment the cluster has created a more 
compelling i"&amp;"nteractive and proactive business community, which is a more 
attractive environment for investors; and helped raise the international 
profile resulting in a strong investment portfolio of 58 projects totalling 
£8.96bnIt is important that ALL Northeast "&amp;"based companies, either operating 
in or supplying these sectors, play an active role in the continued success 
of the cluster in order to continue and accelerate the good work being done 
to improve the regions international competitiveness and regain it"&amp;"s 
historical reputation as being the leading centre for high value 
manufacturing.")</f>
        <v>The North East of England Process Industry Cluster Limited (trading as 
NEPIC) is a cluster organisation that works across a broad range of 
inter-related chemistry using industries, such as bioprocessing, chemicals, 
polymers and composites, pharmaceuticals, specialities and renewable energy 
and low carbon materials, and their supply chains within Northeast England. 
This is a globally significant region for the process industry as there are 
more than 1400 companies directly involved or in the supply chain of these 
sectors, generating £26bn of annual sales, who employ 190,000 people and 
export £12bn each year. This is the Northeast’s largest industrial sector 
and vital to the future of the Northeast economy. NEPIC has a strategic 
role in shaping the future of these sectors and has made significant impact 
since its formation in 2005. Through industry leadership and the collective 
mass of the cluster the industry has a stronger voice to regional, UK and 
EU government; and the coordination of mutually beneficial activities has 
significantly improved the competitiveness of the Northeast Process 
Industries and the companies actively participating in cluster. By 
providing a more collaborative environment the cluster has created a more 
compelling interactive and proactive business community, which is a more 
attractive environment for investors; and helped raise the international 
profile resulting in a strong investment portfolio of 58 projects totalling 
£8.96bnIt is important that ALL Northeast based companies, either operating 
in or supplying these sectors, play an active role in the continued success 
of the cluster in order to continue and accelerate the good work being done 
to improve the regions international competitiveness and regain its 
historical reputation as being the leading centre for high value 
manufacturing.</v>
      </c>
    </row>
    <row r="226">
      <c r="A226" s="6" t="str">
        <f>IFERROR(__xludf.DUMMYFUNCTION("""COMPUTED_VALUE"""),"NanOptima")</f>
        <v>NanOptima</v>
      </c>
      <c r="B226" s="6" t="str">
        <f>IFERROR(__xludf.DUMMYFUNCTION("""COMPUTED_VALUE""")," NanOptima Ltd, Alderley Park, Alderley Edge, Macclesfield, Cheshire, SK10 
4TG ")</f>
        <v> NanOptima Ltd, Alderley Park, Alderley Edge, Macclesfield, Cheshire, SK10 
4TG </v>
      </c>
      <c r="C226" s="6" t="str">
        <f>IFERROR(__xludf.DUMMYFUNCTION("""COMPUTED_VALUE""")," 07887 727 999 ")</f>
        <v> 07887 727 999 </v>
      </c>
      <c r="D226" s="7" t="str">
        <f>IFERROR(__xludf.DUMMYFUNCTION("""COMPUTED_VALUE""")," https://www.nanoptima.com/ ")</f>
        <v> https://www.nanoptima.com/ </v>
      </c>
      <c r="E226" s="6" t="str">
        <f>IFERROR(__xludf.DUMMYFUNCTION("""COMPUTED_VALUE"""),"NES Fircroft has over 20 years’ experience in the Life Science sector 
sourcing personnel for engineering, scientific and commercial roles across 
the market. We work with the world’s leading healthcare businesses across 
the entire project life-cycle, en"&amp;"abling their access to the topmost 
professionals to drive exponential therapy and product progression. Our 
client portfolio includes many of the industry’s top Biopharma and Medical 
Devices companies. We have vertical-specific recruiters and deliver a "&amp;"
comprehensive methodology, without compromising on speed. Our dedicated 
recruitment hubs span Switzerland, Germany, France, The Netherlands, 
Singapore, China, Australia and the UK, and following our purchase of US 
Life Science specialists Redbock and "&amp;"mostly recently Evolve Scientific 
Recruitment in Australia, we are proud to be one of the biggest Life 
Science staffing providers globally. Our international reach, local 
understanding and sector expertise makes us an invaluable recruitment 
partner an"&amp;"d guarantees the provision of the best Life Science talent in the 
market.")</f>
        <v>NES Fircroft has over 20 years’ experience in the Life Science sector 
sourcing personnel for engineering, scientific and commercial roles across 
the market. We work with the world’s leading healthcare businesses across 
the entire project life-cycle, enabling their access to the topmost 
professionals to drive exponential therapy and product progression. Our 
client portfolio includes many of the industry’s top Biopharma and Medical 
Devices companies. We have vertical-specific recruiters and deliver a 
comprehensive methodology, without compromising on speed. Our dedicated 
recruitment hubs span Switzerland, Germany, France, The Netherlands, 
Singapore, China, Australia and the UK, and following our purchase of US 
Life Science specialists Redbock and mostly recently Evolve Scientific 
Recruitment in Australia, we are proud to be one of the biggest Life 
Science staffing providers globally. Our international reach, local 
understanding and sector expertise makes us an invaluable recruitment 
partner and guarantees the provision of the best Life Science talent in the 
market.</v>
      </c>
    </row>
    <row r="227">
      <c r="A227" s="6" t="str">
        <f>IFERROR(__xludf.DUMMYFUNCTION("""COMPUTED_VALUE"""),"Nanovery Ltd")</f>
        <v>Nanovery Ltd</v>
      </c>
      <c r="B227" s="6" t="str">
        <f>IFERROR(__xludf.DUMMYFUNCTION("""COMPUTED_VALUE""")," The Biosphere, Draymans Way, Newcastle Helix, Newcastle upon Tyne, Tyne &amp; 
Wear, NE4 5BX ")</f>
        <v> The Biosphere, Draymans Way, Newcastle Helix, Newcastle upon Tyne, Tyne &amp; 
Wear, NE4 5BX </v>
      </c>
      <c r="C227" s="6">
        <f>IFERROR(__xludf.DUMMYFUNCTION("""COMPUTED_VALUE"""),7.749243437E9)</f>
        <v>7749243437</v>
      </c>
      <c r="D227" s="7" t="str">
        <f>IFERROR(__xludf.DUMMYFUNCTION("""COMPUTED_VALUE""")," https://www.nanovery.co.uk/ ")</f>
        <v> https://www.nanovery.co.uk/ </v>
      </c>
      <c r="E227" s="6" t="str">
        <f>IFERROR(__xludf.DUMMYFUNCTION("""COMPUTED_VALUE"""),"Supporting Process Engineers to enhance manufacturing and production 
operations: Established in 2007, NE-based SME, the company has developed a 
proven track record for delivering quality solutions across multiple 
sectors: Life sciences, pharmaceuticals"&amp;", semiconductors, defence, 
wastewater treatment and food manufacturing - to name a few. Providing a 
range of design, build and modification services, covering areas such as 
cleanrooms, water and wastewater treatment systems, as well as process 
pipewor"&amp;"k design, fabrication and installation in high and ultra-high purity 
piping systems.")</f>
        <v>Supporting Process Engineers to enhance manufacturing and production 
operations: Established in 2007, NE-based SME, the company has developed a 
proven track record for delivering quality solutions across multiple 
sectors: Life sciences, pharmaceuticals, semiconductors, defence, 
wastewater treatment and food manufacturing - to name a few. Providing a 
range of design, build and modification services, covering areas such as 
cleanrooms, water and wastewater treatment systems, as well as process 
pipework design, fabrication and installation in high and ultra-high purity 
piping systems.</v>
      </c>
    </row>
    <row r="228">
      <c r="A228" s="6" t="str">
        <f>IFERROR(__xludf.DUMMYFUNCTION("""COMPUTED_VALUE"""),"National Physical Laboratory")</f>
        <v>National Physical Laboratory</v>
      </c>
      <c r="B228" s="6" t="str">
        <f>IFERROR(__xludf.DUMMYFUNCTION("""COMPUTED_VALUE""")," National Physical Laboratory, Hampton Road, Teddington, Middlesex, TW11 
0LW ")</f>
        <v> National Physical Laboratory, Hampton Road, Teddington, Middlesex, TW11 
0LW </v>
      </c>
      <c r="C228" s="6" t="str">
        <f>IFERROR(__xludf.DUMMYFUNCTION("""COMPUTED_VALUE""")," 020 8977 3222 ")</f>
        <v> 020 8977 3222 </v>
      </c>
      <c r="D228" s="7" t="str">
        <f>IFERROR(__xludf.DUMMYFUNCTION("""COMPUTED_VALUE""")," http://www.npl.co.uk ")</f>
        <v> http://www.npl.co.uk </v>
      </c>
      <c r="E228" s="6" t="str">
        <f>IFERROR(__xludf.DUMMYFUNCTION("""COMPUTED_VALUE"""),"Network Scientific is an award-winning, knowledgeable agency that offers 
business growth services to companies working and operating within the 
scientific industries. Sales and marketing. We have experience working on a 
broad range of projects, ranging"&amp;" from full scale company sales strategy 
implementation and management to smaller, targeted sales and marketing 
campaigns. Whether you are looking for telesales, appointment setting, 
marketing or website development services, we can help you increase yo"&amp;"ur 
sales. Recruitment. Our recruitment division offers temporary, permanent 
and contract recruitment solutions to the life science industry. Strictly 
abiding with the REC code of ethical conduct we are proud of our 
hard-earned reputation of offering a"&amp;" high standard of care for our clients. 
Many of our consultants are degree educated in a scientific discipline and 
have several years’ experience working within the industry. Our expertise 
comes from real-world, hands-on work. We know your market and h"&amp;"ave the 
skills and the network of contacts to help your business grow. Our client 
list includes companies ranging from start-ups and SMEs to prestigious blue 
chip organisations throughout the UK and Europe. We recognise that every 
business is differen"&amp;"t, which is why we are proud to offer a completely 
bespoke service, working closely with you and your team to deliver on 
requirements, whatever you business goals may be.")</f>
        <v>Network Scientific is an award-winning, knowledgeable agency that offers 
business growth services to companies working and operating within the 
scientific industries. Sales and marketing. We have experience working on a 
broad range of projects, ranging from full scale company sales strategy 
implementation and management to smaller, targeted sales and marketing 
campaigns. Whether you are looking for telesales, appointment setting, 
marketing or website development services, we can help you increase your 
sales. Recruitment. Our recruitment division offers temporary, permanent 
and contract recruitment solutions to the life science industry. Strictly 
abiding with the REC code of ethical conduct we are proud of our 
hard-earned reputation of offering a high standard of care for our clients. 
Many of our consultants are degree educated in a scientific discipline and 
have several years’ experience working within the industry. Our expertise 
comes from real-world, hands-on work. We know your market and have the 
skills and the network of contacts to help your business grow. Our client 
list includes companies ranging from start-ups and SMEs to prestigious blue 
chip organisations throughout the UK and Europe. We recognise that every 
business is different, which is why we are proud to offer a completely 
bespoke service, working closely with you and your team to deliver on 
requirements, whatever you business goals may be.</v>
      </c>
    </row>
    <row r="229">
      <c r="A229" s="6" t="str">
        <f>IFERROR(__xludf.DUMMYFUNCTION("""COMPUTED_VALUE"""),"Naturiol Ltd")</f>
        <v>Naturiol Ltd</v>
      </c>
      <c r="B229" s="6" t="str">
        <f>IFERROR(__xludf.DUMMYFUNCTION("""COMPUTED_VALUE""")," M-SParc, Gaerwen, Ynys Mon, LL60 6AG ")</f>
        <v> M-SParc, Gaerwen, Ynys Mon, LL60 6AG </v>
      </c>
      <c r="C229" s="6" t="str">
        <f>IFERROR(__xludf.DUMMYFUNCTION("""COMPUTED_VALUE""")," 01248 858009 ")</f>
        <v> 01248 858009 </v>
      </c>
      <c r="D229" s="7" t="str">
        <f>IFERROR(__xludf.DUMMYFUNCTION("""COMPUTED_VALUE""")," https://naturiol.uk/ ")</f>
        <v> https://naturiol.uk/ </v>
      </c>
      <c r="E229" s="6" t="str">
        <f>IFERROR(__xludf.DUMMYFUNCTION("""COMPUTED_VALUE"""),"Nevrargenics is a drug discovery and development company working towards 
understanding, treating and reversing neurodegenerative diseases. Our 
interests are widely across neurodegenerative diseases through a novel 
dual-acting small molecule, which may "&amp;"be valuable in treating a number of 
closely linked diseases, such as ALS, FTD and Alzheimer’s disease.")</f>
        <v>Nevrargenics is a drug discovery and development company working towards 
understanding, treating and reversing neurodegenerative diseases. Our 
interests are widely across neurodegenerative diseases through a novel 
dual-acting small molecule, which may be valuable in treating a number of 
closely linked diseases, such as ALS, FTD and Alzheimer’s disease.</v>
      </c>
    </row>
    <row r="230">
      <c r="A230" s="6" t="str">
        <f>IFERROR(__xludf.DUMMYFUNCTION("""COMPUTED_VALUE"""),"Neotherix Ltd")</f>
        <v>Neotherix Ltd</v>
      </c>
      <c r="B230" s="6" t="str">
        <f>IFERROR(__xludf.DUMMYFUNCTION("""COMPUTED_VALUE""")," Business Club, The Hiscox Building, Peasholme Green, York, YO1 7PR ")</f>
        <v> Business Club, The Hiscox Building, Peasholme Green, York, YO1 7PR </v>
      </c>
      <c r="C230" s="6" t="str">
        <f>IFERROR(__xludf.DUMMYFUNCTION("""COMPUTED_VALUE""")," info@neotherix.com ")</f>
        <v> info@neotherix.com </v>
      </c>
      <c r="D230" s="7" t="str">
        <f>IFERROR(__xludf.DUMMYFUNCTION("""COMPUTED_VALUE""")," http://www.neotherix.com ")</f>
        <v> http://www.neotherix.com </v>
      </c>
      <c r="E230" s="6" t="str">
        <f>IFERROR(__xludf.DUMMYFUNCTION("""COMPUTED_VALUE"""),"NewChem Technologies was founded in 2002 as a spin-out from Newcastle 
University.The company is now a leading CRO offering a comprehensive range 
of chemistry services to the life science sectors including 
pharmaceuticals, biotechnology, diagnostics and"&amp;" veterinary science.NewChem 
has a high level of technical expertise in organic chemical synthesis and 
the majority of our team are experienced PhD scientists. We offer contract 
research and custom synthesis to produce high-purity complex organic 
molec"&amp;"ules in milligram to multi-gram quantities. We design novel routes and 
pride ourselves in our innovative approach. NewChem works closely with its 
customers towards the discovery of new products and in their further 
development and we offer new ideas as"&amp;" an integral part of our service. The 
input of our expertise has resulted in over 25 patents being filed by our 
customers.Essential to the quality of our contract services is our state of 
the art analytical capability.Our specialist equipment includes "&amp;"LCMS 
(electrospray and APPI), HPLC (analytical and semi-preparative), NMR (up to 
700MHz) and XRD.Strict confidentiality is integral to all our contract 
services. Projects are tailored to meet our customers’ needs in terms of 
technical content, timefra"&amp;"me and cost. Commercial frameworks vary from a 
simple fixed fee to longer-term FTE contracts. In all cases, we have a 
clear focus on achieving the desired outcome within the specified timeframe.")</f>
        <v>NewChem Technologies was founded in 2002 as a spin-out from Newcastle 
University.The company is now a leading CRO offering a comprehensive range 
of chemistry services to the life science sectors including 
pharmaceuticals, biotechnology, diagnostics and veterinary science.NewChem 
has a high level of technical expertise in organic chemical synthesis and 
the majority of our team are experienced PhD scientists. We offer contract 
research and custom synthesis to produce high-purity complex organic 
molecules in milligram to multi-gram quantities. We design novel routes and 
pride ourselves in our innovative approach. NewChem works closely with its 
customers towards the discovery of new products and in their further 
development and we offer new ideas as an integral part of our service. The 
input of our expertise has resulted in over 25 patents being filed by our 
customers.Essential to the quality of our contract services is our state of 
the art analytical capability.Our specialist equipment includes LCMS 
(electrospray and APPI), HPLC (analytical and semi-preparative), NMR (up to 
700MHz) and XRD.Strict confidentiality is integral to all our contract 
services. Projects are tailored to meet our customers’ needs in terms of 
technical content, timeframe and cost. Commercial frameworks vary from a 
simple fixed fee to longer-term FTE contracts. In all cases, we have a 
clear focus on achieving the desired outcome within the specified timeframe.</v>
      </c>
    </row>
    <row r="231">
      <c r="A231" s="6" t="str">
        <f>IFERROR(__xludf.DUMMYFUNCTION("""COMPUTED_VALUE"""),"NEPIC")</f>
        <v>NEPIC</v>
      </c>
      <c r="B231" s="6" t="str">
        <f>IFERROR(__xludf.DUMMYFUNCTION("""COMPUTED_VALUE""")," Room H224, Wilton Centre, Wilton, Redcar, TS10 4RF ")</f>
        <v> Room H224, Wilton Centre, Wilton, Redcar, TS10 4RF </v>
      </c>
      <c r="C231" s="6" t="str">
        <f>IFERROR(__xludf.DUMMYFUNCTION("""COMPUTED_VALUE""")," 01642 442 560 ")</f>
        <v> 01642 442 560 </v>
      </c>
      <c r="D231" s="7" t="str">
        <f>IFERROR(__xludf.DUMMYFUNCTION("""COMPUTED_VALUE""")," http://www.nepic.co.uk ")</f>
        <v> http://www.nepic.co.uk </v>
      </c>
      <c r="E231" s="6" t="str">
        <f>IFERROR(__xludf.DUMMYFUNCTION("""COMPUTED_VALUE"""),"NiCHe Materials are experts in sourcing &amp; supplying ‘hard-to-find’ or 
‘commercially unavailable’ materials. Working globally across 
Pharmaceutical, Biotechnology, Microbiology, Veterinary, OLED and 
Electronics sectors we excel in building bespoke, stra"&amp;"tegic relationships 
with our clients. With first-rate responsiveness, NiCHe supply high purity 
chemicals from g’s to Kg’s to all specification grades (pre-clinical, 
ISO9000, ISO14000 and GMP). Our distinct offering is supported by decades 
of industry "&amp;"expertise and acquaintance with state-of-the-art trends. If you 
are searching for novel materials or require alternative sourcing, we’d 
welcome the opportunity to work with you")</f>
        <v>NiCHe Materials are experts in sourcing &amp; supplying ‘hard-to-find’ or 
‘commercially unavailable’ materials. Working globally across 
Pharmaceutical, Biotechnology, Microbiology, Veterinary, OLED and 
Electronics sectors we excel in building bespoke, strategic relationships 
with our clients. With first-rate responsiveness, NiCHe supply high purity 
chemicals from g’s to Kg’s to all specification grades (pre-clinical, 
ISO9000, ISO14000 and GMP). Our distinct offering is supported by decades 
of industry expertise and acquaintance with state-of-the-art trends. If you 
are searching for novel materials or require alternative sourcing, we’d 
welcome the opportunity to work with you</v>
      </c>
    </row>
    <row r="232">
      <c r="A232" s="6" t="str">
        <f>IFERROR(__xludf.DUMMYFUNCTION("""COMPUTED_VALUE"""),"NES Fircroft")</f>
        <v>NES Fircroft</v>
      </c>
      <c r="B232" s="6" t="str">
        <f>IFERROR(__xludf.DUMMYFUNCTION("""COMPUTED_VALUE""")," 10 Chapel Walks, Manchester, M2 1HN, ")</f>
        <v> 10 Chapel Walks, Manchester, M2 1HN, </v>
      </c>
      <c r="C232" s="6" t="str">
        <f>IFERROR(__xludf.DUMMYFUNCTION("""COMPUTED_VALUE""")," +44 7714 799870 ")</f>
        <v> +44 7714 799870 </v>
      </c>
      <c r="D232" s="7" t="str">
        <f>IFERROR(__xludf.DUMMYFUNCTION("""COMPUTED_VALUE""")," https://www.nesfircroft.com/ ")</f>
        <v> https://www.nesfircroft.com/ </v>
      </c>
      <c r="E232" s="6" t="str">
        <f>IFERROR(__xludf.DUMMYFUNCTION("""COMPUTED_VALUE"""),"The Innovation Lab is part of Newcastle Upon Tyne Hospitals NHS Foundation 
Trust. The aim of the lab is to accelerate the development and adoption of 
new diagnostic tests. The team works with small, medium and large companies 
who are at different stage"&amp;"s of development and may be experiencing 
challenges in accessing what’s needed for the next stage of research. We 
are able provide methodological and technical expertise to conduct test 
evaluations and provide access to a vast biobank of samples.")</f>
        <v>The Innovation Lab is part of Newcastle Upon Tyne Hospitals NHS Foundation 
Trust. The aim of the lab is to accelerate the development and adoption of 
new diagnostic tests. The team works with small, medium and large companies 
who are at different stages of development and may be experiencing 
challenges in accessing what’s needed for the next stage of research. We 
are able provide methodological and technical expertise to conduct test 
evaluations and provide access to a vast biobank of samples.</v>
      </c>
    </row>
    <row r="233">
      <c r="A233" s="6" t="str">
        <f>IFERROR(__xludf.DUMMYFUNCTION("""COMPUTED_VALUE"""),"NESL (Northern Engineering Solutions Ltd)")</f>
        <v>NESL (Northern Engineering Solutions Ltd)</v>
      </c>
      <c r="B233" s="6" t="str">
        <f>IFERROR(__xludf.DUMMYFUNCTION("""COMPUTED_VALUE""")," NESL, Unit 10,, West Chirton South Industrial Estate, North Shields, 
Newcastle, Tyne &amp; Wear, NE29 7TY ")</f>
        <v> NESL, Unit 10,, West Chirton South Industrial Estate, North Shields, 
Newcastle, Tyne &amp; Wear, NE29 7TY </v>
      </c>
      <c r="C233" s="6">
        <f>IFERROR(__xludf.DUMMYFUNCTION("""COMPUTED_VALUE"""),1.91258772E9)</f>
        <v>1912587720</v>
      </c>
      <c r="D233" s="7" t="str">
        <f>IFERROR(__xludf.DUMMYFUNCTION("""COMPUTED_VALUE""")," http://northernengineering.co.uk ")</f>
        <v> http://northernengineering.co.uk </v>
      </c>
      <c r="E233" s="6" t="str">
        <f>IFERROR(__xludf.DUMMYFUNCTION("""COMPUTED_VALUE"""),"North East Local Enterprise Partnership (North East LEP) is a public, 
private and education sector partnership. We are one of thirty-eight LEPs 
in the country and are responsible for promoting and developing economic 
growth in the local authority areas"&amp;" of County Durham, Gateshead, Newcastle, 
North Tyneside, Northumberland, South Tyneside and Sunderland. We produce 
our area’s Strategic Economic Plan, which acts as a blueprint for the 
activities that need to take place to improve our economy.")</f>
        <v>North East Local Enterprise Partnership (North East LEP) is a public, 
private and education sector partnership. We are one of thirty-eight LEPs 
in the country and are responsible for promoting and developing economic 
growth in the local authority areas of County Durham, Gateshead, Newcastle, 
North Tyneside, Northumberland, South Tyneside and Sunderland. We produce 
our area’s Strategic Economic Plan, which acts as a blueprint for the 
activities that need to take place to improve our economy.</v>
      </c>
    </row>
    <row r="234">
      <c r="A234" s="6" t="str">
        <f>IFERROR(__xludf.DUMMYFUNCTION("""COMPUTED_VALUE"""),"Network Scientific")</f>
        <v>Network Scientific</v>
      </c>
      <c r="B234" s="6" t="str">
        <f>IFERROR(__xludf.DUMMYFUNCTION("""COMPUTED_VALUE""")," Regal Chambers, 22a Oxford Street, HARROGATE, North Yorkshire, HG1 1PU ")</f>
        <v> Regal Chambers, 22a Oxford Street, HARROGATE, North Yorkshire, HG1 1PU </v>
      </c>
      <c r="C234" s="6" t="str">
        <f>IFERROR(__xludf.DUMMYFUNCTION("""COMPUTED_VALUE""")," 01423 813520 ")</f>
        <v> 01423 813520 </v>
      </c>
      <c r="D234" s="7" t="str">
        <f>IFERROR(__xludf.DUMMYFUNCTION("""COMPUTED_VALUE""")," http://networkscientific.co.uk/ ")</f>
        <v> http://networkscientific.co.uk/ </v>
      </c>
      <c r="E234" s="6" t="str">
        <f>IFERROR(__xludf.DUMMYFUNCTION("""COMPUTED_VALUE"""),"North England Laboratory Supplies (NELS) NELS have been supporting 
laboratories in the North of England for over 35 years. We can supply your 
laboratory it’s self and everything in it bar the staff! Whether you 
require chemicals, glassware, plastics, e"&amp;"quipment or servicing/calibration 
you will find an outstanding personalised service that can be tailored to 
your needs. We hold a large quantity of stock at our distribution centre Co 
Durham. We can deliver at short notice when required, and hold custo"&amp;"mer 
defined critical items to ensure continuity of supply.")</f>
        <v>North England Laboratory Supplies (NELS) NELS have been supporting 
laboratories in the North of England for over 35 years. We can supply your 
laboratory it’s self and everything in it bar the staff! Whether you 
require chemicals, glassware, plastics, equipment or servicing/calibration 
you will find an outstanding personalised service that can be tailored to 
your needs. We hold a large quantity of stock at our distribution centre Co 
Durham. We can deliver at short notice when required, and hold customer 
defined critical items to ensure continuity of supply.</v>
      </c>
    </row>
    <row r="235">
      <c r="A235" s="6" t="str">
        <f>IFERROR(__xludf.DUMMYFUNCTION("""COMPUTED_VALUE"""),"Nevrargenics")</f>
        <v>Nevrargenics</v>
      </c>
      <c r="B235" s="6" t="str">
        <f>IFERROR(__xludf.DUMMYFUNCTION("""COMPUTED_VALUE""")," c/o Azets, Wynyard Park House, Wynyard Avenue, Wynyard, TS22 5TB, Wynyard 
Avenue, Wynyard, County Durham, TS22 5TB ")</f>
        <v> c/o Azets, Wynyard Park House, Wynyard Avenue, Wynyard, TS22 5TB, Wynyard 
Avenue, Wynyard, County Durham, TS22 5TB </v>
      </c>
      <c r="C235" s="6" t="str">
        <f>IFERROR(__xludf.DUMMYFUNCTION("""COMPUTED_VALUE""")," 0191 3342081 ")</f>
        <v> 0191 3342081 </v>
      </c>
      <c r="D235" s="7" t="str">
        <f>IFERROR(__xludf.DUMMYFUNCTION("""COMPUTED_VALUE""")," http://nevrargenics.com ")</f>
        <v> http://nevrargenics.com </v>
      </c>
      <c r="E235" s="6" t="str">
        <f>IFERROR(__xludf.DUMMYFUNCTION("""COMPUTED_VALUE"""),"The only independent charity dedicated to tackling cancer across the North 
West and North Wales, our goal is simple: to put our region’s cancer needs 
first.")</f>
        <v>The only independent charity dedicated to tackling cancer across the North 
West and North Wales, our goal is simple: to put our region’s cancer needs 
first.</v>
      </c>
    </row>
    <row r="236">
      <c r="A236" s="6" t="str">
        <f>IFERROR(__xludf.DUMMYFUNCTION("""COMPUTED_VALUE"""),"NewChem Technologies")</f>
        <v>NewChem Technologies</v>
      </c>
      <c r="B236" s="6" t="str">
        <f>IFERROR(__xludf.DUMMYFUNCTION("""COMPUTED_VALUE""")," Holly Lodge, Whitesmocks, Durham, DH1 4LH ")</f>
        <v> Holly Lodge, Whitesmocks, Durham, DH1 4LH </v>
      </c>
      <c r="C236" s="6" t="str">
        <f>IFERROR(__xludf.DUMMYFUNCTION("""COMPUTED_VALUE""")," 0191 375 7294 ")</f>
        <v> 0191 375 7294 </v>
      </c>
      <c r="D236" s="7" t="str">
        <f>IFERROR(__xludf.DUMMYFUNCTION("""COMPUTED_VALUE""")," http://www.newchemtechnologies.com ")</f>
        <v> http://www.newchemtechnologies.com </v>
      </c>
      <c r="E236" s="6" t="str">
        <f>IFERROR(__xludf.DUMMYFUNCTION("""COMPUTED_VALUE"""),"Private Equity company")</f>
        <v>Private Equity company</v>
      </c>
    </row>
    <row r="237">
      <c r="A237" s="6" t="str">
        <f>IFERROR(__xludf.DUMMYFUNCTION("""COMPUTED_VALUE"""),"NiCHe Materials Ltd.")</f>
        <v>NiCHe Materials Ltd.</v>
      </c>
      <c r="B237" s="6" t="str">
        <f>IFERROR(__xludf.DUMMYFUNCTION("""COMPUTED_VALUE""")," Unit 1, The Sidings,, Victoria Avenue Industrial Estate, Swanage, Dorset, 
BH19 1AU ")</f>
        <v> Unit 1, The Sidings,, Victoria Avenue Industrial Estate, Swanage, Dorset, 
BH19 1AU </v>
      </c>
      <c r="C237" s="6" t="str">
        <f>IFERROR(__xludf.DUMMYFUNCTION("""COMPUTED_VALUE""")," +44 (0)7860 598 618 ")</f>
        <v> +44 (0)7860 598 618 </v>
      </c>
      <c r="D237" s="7" t="str">
        <f>IFERROR(__xludf.DUMMYFUNCTION("""COMPUTED_VALUE""")," http://www.nichematerials.com ")</f>
        <v> http://www.nichematerials.com </v>
      </c>
      <c r="E237" s="6" t="str">
        <f>IFERROR(__xludf.DUMMYFUNCTION("""COMPUTED_VALUE"""),"The Northern Health Science Alliance (NHSA) is a health and life sciences 
partnership between the leading NHS trusts, universities and Academic 
Health Science Networks in northern England. We were established in 2011 
with a mandate from our member orga"&amp;"nisations to act, and add value, across 
research and innovation in the North. We work together with our members, 
industry and Government to mobilise the North’s assets for the benefit of 
the people and the economy. We do this by brokering research 
col"&amp;"laborations, building expert networks, attracting investment, and 
providing a unified voice for the region’s health research system.")</f>
        <v>The Northern Health Science Alliance (NHSA) is a health and life sciences 
partnership between the leading NHS trusts, universities and Academic 
Health Science Networks in northern England. We were established in 2011 
with a mandate from our member organisations to act, and add value, across 
research and innovation in the North. We work together with our members, 
industry and Government to mobilise the North’s assets for the benefit of 
the people and the economy. We do this by brokering research 
collaborations, building expert networks, attracting investment, and 
providing a unified voice for the region’s health research system.</v>
      </c>
    </row>
    <row r="238">
      <c r="A238" s="6" t="str">
        <f>IFERROR(__xludf.DUMMYFUNCTION("""COMPUTED_VALUE"""),"North East Innovation Lab - Part of Newcastle Hospitals")</f>
        <v>North East Innovation Lab - Part of Newcastle Hospitals</v>
      </c>
      <c r="B238" s="6" t="str">
        <f>IFERROR(__xludf.DUMMYFUNCTION("""COMPUTED_VALUE""")," The Biosphere, Drayman's Way, The Helix, Newcastle upon Tyne, NE4 5BX ")</f>
        <v> The Biosphere, Drayman's Way, The Helix, Newcastle upon Tyne, NE4 5BX </v>
      </c>
      <c r="C238" s="6" t="str">
        <f>IFERROR(__xludf.DUMMYFUNCTION("""COMPUTED_VALUE""")," 0191 2137275 ")</f>
        <v> 0191 2137275 </v>
      </c>
      <c r="D238" s="7" t="str">
        <f>IFERROR(__xludf.DUMMYFUNCTION("""COMPUTED_VALUE""")," https://commercial.newcastle-hospitals.nhs.uk/our-services/innovation-lab/ ")</f>
        <v> https://commercial.newcastle-hospitals.nhs.uk/our-services/innovation-lab/ </v>
      </c>
      <c r="E238" s="6" t="str">
        <f>IFERROR(__xludf.DUMMYFUNCTION("""COMPUTED_VALUE"""),"Northway Biotech is a leading contract development and manufacturing 
organization (CDMO) specializing in the development and manufacturing of 
biopharmaceuticals. The company’s wide-ranging expertise and vertically 
integrated service offering translate "&amp;"to the ability to rapidly execute 
multiple projects from its state-of-the-art cGMP facilities while ensuring 
full process and product compliance at all stages of research, development 
and commercial manufacturing.")</f>
        <v>Northway Biotech is a leading contract development and manufacturing 
organization (CDMO) specializing in the development and manufacturing of 
biopharmaceuticals. The company’s wide-ranging expertise and vertically 
integrated service offering translate to the ability to rapidly execute 
multiple projects from its state-of-the-art cGMP facilities while ensuring 
full process and product compliance at all stages of research, development 
and commercial manufacturing.</v>
      </c>
    </row>
    <row r="239">
      <c r="A239" s="6" t="str">
        <f>IFERROR(__xludf.DUMMYFUNCTION("""COMPUTED_VALUE"""),"North East Local Enterprise Partnership")</f>
        <v>North East Local Enterprise Partnership</v>
      </c>
      <c r="B239" s="6" t="str">
        <f>IFERROR(__xludf.DUMMYFUNCTION("""COMPUTED_VALUE""")," 1 St James Gate, Newcastle upon Tyne, Tyne and Wear, NE1 4AD ")</f>
        <v> 1 St James Gate, Newcastle upon Tyne, Tyne and Wear, NE1 4AD </v>
      </c>
      <c r="C239" s="6" t="str">
        <f>IFERROR(__xludf.DUMMYFUNCTION("""COMPUTED_VALUE""")," 0191 5615420 ")</f>
        <v> 0191 5615420 </v>
      </c>
      <c r="D239" s="7" t="str">
        <f>IFERROR(__xludf.DUMMYFUNCTION("""COMPUTED_VALUE""")," http://www.nelep.co.uk ")</f>
        <v> http://www.nelep.co.uk </v>
      </c>
      <c r="E239" s="6" t="str">
        <f>IFERROR(__xludf.DUMMYFUNCTION("""COMPUTED_VALUE"""),"We facilitate the discovery, refinement and adoption of precision 
biomarkers into treatment stratification for cancer, inflammatory disorders 
and mitochondrial disease and make pivotal contributions to strategic 
projects including the MRC Biobanking pa"&amp;"rtnership awards in Pancreatic and 
Immune-mediated Inflammatory Diseases and major Innovate UK and NIHR 
awards. We continue to build on our close links with the NIHR Newcastle 
MedTech and in vitro Diagnostic Cooperative (MIC), industrial partners 
incl"&amp;"uding diagnostic, pharmaceutical companies, SMEs, Newcastle University 
research groups including bioengineering, data sciences, medicine, clinical 
trials and the NIHR Observatory, working as part of a single translational 
research organisation – Diagno"&amp;"stics North East (DxNE). Since officially 
opening in December 2016, the Proximity Lab has successfully delivered 83 
individual projects with a further 20 projects currently in progress. 
NovoPath has been instrumental to a number of successful grant and"&amp;" project 
applications now totalling over £50M.")</f>
        <v>We facilitate the discovery, refinement and adoption of precision 
biomarkers into treatment stratification for cancer, inflammatory disorders 
and mitochondrial disease and make pivotal contributions to strategic 
projects including the MRC Biobanking partnership awards in Pancreatic and 
Immune-mediated Inflammatory Diseases and major Innovate UK and NIHR 
awards. We continue to build on our close links with the NIHR Newcastle 
MedTech and in vitro Diagnostic Cooperative (MIC), industrial partners 
including diagnostic, pharmaceutical companies, SMEs, Newcastle University 
research groups including bioengineering, data sciences, medicine, clinical 
trials and the NIHR Observatory, working as part of a single translational 
research organisation – Diagnostics North East (DxNE). Since officially 
opening in December 2016, the Proximity Lab has successfully delivered 83 
individual projects with a further 20 projects currently in progress. 
NovoPath has been instrumental to a number of successful grant and project 
applications now totalling over £50M.</v>
      </c>
    </row>
    <row r="240">
      <c r="A240" s="6" t="str">
        <f>IFERROR(__xludf.DUMMYFUNCTION("""COMPUTED_VALUE"""),"North England Laboratory Supplies")</f>
        <v>North England Laboratory Supplies</v>
      </c>
      <c r="B240" s="6" t="str">
        <f>IFERROR(__xludf.DUMMYFUNCTION("""COMPUTED_VALUE""")," Cumbie Way, Aycliffe Industrial Park, Aycliffe Industrial Park, Newton 
Aycliffe, Durham, DL5 6YA ")</f>
        <v> Cumbie Way, Aycliffe Industrial Park, Aycliffe Industrial Park, Newton 
Aycliffe, Durham, DL5 6YA </v>
      </c>
      <c r="C240" s="6">
        <f>IFERROR(__xludf.DUMMYFUNCTION("""COMPUTED_VALUE"""),1.32530123E9)</f>
        <v>1325301230</v>
      </c>
      <c r="D240" s="7" t="str">
        <f>IFERROR(__xludf.DUMMYFUNCTION("""COMPUTED_VALUE""")," http://www.nels.co.uk ")</f>
        <v> http://www.nels.co.uk </v>
      </c>
      <c r="E240" s="6" t="str">
        <f>IFERROR(__xludf.DUMMYFUNCTION("""COMPUTED_VALUE"""),"NunaBio make DNA. We are able to undertake custom synthesis covering any 
length or complexity. Our multi-patented technology produces synthetic DNA 
using enzymes rather than hazardous chemicals. Not only does this reduce 
the consumption of reagents, it"&amp;" also eliminates the use of hazardous 
chemicals and the production of toxic waste associated with other methods. 
Our ability to scale DNA production without the need for cells also removes 
the risks associated with using bacterial cultures.")</f>
        <v>NunaBio make DNA. We are able to undertake custom synthesis covering any 
length or complexity. Our multi-patented technology produces synthetic DNA 
using enzymes rather than hazardous chemicals. Not only does this reduce 
the consumption of reagents, it also eliminates the use of hazardous 
chemicals and the production of toxic waste associated with other methods. 
Our ability to scale DNA production without the need for cells also removes 
the risks associated with using bacterial cultures.</v>
      </c>
    </row>
    <row r="241">
      <c r="A241" s="6" t="str">
        <f>IFERROR(__xludf.DUMMYFUNCTION("""COMPUTED_VALUE"""),"North West Cancer Research")</f>
        <v>North West Cancer Research</v>
      </c>
      <c r="B241" s="6" t="str">
        <f>IFERROR(__xludf.DUMMYFUNCTION("""COMPUTED_VALUE""")," 200 London Road, Liverpool, L3 9TA ")</f>
        <v> 200 London Road, Liverpool, L3 9TA </v>
      </c>
      <c r="C241" s="6" t="str">
        <f>IFERROR(__xludf.DUMMYFUNCTION("""COMPUTED_VALUE""")," 0151 709 2919 ")</f>
        <v> 0151 709 2919 </v>
      </c>
      <c r="D241" s="7" t="str">
        <f>IFERROR(__xludf.DUMMYFUNCTION("""COMPUTED_VALUE""")," https://www.nwcr.org/ ")</f>
        <v> https://www.nwcr.org/ </v>
      </c>
      <c r="E241" s="6" t="str">
        <f>IFERROR(__xludf.DUMMYFUNCTION("""COMPUTED_VALUE"""),"Event, Video &amp; Digital design &amp; production.")</f>
        <v>Event, Video &amp; Digital design &amp; production.</v>
      </c>
    </row>
    <row r="242">
      <c r="A242" s="6" t="str">
        <f>IFERROR(__xludf.DUMMYFUNCTION("""COMPUTED_VALUE"""),"NorthEdge Capital LLp")</f>
        <v>NorthEdge Capital LLp</v>
      </c>
      <c r="B242" s="6" t="str">
        <f>IFERROR(__xludf.DUMMYFUNCTION("""COMPUTED_VALUE""")," 13th Floor, Number One Spinningfields, 1 Hardman Square, Manchester, 
Greater Manchester, M3 3EB ")</f>
        <v> 13th Floor, Number One Spinningfields, 1 Hardman Square, Manchester, 
Greater Manchester, M3 3EB </v>
      </c>
      <c r="C242" s="6" t="str">
        <f>IFERROR(__xludf.DUMMYFUNCTION("""COMPUTED_VALUE""")," 0161 832 6654 ")</f>
        <v> 0161 832 6654 </v>
      </c>
      <c r="D242" s="7" t="str">
        <f>IFERROR(__xludf.DUMMYFUNCTION("""COMPUTED_VALUE""")," http://northedge.com ")</f>
        <v> http://northedge.com </v>
      </c>
      <c r="E242" s="6" t="str">
        <f>IFERROR(__xludf.DUMMYFUNCTION("""COMPUTED_VALUE"""),"Assist companies through the minefield of IT.")</f>
        <v>Assist companies through the minefield of IT.</v>
      </c>
    </row>
    <row r="243">
      <c r="A243" s="6" t="str">
        <f>IFERROR(__xludf.DUMMYFUNCTION("""COMPUTED_VALUE"""),"Northern Health Science Alliance")</f>
        <v>Northern Health Science Alliance</v>
      </c>
      <c r="B243" s="6" t="str">
        <f>IFERROR(__xludf.DUMMYFUNCTION("""COMPUTED_VALUE""")," Weightmans LLP, Pall Mall Court,, 61-67 King Street, Manchester, M2 4DP ")</f>
        <v> Weightmans LLP, Pall Mall Court,, 61-67 King Street, Manchester, M2 4DP </v>
      </c>
      <c r="C243" s="6" t="str">
        <f>IFERROR(__xludf.DUMMYFUNCTION("""COMPUTED_VALUE""")," 07765 408363 ")</f>
        <v> 07765 408363 </v>
      </c>
      <c r="D243" s="7" t="str">
        <f>IFERROR(__xludf.DUMMYFUNCTION("""COMPUTED_VALUE""")," http://www.theNHSA.co.uk ")</f>
        <v> http://www.theNHSA.co.uk </v>
      </c>
      <c r="E243" s="6" t="str">
        <f>IFERROR(__xludf.DUMMYFUNCTION("""COMPUTED_VALUE"""),"At Onyx Health we’ve got what it takes to make a product successful because 
we know the healthcare market. We specialise in helping SMEs reach 
customers, enter new markets, build brands and increase sales.")</f>
        <v>At Onyx Health we’ve got what it takes to make a product successful because 
we know the healthcare market. We specialise in helping SMEs reach 
customers, enter new markets, build brands and increase sales.</v>
      </c>
    </row>
    <row r="244">
      <c r="A244" s="6" t="str">
        <f>IFERROR(__xludf.DUMMYFUNCTION("""COMPUTED_VALUE"""),"Northway Biotech")</f>
        <v>Northway Biotech</v>
      </c>
      <c r="B244" s="6" t="str">
        <f>IFERROR(__xludf.DUMMYFUNCTION("""COMPUTED_VALUE""")," Unit 121 Meridian Place, London, E14 9FE ")</f>
        <v> Unit 121 Meridian Place, London, E14 9FE </v>
      </c>
      <c r="C244" s="6" t="str">
        <f>IFERROR(__xludf.DUMMYFUNCTION("""COMPUTED_VALUE""")," +370 5255 9140 ")</f>
        <v> +370 5255 9140 </v>
      </c>
      <c r="D244" s="7" t="str">
        <f>IFERROR(__xludf.DUMMYFUNCTION("""COMPUTED_VALUE""")," https://www.northwaybiotech.com/ ")</f>
        <v> https://www.northwaybiotech.com/ </v>
      </c>
      <c r="E244" s="6" t="str">
        <f>IFERROR(__xludf.DUMMYFUNCTION("""COMPUTED_VALUE"""),"Ovagen is a biotechnology company that has developed a proprietary process 
of producing Germ Free chicken eggs and Germ Free birds in commercial 
quantities for use primarily in the pharmaceutical industry. The company 
also specialises in avian transgen"&amp;"ic technology and has a fully equipped 
transgenic laboratory. Ovagen offers a custom high quality IgY antibody 
service.")</f>
        <v>Ovagen is a biotechnology company that has developed a proprietary process 
of producing Germ Free chicken eggs and Germ Free birds in commercial 
quantities for use primarily in the pharmaceutical industry. The company 
also specialises in avian transgenic technology and has a fully equipped 
transgenic laboratory. Ovagen offers a custom high quality IgY antibody 
service.</v>
      </c>
    </row>
    <row r="245">
      <c r="A245" s="6" t="str">
        <f>IFERROR(__xludf.DUMMYFUNCTION("""COMPUTED_VALUE"""),"NovoPath")</f>
        <v>NovoPath</v>
      </c>
      <c r="B245" s="6" t="str">
        <f>IFERROR(__xludf.DUMMYFUNCTION("""COMPUTED_VALUE""")," NovoPath, Cellular Pathology, Level 3 NVW, Royal Victoria Infirmary, 
Newcastle upon Tyne, Tyne and Wear, NE1 4LP ")</f>
        <v> NovoPath, Cellular Pathology, Level 3 NVW, Royal Victoria Infirmary, 
Newcastle upon Tyne, Tyne and Wear, NE1 4LP </v>
      </c>
      <c r="C245" s="6" t="str">
        <f>IFERROR(__xludf.DUMMYFUNCTION("""COMPUTED_VALUE""")," 0191 2824896 ")</f>
        <v> 0191 2824896 </v>
      </c>
      <c r="D245" s="7" t="str">
        <f>IFERROR(__xludf.DUMMYFUNCTION("""COMPUTED_VALUE""")," https://www.novopath.co.uk ")</f>
        <v> https://www.novopath.co.uk </v>
      </c>
      <c r="E245" s="6" t="str">
        <f>IFERROR(__xludf.DUMMYFUNCTION("""COMPUTED_VALUE"""),"Oxford Silk Phage Technologies is developing natural, sustainable, 
antibacterial medical devices incorporating bacteriophages, nature's most 
powerful weapon against bacteria, to reduce infection complications and the 
use of antibiotics in large and gro"&amp;"wing patient populations at risk.")</f>
        <v>Oxford Silk Phage Technologies is developing natural, sustainable, 
antibacterial medical devices incorporating bacteriophages, nature's most 
powerful weapon against bacteria, to reduce infection complications and the 
use of antibiotics in large and growing patient populations at risk.</v>
      </c>
    </row>
    <row r="246">
      <c r="A246" s="6" t="str">
        <f>IFERROR(__xludf.DUMMYFUNCTION("""COMPUTED_VALUE"""),"NunaBio Limited")</f>
        <v>NunaBio Limited</v>
      </c>
      <c r="B246" s="6" t="str">
        <f>IFERROR(__xludf.DUMMYFUNCTION("""COMPUTED_VALUE""")," The Core, Bath Lane, NEWCASTLE UPON TYNE, NE45TF ")</f>
        <v> The Core, Bath Lane, NEWCASTLE UPON TYNE, NE45TF </v>
      </c>
      <c r="C246" s="6" t="str">
        <f>IFERROR(__xludf.DUMMYFUNCTION("""COMPUTED_VALUE""")," 07887 607080 ")</f>
        <v> 07887 607080 </v>
      </c>
      <c r="D246" s="7" t="str">
        <f>IFERROR(__xludf.DUMMYFUNCTION("""COMPUTED_VALUE""")," https://nunabio.com/ ")</f>
        <v> https://nunabio.com/ </v>
      </c>
      <c r="E246" s="6" t="str">
        <f>IFERROR(__xludf.DUMMYFUNCTION("""COMPUTED_VALUE"""),"Oxford SimCell Ltd. is a biotechnology company using a novel inactivation 
method to manufacture genome-free bacterial cells with broad applications 
in the healthcare sector. The SimCell® technology platform gives us the 
power to use engineered bacteria"&amp;" in vivo without the possibility of growth, 
enabling new and effective ways to safeguard human health. SimCell® 
technology was developed at the University of Oxford and is exclusively 
licensed to Oxford SimCell Ltd. Please contact us for more informati"&amp;"on 
about our platform and its applications. SimCells® are genome-free, 
non-replicating bacteria produced by expressing a homing endonuclease 
within host cells, which enzymatically cleaves multiple restriction sites 
within the genome. This process comp"&amp;"letely halts cell division while 
preserving other key cellular features, making SimCells® useful for in vivo 
and in vitro applications that would be impossible with dividing cells. 
Existing chemical and irradiative bacterial inactivation technologies c"&amp;"an 
be damaging to the cell. SimCells® are completely replication-deficient yet 
remain undamaged by our enzymatic genome-removal process, making them both 
safe and efficacious for use in situations where biocontainment is key. 
Manufacturing is a core c"&amp;"ompetency at Oxford SimCell. Our production 
workflow lets us provide pure, high-quality SimCells® engineered for varied 
healthcare applications. SimCells® are stable, streamlined, bacterial 
chassis offering all the complexity and capability of whole ce"&amp;"lls in a 
safe, simplified form.")</f>
        <v>Oxford SimCell Ltd. is a biotechnology company using a novel inactivation 
method to manufacture genome-free bacterial cells with broad applications 
in the healthcare sector. The SimCell® technology platform gives us the 
power to use engineered bacteria in vivo without the possibility of growth, 
enabling new and effective ways to safeguard human health. SimCell® 
technology was developed at the University of Oxford and is exclusively 
licensed to Oxford SimCell Ltd. Please contact us for more information 
about our platform and its applications. SimCells® are genome-free, 
non-replicating bacteria produced by expressing a homing endonuclease 
within host cells, which enzymatically cleaves multiple restriction sites 
within the genome. This process completely halts cell division while 
preserving other key cellular features, making SimCells® useful for in vivo 
and in vitro applications that would be impossible with dividing cells. 
Existing chemical and irradiative bacterial inactivation technologies can 
be damaging to the cell. SimCells® are completely replication-deficient yet 
remain undamaged by our enzymatic genome-removal process, making them both 
safe and efficacious for use in situations where biocontainment is key. 
Manufacturing is a core competency at Oxford SimCell. Our production 
workflow lets us provide pure, high-quality SimCells® engineered for varied 
healthcare applications. SimCells® are stable, streamlined, bacterial 
chassis offering all the complexity and capability of whole cells in a 
safe, simplified form.</v>
      </c>
    </row>
    <row r="247">
      <c r="A247" s="6" t="str">
        <f>IFERROR(__xludf.DUMMYFUNCTION("""COMPUTED_VALUE"""),"One Two Agency Ltd.")</f>
        <v>One Two Agency Ltd.</v>
      </c>
      <c r="B247" s="6" t="str">
        <f>IFERROR(__xludf.DUMMYFUNCTION("""COMPUTED_VALUE""")," Unit 5, Centurion Court, Farington, Leyland, PR25 3UQ ")</f>
        <v> Unit 5, Centurion Court, Farington, Leyland, PR25 3UQ </v>
      </c>
      <c r="C247" s="6" t="str">
        <f>IFERROR(__xludf.DUMMYFUNCTION("""COMPUTED_VALUE""")," 01772 767777 ")</f>
        <v> 01772 767777 </v>
      </c>
      <c r="D247" s="7" t="str">
        <f>IFERROR(__xludf.DUMMYFUNCTION("""COMPUTED_VALUE""")," http://www.glasgows.co.uk ")</f>
        <v> http://www.glasgows.co.uk </v>
      </c>
      <c r="E247" s="6" t="str">
        <f>IFERROR(__xludf.DUMMYFUNCTION("""COMPUTED_VALUE"""),"My Background: After a 30-year career in HR, across a range of sectors 
including utilities, professional services, higher education, 
manufacturing, and technology, I set up my own business in 2020 to help 
people, teams and organisations be more joyful "&amp;"and successful through the 
power of emotional intelligence. My services include 1-2-1 coaching, team 
event creation/facilitation, organisation consulting and speaking at 
events. I specialise in working with and developing emotional intelligence 
in lea"&amp;"ders and senior/key people who have a strong technical or 
professional discipline. Emotional Intelligence: What is Emotional 
Intelligence? It is the capacity to blend thinking and feeling to make 
optimal decisions. It also is a learnable, measurable, s"&amp;"cientifically 
validated skillset. Why does it matter? Research shows that Emotional 
Intelligence is strongly correlated with performance/success. How to use 
it? Emotional Intelligence provides practical tools to solve life and work 
puzzles. It does th"&amp;"is by helping people gather data about themselves, make 
more intentional choices and aligning choices with purpose and other 
people. Impact: Potential benefits of developing EI at work: Improved 
effectiveness, performance, decision making, wellbeing, s"&amp;"atisfaction, 
relationships, confidence, collaboration, engagement, conflict resolution, 
problem solving, innovation, resilience, stress management, employee 
retention, recognition and much more.")</f>
        <v>My Background: After a 30-year career in HR, across a range of sectors 
including utilities, professional services, higher education, 
manufacturing, and technology, I set up my own business in 2020 to help 
people, teams and organisations be more joyful and successful through the 
power of emotional intelligence. My services include 1-2-1 coaching, team 
event creation/facilitation, organisation consulting and speaking at 
events. I specialise in working with and developing emotional intelligence 
in leaders and senior/key people who have a strong technical or 
professional discipline. Emotional Intelligence: What is Emotional 
Intelligence? It is the capacity to blend thinking and feeling to make 
optimal decisions. It also is a learnable, measurable, scientifically 
validated skillset. Why does it matter? Research shows that Emotional 
Intelligence is strongly correlated with performance/success. How to use 
it? Emotional Intelligence provides practical tools to solve life and work 
puzzles. It does this by helping people gather data about themselves, make 
more intentional choices and aligning choices with purpose and other 
people. Impact: Potential benefits of developing EI at work: Improved 
effectiveness, performance, decision making, wellbeing, satisfaction, 
relationships, confidence, collaboration, engagement, conflict resolution, 
problem solving, innovation, resilience, stress management, employee 
retention, recognition and much more.</v>
      </c>
    </row>
    <row r="248">
      <c r="A248" s="6" t="str">
        <f>IFERROR(__xludf.DUMMYFUNCTION("""COMPUTED_VALUE"""),"Online Business Advice")</f>
        <v>Online Business Advice</v>
      </c>
      <c r="B248" s="6" t="str">
        <f>IFERROR(__xludf.DUMMYFUNCTION("""COMPUTED_VALUE""")," 1200 Century Way, Thorpe Park, Leeds, LS15 8ZA ")</f>
        <v> 1200 Century Way, Thorpe Park, Leeds, LS15 8ZA </v>
      </c>
      <c r="C248" s="6" t="str">
        <f>IFERROR(__xludf.DUMMYFUNCTION("""COMPUTED_VALUE""")," 07376 161541 ")</f>
        <v> 07376 161541 </v>
      </c>
      <c r="D248" s="7" t="str">
        <f>IFERROR(__xludf.DUMMYFUNCTION("""COMPUTED_VALUE""")," https://www.onlinebusinessadvice.uk ")</f>
        <v> https://www.onlinebusinessadvice.uk </v>
      </c>
      <c r="E248" s="6" t="str">
        <f>IFERROR(__xludf.DUMMYFUNCTION("""COMPUTED_VALUE"""),"Peak Proteins is a team of outstanding scientists delivering tailored 
protein supply, X-ray structure determination and protein mass spectrometry 
services. Proteins are notoriously individual and complex reagents that 
require careful thought and handli"&amp;"ng, from design through to purification, 
to produce high quality, active protein reagents. All our staff have years 
of drug discovery experience through working in large pharma organisations 
and have the in-depth scientific knowledge needed to produce "&amp;"protein 
reagents in a suitable format for assay development, high throughput 
screening, biophysics or structure determination. With many years of 
applied experience and expertise in the pharmaceutical industry, Peak 
Proteins works collaboratively with"&amp;" customers to provide creative solutions 
to organisations facing protein challenges in drug discovery.")</f>
        <v>Peak Proteins is a team of outstanding scientists delivering tailored 
protein supply, X-ray structure determination and protein mass spectrometry 
services. Proteins are notoriously individual and complex reagents that 
require careful thought and handling, from design through to purification, 
to produce high quality, active protein reagents. All our staff have years 
of drug discovery experience through working in large pharma organisations 
and have the in-depth scientific knowledge needed to produce protein 
reagents in a suitable format for assay development, high throughput 
screening, biophysics or structure determination. With many years of 
applied experience and expertise in the pharmaceutical industry, Peak 
Proteins works collaboratively with customers to provide creative solutions 
to organisations facing protein challenges in drug discovery.</v>
      </c>
    </row>
    <row r="249">
      <c r="A249" s="6" t="str">
        <f>IFERROR(__xludf.DUMMYFUNCTION("""COMPUTED_VALUE"""),"Onyx Health")</f>
        <v>Onyx Health</v>
      </c>
      <c r="B249" s="6" t="str">
        <f>IFERROR(__xludf.DUMMYFUNCTION("""COMPUTED_VALUE""")," Maling Exchange, Hoults Yard, Newcastle Upon Tyne, NE6 1AB ")</f>
        <v> Maling Exchange, Hoults Yard, Newcastle Upon Tyne, NE6 1AB </v>
      </c>
      <c r="C249" s="6">
        <f>IFERROR(__xludf.DUMMYFUNCTION("""COMPUTED_VALUE"""),1.916403638E9)</f>
        <v>1916403638</v>
      </c>
      <c r="D249" s="7" t="str">
        <f>IFERROR(__xludf.DUMMYFUNCTION("""COMPUTED_VALUE""")," http://www.onyxhealth.com ")</f>
        <v> http://www.onyxhealth.com </v>
      </c>
      <c r="E249" s="6" t="str">
        <f>IFERROR(__xludf.DUMMYFUNCTION("""COMPUTED_VALUE"""),"Pencil Biosciences is developing an innovative gene modulation technology 
that can have an impact across a range of applications, including new 
therapeutic options for patients with rare diseases.")</f>
        <v>Pencil Biosciences is developing an innovative gene modulation technology 
that can have an impact across a range of applications, including new 
therapeutic options for patients with rare diseases.</v>
      </c>
    </row>
    <row r="250">
      <c r="A250" s="6" t="str">
        <f>IFERROR(__xludf.DUMMYFUNCTION("""COMPUTED_VALUE"""),"Ovagen Group Ltd")</f>
        <v>Ovagen Group Ltd</v>
      </c>
      <c r="B250" s="6" t="str">
        <f>IFERROR(__xludf.DUMMYFUNCTION("""COMPUTED_VALUE""")," Ovagen Group Limited,, Carrentrila,, Ballina, Co. Mayo,, F26PC79 ")</f>
        <v> Ovagen Group Limited,, Carrentrila,, Ballina, Co. Mayo,, F26PC79 </v>
      </c>
      <c r="C250" s="6" t="str">
        <f>IFERROR(__xludf.DUMMYFUNCTION("""COMPUTED_VALUE""")," +353 (0)96 75579 ")</f>
        <v> +353 (0)96 75579 </v>
      </c>
      <c r="D250" s="7" t="str">
        <f>IFERROR(__xludf.DUMMYFUNCTION("""COMPUTED_VALUE""")," http://ovagen.ie/ ")</f>
        <v> http://ovagen.ie/ </v>
      </c>
      <c r="E250" s="6" t="str">
        <f>IFERROR(__xludf.DUMMYFUNCTION("""COMPUTED_VALUE"""),"PeproTech creates the building blocks of your life science research by 
manufacturing high-quality products that advance scientific discovery and 
human health. Since 1988, we have grown into a global enterprise with 
state-of-the-art manufacturing facili"&amp;"ties in the US, and offices around the 
world. Our mission is to provide the highest quality products and premium 
support that address the needs and demands of today's scientists and 
researchers. We pride ourselves on being a trusted partner within the "&amp;"
scientific community. With over 2,000 products PeproTech has developed and 
refined innovative protocols to ensure quality, reliability and 
consistency. Our range includes: • Comprehensive line of Cytokines and 
Antibodies • GMP Cytokines for Cell, Gene"&amp;" and Tissue Therapy • Animal-Free 
Cytokines • ELISA Development Kits • Cell Culture Media Kits / Supplements")</f>
        <v>PeproTech creates the building blocks of your life science research by 
manufacturing high-quality products that advance scientific discovery and 
human health. Since 1988, we have grown into a global enterprise with 
state-of-the-art manufacturing facilities in the US, and offices around the 
world. Our mission is to provide the highest quality products and premium 
support that address the needs and demands of today's scientists and 
researchers. We pride ourselves on being a trusted partner within the 
scientific community. With over 2,000 products PeproTech has developed and 
refined innovative protocols to ensure quality, reliability and 
consistency. Our range includes: • Comprehensive line of Cytokines and 
Antibodies • GMP Cytokines for Cell, Gene and Tissue Therapy • Animal-Free 
Cytokines • ELISA Development Kits • Cell Culture Media Kits / Supplements</v>
      </c>
    </row>
    <row r="251">
      <c r="A251" s="6" t="str">
        <f>IFERROR(__xludf.DUMMYFUNCTION("""COMPUTED_VALUE"""),"Oxford Silk Phage Ltd")</f>
        <v>Oxford Silk Phage Ltd</v>
      </c>
      <c r="B251" s="6" t="str">
        <f>IFERROR(__xludf.DUMMYFUNCTION("""COMPUTED_VALUE""")," Bioescalator, Innovation Centre, Old Road Campus, Oxford, OX3 7FZ ")</f>
        <v> Bioescalator, Innovation Centre, Old Road Campus, Oxford, OX3 7FZ </v>
      </c>
      <c r="C251" s="6" t="str">
        <f>IFERROR(__xludf.DUMMYFUNCTION("""COMPUTED_VALUE""")," 01865 618800 ")</f>
        <v> 01865 618800 </v>
      </c>
      <c r="D251" s="7" t="str">
        <f>IFERROR(__xludf.DUMMYFUNCTION("""COMPUTED_VALUE""")," https://www.oxfordsilkphages.co.uk/ ")</f>
        <v> https://www.oxfordsilkphages.co.uk/ </v>
      </c>
      <c r="E251" s="6" t="str">
        <f>IFERROR(__xludf.DUMMYFUNCTION("""COMPUTED_VALUE"""),"Perfectus Biomed Group, now part of NAMSA, are leading the market in 
customised microbiological assays that support medical device development. 
We have extensive experience developing ‘fit for purpose’ experiments that 
mimic ‘real-life’ scenarios. Our "&amp;"mission is to improve quality of life 
through the provision of exceptional, customised microbiological services, 
with a unique specialism in antimicrobial, biofilm, viral, fungal and 
cellular research.")</f>
        <v>Perfectus Biomed Group, now part of NAMSA, are leading the market in 
customised microbiological assays that support medical device development. 
We have extensive experience developing ‘fit for purpose’ experiments that 
mimic ‘real-life’ scenarios. Our mission is to improve quality of life 
through the provision of exceptional, customised microbiological services, 
with a unique specialism in antimicrobial, biofilm, viral, fungal and 
cellular research.</v>
      </c>
    </row>
    <row r="252">
      <c r="A252" s="6" t="str">
        <f>IFERROR(__xludf.DUMMYFUNCTION("""COMPUTED_VALUE"""),"Oxford SimCell")</f>
        <v>Oxford SimCell</v>
      </c>
      <c r="B252" s="6" t="str">
        <f>IFERROR(__xludf.DUMMYFUNCTION("""COMPUTED_VALUE""")," Centre for Innovation and Enterprise, Begbroke Science Park, Begbroke, 
Oxfordshire, OX5 1PF ")</f>
        <v> Centre for Innovation and Enterprise, Begbroke Science Park, Begbroke, 
Oxfordshire, OX5 1PF </v>
      </c>
      <c r="C252" s="6" t="str">
        <f>IFERROR(__xludf.DUMMYFUNCTION("""COMPUTED_VALUE""")," 01865 309696 ")</f>
        <v> 01865 309696 </v>
      </c>
      <c r="D252" s="7" t="str">
        <f>IFERROR(__xludf.DUMMYFUNCTION("""COMPUTED_VALUE""")," https://oxfordsimcell.com/ ")</f>
        <v> https://oxfordsimcell.com/ </v>
      </c>
      <c r="E252" s="6" t="str">
        <f>IFERROR(__xludf.DUMMYFUNCTION("""COMPUTED_VALUE"""),"PharmaKure is a UK based pharmaceutical company, spun out from the 
University of Manchester. The Company is actively researching, developing, 
commercialising and repositioning repurposed drugs for the treatment of 
Alzheimer's, Parkinson's and other neu"&amp;"rodegenerative diseases. 
Additionally, the Company is developing companion diagnostics which are 
blood based tests (ALZmetrix) that measure the levels of biomarkers 
associated with Alzheimer’s Disease (AD).")</f>
        <v>PharmaKure is a UK based pharmaceutical company, spun out from the 
University of Manchester. The Company is actively researching, developing, 
commercialising and repositioning repurposed drugs for the treatment of 
Alzheimer's, Parkinson's and other neurodegenerative diseases. 
Additionally, the Company is developing companion diagnostics which are 
blood based tests (ALZmetrix) that measure the levels of biomarkers 
associated with Alzheimer’s Disease (AD).</v>
      </c>
    </row>
    <row r="253">
      <c r="A253" s="6" t="str">
        <f>IFERROR(__xludf.DUMMYFUNCTION("""COMPUTED_VALUE"""),"Paul Cheetham Coaching &amp; Consulting")</f>
        <v>Paul Cheetham Coaching &amp; Consulting</v>
      </c>
      <c r="B253" s="6" t="str">
        <f>IFERROR(__xludf.DUMMYFUNCTION("""COMPUTED_VALUE""")," 4 Berrington Drive, Newcastle upon Tyne, NE5 4BG ")</f>
        <v> 4 Berrington Drive, Newcastle upon Tyne, NE5 4BG </v>
      </c>
      <c r="C253" s="6">
        <f>IFERROR(__xludf.DUMMYFUNCTION("""COMPUTED_VALUE"""),7.91705813E9)</f>
        <v>7917058130</v>
      </c>
      <c r="D253" s="7" t="str">
        <f>IFERROR(__xludf.DUMMYFUNCTION("""COMPUTED_VALUE""")," https://paulcheetham.co.uk/ ")</f>
        <v> https://paulcheetham.co.uk/ </v>
      </c>
      <c r="E253" s="6" t="str">
        <f>IFERROR(__xludf.DUMMYFUNCTION("""COMPUTED_VALUE"""),"Pharmalytical Services provides Training and Consulting services in 
Analytical Sciences to clients in the Pharmaceutical, Biotechnology and 
Academic sectors.")</f>
        <v>Pharmalytical Services provides Training and Consulting services in 
Analytical Sciences to clients in the Pharmaceutical, Biotechnology and 
Academic sectors.</v>
      </c>
    </row>
    <row r="254">
      <c r="A254" s="6" t="str">
        <f>IFERROR(__xludf.DUMMYFUNCTION("""COMPUTED_VALUE"""),"Peak Proteins Ltd")</f>
        <v>Peak Proteins Ltd</v>
      </c>
      <c r="B254" s="6" t="str">
        <f>IFERROR(__xludf.DUMMYFUNCTION("""COMPUTED_VALUE""")," Birchwood House, Larkwood Way, Tytherington, Macclesfield, Cheshire, SK10 
2XR ")</f>
        <v> Birchwood House, Larkwood Way, Tytherington, Macclesfield, Cheshire, SK10 
2XR </v>
      </c>
      <c r="C254" s="6" t="str">
        <f>IFERROR(__xludf.DUMMYFUNCTION("""COMPUTED_VALUE""")," 01625 919726 ")</f>
        <v> 01625 919726 </v>
      </c>
      <c r="D254" s="7" t="str">
        <f>IFERROR(__xludf.DUMMYFUNCTION("""COMPUTED_VALUE""")," http://www.peakproteins.com ")</f>
        <v> http://www.peakproteins.com </v>
      </c>
      <c r="E254" s="6" t="str">
        <f>IFERROR(__xludf.DUMMYFUNCTION("""COMPUTED_VALUE"""),"Phoenix DX (previously LIG Biowise) is an innovative medical diagnostics 
company developing an ultra-rapid, point-of-care (POC) diagnostic device 
for infectious diseases. Its platform technology combines nucleic acid 
extraction, amplification, and dete"&amp;"ction into a single step, resulting in 
faster diagnostic turn around, lower costs and higher precision. The device 
is able to diagnose a range of upper respiratory tract infections (URTIs) 
including COVID-19. This platform could not only transform anti"&amp;"biotic 
prescribing practices to tackle antimicrobial resistance, but also 
contribute to the limitation of COVID transmission by providing rapid and 
accurate POC testing. James Zhang MD, PhD CEO, Phoenix DX Ltd")</f>
        <v>Phoenix DX (previously LIG Biowise) is an innovative medical diagnostics 
company developing an ultra-rapid, point-of-care (POC) diagnostic device 
for infectious diseases. Its platform technology combines nucleic acid 
extraction, amplification, and detection into a single step, resulting in 
faster diagnostic turn around, lower costs and higher precision. The device 
is able to diagnose a range of upper respiratory tract infections (URTIs) 
including COVID-19. This platform could not only transform antibiotic 
prescribing practices to tackle antimicrobial resistance, but also 
contribute to the limitation of COVID transmission by providing rapid and 
accurate POC testing. James Zhang MD, PhD CEO, Phoenix DX Ltd</v>
      </c>
    </row>
    <row r="255">
      <c r="A255" s="6" t="str">
        <f>IFERROR(__xludf.DUMMYFUNCTION("""COMPUTED_VALUE"""),"Pencil Biosciences Ltd")</f>
        <v>Pencil Biosciences Ltd</v>
      </c>
      <c r="B255" s="6" t="str">
        <f>IFERROR(__xludf.DUMMYFUNCTION("""COMPUTED_VALUE""")," 19G39 Biohub, Alderley Park, Macclesfield, SK10 4TG ")</f>
        <v> 19G39 Biohub, Alderley Park, Macclesfield, SK10 4TG </v>
      </c>
      <c r="C255" s="6">
        <f>IFERROR(__xludf.DUMMYFUNCTION("""COMPUTED_VALUE"""),1.62570404E9)</f>
        <v>1625704040</v>
      </c>
      <c r="D255" s="7" t="str">
        <f>IFERROR(__xludf.DUMMYFUNCTION("""COMPUTED_VALUE""")," http://www.pencilbiosciences.com ")</f>
        <v> http://www.pencilbiosciences.com </v>
      </c>
      <c r="E255" s="6" t="str">
        <f>IFERROR(__xludf.DUMMYFUNCTION("""COMPUTED_VALUE"""),"Manufacturer of high quality plant-based pharmaceutical ingredients.")</f>
        <v>Manufacturer of high quality plant-based pharmaceutical ingredients.</v>
      </c>
    </row>
    <row r="256">
      <c r="A256" s="6" t="str">
        <f>IFERROR(__xludf.DUMMYFUNCTION("""COMPUTED_VALUE"""),"PeproTech")</f>
        <v>PeproTech</v>
      </c>
      <c r="B256" s="6" t="str">
        <f>IFERROR(__xludf.DUMMYFUNCTION("""COMPUTED_VALUE""")," PeproTech EC Ltd, 26 Margravine Road, London, W6 8LL ")</f>
        <v> PeproTech EC Ltd, 26 Margravine Road, London, W6 8LL </v>
      </c>
      <c r="C256" s="6" t="str">
        <f>IFERROR(__xludf.DUMMYFUNCTION("""COMPUTED_VALUE""")," +44(0)20 7610 3062 ")</f>
        <v> +44(0)20 7610 3062 </v>
      </c>
      <c r="D256" s="7" t="str">
        <f>IFERROR(__xludf.DUMMYFUNCTION("""COMPUTED_VALUE""")," http://www.peprotech.com ")</f>
        <v> http://www.peprotech.com </v>
      </c>
      <c r="E256" s="6" t="str">
        <f>IFERROR(__xludf.DUMMYFUNCTION("""COMPUTED_VALUE"""),"Established in 2001, PMT (GB) Ltd are a leader in the Contamination Control 
industry providing our clients with a range of Contamination Control 
Instruments and Service. PMT (GB) Ltd are dedicated to the provision and 
service of Particle Counters, Faci"&amp;"lity Monitoring Systems, Microbial Air 
Samplers, Real Time Monitoring, Decontamination and Ionisation equipment. 
We are an ISO 9001:2015 quality led company and are a UKAS ISO17025:2015 
Accredited Calibration Laboratory (0829) for Particle Counter and "&amp;"Air 
Sampler Calibration. We can offer a complete package from designing 
systems, project managing systems, full maintenance to a complete 
validation package Our core areas of expertise are primarily focussed on 
the following industry sectors but not l"&amp;"imited to: Pharmaceutical, 
Healthcare, Food, Cosmetics, Beverage, Semiconductor, Automotive, 
Aerospace, Hospitals and Operating theatres, Research, Life Science, 
Medical Devices, and Biomedical. With our Head Office based in Malvern 
Worcestershire, we"&amp;" also have a satellite office in Rosyth, Scotland.")</f>
        <v>Established in 2001, PMT (GB) Ltd are a leader in the Contamination Control 
industry providing our clients with a range of Contamination Control 
Instruments and Service. PMT (GB) Ltd are dedicated to the provision and 
service of Particle Counters, Facility Monitoring Systems, Microbial Air 
Samplers, Real Time Monitoring, Decontamination and Ionisation equipment. 
We are an ISO 9001:2015 quality led company and are a UKAS ISO17025:2015 
Accredited Calibration Laboratory (0829) for Particle Counter and Air 
Sampler Calibration. We can offer a complete package from designing 
systems, project managing systems, full maintenance to a complete 
validation package Our core areas of expertise are primarily focussed on 
the following industry sectors but not limited to: Pharmaceutical, 
Healthcare, Food, Cosmetics, Beverage, Semiconductor, Automotive, 
Aerospace, Hospitals and Operating theatres, Research, Life Science, 
Medical Devices, and Biomedical. With our Head Office based in Malvern 
Worcestershire, we also have a satellite office in Rosyth, Scotland.</v>
      </c>
    </row>
    <row r="257">
      <c r="A257" s="6" t="str">
        <f>IFERROR(__xludf.DUMMYFUNCTION("""COMPUTED_VALUE"""),"Perfectus Biomed Group")</f>
        <v>Perfectus Biomed Group</v>
      </c>
      <c r="B257" s="6" t="str">
        <f>IFERROR(__xludf.DUMMYFUNCTION("""COMPUTED_VALUE""")," Techspace One, SciTech Daresbury, Keckwick Lane, Warrington, WA4 4AB ")</f>
        <v> Techspace One, SciTech Daresbury, Keckwick Lane, Warrington, WA4 4AB </v>
      </c>
      <c r="C257" s="6" t="str">
        <f>IFERROR(__xludf.DUMMYFUNCTION("""COMPUTED_VALUE""")," 01925 737 237 ")</f>
        <v> 01925 737 237 </v>
      </c>
      <c r="D257" s="7" t="str">
        <f>IFERROR(__xludf.DUMMYFUNCTION("""COMPUTED_VALUE""")," http://www.perfectusbiomed.com ")</f>
        <v> http://www.perfectusbiomed.com </v>
      </c>
      <c r="E257" s="6" t="str">
        <f>IFERROR(__xludf.DUMMYFUNCTION("""COMPUTED_VALUE"""),"Potter Clarkson creates value from your innovation. We bring vision and 
clarity of thought to guide you through the complexities of intellectual 
property for business. As consultants and experts in IP law, we help you 
understand, create, protect and de"&amp;"fend the commercial value of your 
innovations anywhere in the world.")</f>
        <v>Potter Clarkson creates value from your innovation. We bring vision and 
clarity of thought to guide you through the complexities of intellectual 
property for business. As consultants and experts in IP law, we help you 
understand, create, protect and defend the commercial value of your 
innovations anywhere in the world.</v>
      </c>
    </row>
    <row r="258">
      <c r="A258" s="6" t="str">
        <f>IFERROR(__xludf.DUMMYFUNCTION("""COMPUTED_VALUE"""),"PharmaKure Ltd")</f>
        <v>PharmaKure Ltd</v>
      </c>
      <c r="B258" s="6" t="str">
        <f>IFERROR(__xludf.DUMMYFUNCTION("""COMPUTED_VALUE""")," Greenheys, Manchester Science Park, Lloyd Street North, Manchester, M15 
6SE ")</f>
        <v> Greenheys, Manchester Science Park, Lloyd Street North, Manchester, M15 
6SE </v>
      </c>
      <c r="C258" s="6" t="str">
        <f>IFERROR(__xludf.DUMMYFUNCTION("""COMPUTED_VALUE""")," +44 161 306 4224 ")</f>
        <v> +44 161 306 4224 </v>
      </c>
      <c r="D258" s="7" t="str">
        <f>IFERROR(__xludf.DUMMYFUNCTION("""COMPUTED_VALUE""")," http://www.pharmakure.com ")</f>
        <v> http://www.pharmakure.com </v>
      </c>
      <c r="E258" s="6" t="str">
        <f>IFERROR(__xludf.DUMMYFUNCTION("""COMPUTED_VALUE"""),"Prevention Journeys is the first UK healthcare consultancy company helping 
memory clinics and GP practices integrate dementia prevention into their 
clinical journeys and improve and extend their existing dementia diagnostic 
and management services. Our"&amp;" mission is to create a network of dementia 
prevention and care services that will revolutionise patient journeys.")</f>
        <v>Prevention Journeys is the first UK healthcare consultancy company helping 
memory clinics and GP practices integrate dementia prevention into their 
clinical journeys and improve and extend their existing dementia diagnostic 
and management services. Our mission is to create a network of dementia 
prevention and care services that will revolutionise patient journeys.</v>
      </c>
    </row>
    <row r="259">
      <c r="A259" s="6" t="str">
        <f>IFERROR(__xludf.DUMMYFUNCTION("""COMPUTED_VALUE"""),"Pharmalytical Services")</f>
        <v>Pharmalytical Services</v>
      </c>
      <c r="B259" s="6" t="str">
        <f>IFERROR(__xludf.DUMMYFUNCTION("""COMPUTED_VALUE""")," Alderley Park, Building 1, Macclesfield, Cheshire, SK10 4TG ")</f>
        <v> Alderley Park, Building 1, Macclesfield, Cheshire, SK10 4TG </v>
      </c>
      <c r="C259" s="6">
        <f>IFERROR(__xludf.DUMMYFUNCTION("""COMPUTED_VALUE"""),7.943290422E9)</f>
        <v>7943290422</v>
      </c>
      <c r="D259" s="7" t="str">
        <f>IFERROR(__xludf.DUMMYFUNCTION("""COMPUTED_VALUE""")," https://PharmalyticalServices.com ")</f>
        <v> https://PharmalyticalServices.com </v>
      </c>
      <c r="E259" s="6" t="str">
        <f>IFERROR(__xludf.DUMMYFUNCTION("""COMPUTED_VALUE"""),"Manufacture and development of in vito diagnostics for Microbiology.")</f>
        <v>Manufacture and development of in vito diagnostics for Microbiology.</v>
      </c>
    </row>
    <row r="260">
      <c r="A260" s="6" t="str">
        <f>IFERROR(__xludf.DUMMYFUNCTION("""COMPUTED_VALUE"""),"Phoenix DX")</f>
        <v>Phoenix DX</v>
      </c>
      <c r="B260" s="6" t="str">
        <f>IFERROR(__xludf.DUMMYFUNCTION("""COMPUTED_VALUE""")," The Victoria, Salford Quays, Manchester, M50 3SP ")</f>
        <v> The Victoria, Salford Quays, Manchester, M50 3SP </v>
      </c>
      <c r="C260" s="6" t="str">
        <f>IFERROR(__xludf.DUMMYFUNCTION("""COMPUTED_VALUE""")," 0161 398 9980 ")</f>
        <v> 0161 398 9980 </v>
      </c>
      <c r="D260" s="7" t="str">
        <f>IFERROR(__xludf.DUMMYFUNCTION("""COMPUTED_VALUE""")," http://www.phoenixdx.co.uk ")</f>
        <v> http://www.phoenixdx.co.uk </v>
      </c>
      <c r="E260" s="6" t="str">
        <f>IFERROR(__xludf.DUMMYFUNCTION("""COMPUTED_VALUE"""),"Probatech was founded to make sure that new opportunities in the life 
sciences are explored to their full potential. We do this by bridging the 
early-stage innovation gap - by connecting pharma companies and investors 
with start-ups developing new drug"&amp;"s, vaccines or platform technologies. For 
our partners in pharma companies and VC firms, we source, curate and match 
them with the best opportunities for collaborations, licensing and 
acquisition globally. We're currently working with a portfolio of co"&amp;"mpanies 
developing vaccines and therapeutics, predominantly in Europe and in the 
US. For founders of therapeutics and vaccines start-ups, we support them 
with communicating their value and getting connected to partners and 
investors. See www.probacure"&amp;".com for more information.")</f>
        <v>Probatech was founded to make sure that new opportunities in the life 
sciences are explored to their full potential. We do this by bridging the 
early-stage innovation gap - by connecting pharma companies and investors 
with start-ups developing new drugs, vaccines or platform technologies. For 
our partners in pharma companies and VC firms, we source, curate and match 
them with the best opportunities for collaborations, licensing and 
acquisition globally. We're currently working with a portfolio of companies 
developing vaccines and therapeutics, predominantly in Europe and in the 
US. For founders of therapeutics and vaccines start-ups, we support them 
with communicating their value and getting connected to partners and 
investors. See www.probacure.com for more information.</v>
      </c>
    </row>
    <row r="261">
      <c r="A261" s="6" t="str">
        <f>IFERROR(__xludf.DUMMYFUNCTION("""COMPUTED_VALUE"""),"Phytovation Ltd")</f>
        <v>Phytovation Ltd</v>
      </c>
      <c r="B261" s="6" t="str">
        <f>IFERROR(__xludf.DUMMYFUNCTION("""COMPUTED_VALUE""")," Phytovation Ltd, Units 8&amp;9 Zone 6, Cibyn Industrial Estate, Caernarfon, 
Gwynedd ")</f>
        <v> Phytovation Ltd, Units 8&amp;9 Zone 6, Cibyn Industrial Estate, Caernarfon, 
Gwynedd </v>
      </c>
      <c r="C261" s="6" t="str">
        <f>IFERROR(__xludf.DUMMYFUNCTION("""COMPUTED_VALUE""")," 01286 671666 ")</f>
        <v> 01286 671666 </v>
      </c>
      <c r="D261" s="7" t="str">
        <f>IFERROR(__xludf.DUMMYFUNCTION("""COMPUTED_VALUE""")," http://www.phytovation.co.uk ")</f>
        <v> http://www.phytovation.co.uk </v>
      </c>
      <c r="E261" s="6" t="str">
        <f>IFERROR(__xludf.DUMMYFUNCTION("""COMPUTED_VALUE"""),"3D Printing")</f>
        <v>3D Printing</v>
      </c>
    </row>
    <row r="262">
      <c r="A262" s="6" t="str">
        <f>IFERROR(__xludf.DUMMYFUNCTION("""COMPUTED_VALUE"""),"PMT (GB) Ltd")</f>
        <v>PMT (GB) Ltd</v>
      </c>
      <c r="B262" s="6" t="str">
        <f>IFERROR(__xludf.DUMMYFUNCTION("""COMPUTED_VALUE""")," PMT (GB) Ltd, Willow End Park, Malvern, Worcestershire, WR13 6NN ")</f>
        <v> PMT (GB) Ltd, Willow End Park, Malvern, Worcestershire, WR13 6NN </v>
      </c>
      <c r="C262" s="6">
        <f>IFERROR(__xludf.DUMMYFUNCTION("""COMPUTED_VALUE"""),1.68431295E9)</f>
        <v>1684312950</v>
      </c>
      <c r="D262" s="7" t="str">
        <f>IFERROR(__xludf.DUMMYFUNCTION("""COMPUTED_VALUE""")," https://www.pmtgb.com ")</f>
        <v> https://www.pmtgb.com </v>
      </c>
      <c r="E262" s="6" t="str">
        <f>IFERROR(__xludf.DUMMYFUNCTION("""COMPUTED_VALUE"""),"Proteintech Group was established by experienced research scientists aiming 
to provide their fellow research community with superior antibodies and 
first-class customer service. We are confident that you will be wholly 
satisfied with our antibodies; th"&amp;"e protein origins of Proteintech 
antibodies make them truly “all-purpose” – they work in a broad spectrum of 
applications including: WB, IHC, ELISA and IF. Our antibodies are suited to 
the varied requirements of these applications as they recognize bot"&amp;"h 
denatured and three-dimensional epitopes – giving them much higher affinity 
in your applications compared to peptide-generated antibodies. It is not 
just the science behind our antibodies that enables us to strive to be a 
better antibody company. To"&amp;" continually achieve and uphold this goal, we 
adhere to the following standards: we make and validate every single 
antibody that we sell, giving us complete control over production, quality, 
and distribution; because we maintain an up-to-date, worldwid"&amp;"e inventory of 
our antibodies, we offer next day delivery to your lab if you order 
directly with us; and finally, we promise you, and all of our customers, a 
guaranteed refund if you are not satisfied with any of our antibodies.")</f>
        <v>Proteintech Group was established by experienced research scientists aiming 
to provide their fellow research community with superior antibodies and 
first-class customer service. We are confident that you will be wholly 
satisfied with our antibodies; the protein origins of Proteintech 
antibodies make them truly “all-purpose” – they work in a broad spectrum of 
applications including: WB, IHC, ELISA and IF. Our antibodies are suited to 
the varied requirements of these applications as they recognize both 
denatured and three-dimensional epitopes – giving them much higher affinity 
in your applications compared to peptide-generated antibodies. It is not 
just the science behind our antibodies that enables us to strive to be a 
better antibody company. To continually achieve and uphold this goal, we 
adhere to the following standards: we make and validate every single 
antibody that we sell, giving us complete control over production, quality, 
and distribution; because we maintain an up-to-date, worldwide inventory of 
our antibodies, we offer next day delivery to your lab if you order 
directly with us; and finally, we promise you, and all of our customers, a 
guaranteed refund if you are not satisfied with any of our antibodies.</v>
      </c>
    </row>
    <row r="263">
      <c r="A263" s="6" t="str">
        <f>IFERROR(__xludf.DUMMYFUNCTION("""COMPUTED_VALUE"""),"Potter Clarkson LLP")</f>
        <v>Potter Clarkson LLP</v>
      </c>
      <c r="B263" s="6" t="str">
        <f>IFERROR(__xludf.DUMMYFUNCTION("""COMPUTED_VALUE""")," Potter Clarkson LLP, The Belgrave Centre, Talbot Street, Nottingham, 
Nottinghamshire, NG1 5GG ")</f>
        <v> Potter Clarkson LLP, The Belgrave Centre, Talbot Street, Nottingham, 
Nottinghamshire, NG1 5GG </v>
      </c>
      <c r="C263" s="6">
        <f>IFERROR(__xludf.DUMMYFUNCTION("""COMPUTED_VALUE"""),1.159552211E9)</f>
        <v>1159552211</v>
      </c>
      <c r="D263" s="7" t="str">
        <f>IFERROR(__xludf.DUMMYFUNCTION("""COMPUTED_VALUE""")," https://www.potterclarkson.com/ ")</f>
        <v> https://www.potterclarkson.com/ </v>
      </c>
      <c r="E263" s="6" t="str">
        <f>IFERROR(__xludf.DUMMYFUNCTION("""COMPUTED_VALUE"""),"Development of paediatric medicines.")</f>
        <v>Development of paediatric medicines.</v>
      </c>
    </row>
    <row r="264">
      <c r="A264" s="6" t="str">
        <f>IFERROR(__xludf.DUMMYFUNCTION("""COMPUTED_VALUE"""),"Prevention Journeys")</f>
        <v>Prevention Journeys</v>
      </c>
      <c r="B264" s="6" t="str">
        <f>IFERROR(__xludf.DUMMYFUNCTION("""COMPUTED_VALUE""")," 91 Princess Street, Manchester, M1 4HT ")</f>
        <v> 91 Princess Street, Manchester, M1 4HT </v>
      </c>
      <c r="C264" s="6">
        <f>IFERROR(__xludf.DUMMYFUNCTION("""COMPUTED_VALUE"""),7.932019345E9)</f>
        <v>7932019345</v>
      </c>
      <c r="D264" s="7" t="str">
        <f>IFERROR(__xludf.DUMMYFUNCTION("""COMPUTED_VALUE""")," https://preventionjourneys.com ")</f>
        <v> https://preventionjourneys.com </v>
      </c>
      <c r="E264" s="6" t="str">
        <f>IFERROR(__xludf.DUMMYFUNCTION("""COMPUTED_VALUE"""),"Providion is the leading independent Mass Spec service and support provider 
for Sciex and Waters LCMS in the UK. Capabilities include Preventative 
Maintenance and Qualification, Repairs, Spare Parts Supply, Consumables, 
Operator Training, In-house Tech"&amp;"nician Training, and Refurbished Instrument 
Sales. We can perform instrument or whole lab relocations. Providion 
Engineers have an average of over 20 years of experience in LCMS and many 
have spent upwards of 20 years with the OEMs. Our spare parts and"&amp;" 
consumables are housed in our Manchester premises and can be shipped for 
next-day timed delivery within the UK or most parts of Europe.")</f>
        <v>Providion is the leading independent Mass Spec service and support provider 
for Sciex and Waters LCMS in the UK. Capabilities include Preventative 
Maintenance and Qualification, Repairs, Spare Parts Supply, Consumables, 
Operator Training, In-house Technician Training, and Refurbished Instrument 
Sales. We can perform instrument or whole lab relocations. Providion 
Engineers have an average of over 20 years of experience in LCMS and many 
have spent upwards of 20 years with the OEMs. Our spare parts and 
consumables are housed in our Manchester premises and can be shipped for 
next-day timed delivery within the UK or most parts of Europe.</v>
      </c>
    </row>
    <row r="265">
      <c r="A265" s="6" t="str">
        <f>IFERROR(__xludf.DUMMYFUNCTION("""COMPUTED_VALUE"""),"Pro-lab Diagnostics")</f>
        <v>Pro-lab Diagnostics</v>
      </c>
      <c r="B265" s="6" t="str">
        <f>IFERROR(__xludf.DUMMYFUNCTION("""COMPUTED_VALUE""")," 3 Bassenfale Road, Bromborough, CH62 2QL ")</f>
        <v> 3 Bassenfale Road, Bromborough, CH62 2QL </v>
      </c>
      <c r="C265" s="6" t="str">
        <f>IFERROR(__xludf.DUMMYFUNCTION("""COMPUTED_VALUE""")," 0151 353 1613 ")</f>
        <v> 0151 353 1613 </v>
      </c>
      <c r="D265" s="7" t="str">
        <f>IFERROR(__xludf.DUMMYFUNCTION("""COMPUTED_VALUE""")," http://www.pro-lab.com ")</f>
        <v> http://www.pro-lab.com </v>
      </c>
      <c r="E265" s="6" t="str">
        <f>IFERROR(__xludf.DUMMYFUNCTION("""COMPUTED_VALUE"""),"PulmoBioMed commercialises state-of-the-art exhaled breath condensate and 
aerosol sampling technology as part of a platform for disease and 
environmental diagnostics.")</f>
        <v>PulmoBioMed commercialises state-of-the-art exhaled breath condensate and 
aerosol sampling technology as part of a platform for disease and 
environmental diagnostics.</v>
      </c>
    </row>
    <row r="266">
      <c r="A266" s="6" t="str">
        <f>IFERROR(__xludf.DUMMYFUNCTION("""COMPUTED_VALUE"""),"Probatech Ltd")</f>
        <v>Probatech Ltd</v>
      </c>
      <c r="B266" s="6" t="str">
        <f>IFERROR(__xludf.DUMMYFUNCTION("""COMPUTED_VALUE""")," International House, 36-38 Cornhill, London, EC3V 3NG ")</f>
        <v> International House, 36-38 Cornhill, London, EC3V 3NG </v>
      </c>
      <c r="C266" s="6">
        <f>IFERROR(__xludf.DUMMYFUNCTION("""COMPUTED_VALUE"""),2.081447749E9)</f>
        <v>2081447749</v>
      </c>
      <c r="D266" s="7" t="str">
        <f>IFERROR(__xludf.DUMMYFUNCTION("""COMPUTED_VALUE""")," https://www.probatech.co.uk/ ")</f>
        <v> https://www.probatech.co.uk/ </v>
      </c>
      <c r="E266" s="6" t="str">
        <f>IFERROR(__xludf.DUMMYFUNCTION("""COMPUTED_VALUE"""),"QMS Consultancy Ltd specialise in supporting medical device start-ups and 
SME's with their quality and regulatory goals such as CE Marking and ISO 
13485.")</f>
        <v>QMS Consultancy Ltd specialise in supporting medical device start-ups and 
SME's with their quality and regulatory goals such as CE Marking and ISO 
13485.</v>
      </c>
    </row>
    <row r="267">
      <c r="A267" s="6" t="str">
        <f>IFERROR(__xludf.DUMMYFUNCTION("""COMPUTED_VALUE"""),"ProMake Ltd")</f>
        <v>ProMake Ltd</v>
      </c>
      <c r="B267" s="6" t="str">
        <f>IFERROR(__xludf.DUMMYFUNCTION("""COMPUTED_VALUE""")," 4th Floor, Clayton House,, 59 Piccadilly, Manchester, M1 2AQ ")</f>
        <v> 4th Floor, Clayton House,, 59 Piccadilly, Manchester, M1 2AQ </v>
      </c>
      <c r="C267" s="6" t="str">
        <f>IFERROR(__xludf.DUMMYFUNCTION("""COMPUTED_VALUE""")," +44 7932 265 323 ")</f>
        <v> +44 7932 265 323 </v>
      </c>
      <c r="D267" s="7" t="str">
        <f>IFERROR(__xludf.DUMMYFUNCTION("""COMPUTED_VALUE""")," https://promakeltd.com/ ")</f>
        <v> https://promakeltd.com/ </v>
      </c>
      <c r="E267" s="6" t="str">
        <f>IFERROR(__xludf.DUMMYFUNCTION("""COMPUTED_VALUE"""),"QuantuMDx Group are a young and vibrant company developing handheld 
diagnostic and genomic sequencing devices. With its headquarters at the 
International Centre for Life in Newcastle, the company has grown over the 
last five years from a biotech lab in"&amp;" a garage to a multi-national company 
with pan-global collaborations, partnerships and even its own commercial 
genomics lab. QuantuMDx are currently integrating their novel sample 
preparation, DNA extraction, PCR and nanowire biosensor detection 
techn"&amp;"ologies into a suite of handheld and bench-top devices for rapid, 
accurate and low cost diagnosis of multi-drug resistant infectious diseases 
including malaria, HIV and STIs.")</f>
        <v>QuantuMDx Group are a young and vibrant company developing handheld 
diagnostic and genomic sequencing devices. With its headquarters at the 
International Centre for Life in Newcastle, the company has grown over the 
last five years from a biotech lab in a garage to a multi-national company 
with pan-global collaborations, partnerships and even its own commercial 
genomics lab. QuantuMDx are currently integrating their novel sample 
preparation, DNA extraction, PCR and nanowire biosensor detection 
technologies into a suite of handheld and bench-top devices for rapid, 
accurate and low cost diagnosis of multi-drug resistant infectious diseases 
including malaria, HIV and STIs.</v>
      </c>
    </row>
    <row r="268">
      <c r="A268" s="6" t="str">
        <f>IFERROR(__xludf.DUMMYFUNCTION("""COMPUTED_VALUE"""),"Proteintech Europe")</f>
        <v>Proteintech Europe</v>
      </c>
      <c r="B268" s="6" t="str">
        <f>IFERROR(__xludf.DUMMYFUNCTION("""COMPUTED_VALUE""")," 4th Floor, 196 Deansgate, Manchester, M3 3WF ")</f>
        <v> 4th Floor, 196 Deansgate, Manchester, M3 3WF </v>
      </c>
      <c r="C268" s="6" t="str">
        <f>IFERROR(__xludf.DUMMYFUNCTION("""COMPUTED_VALUE""")," 0161 839 3007 ")</f>
        <v> 0161 839 3007 </v>
      </c>
      <c r="D268" s="7" t="str">
        <f>IFERROR(__xludf.DUMMYFUNCTION("""COMPUTED_VALUE""")," http://www.ptglab.com ")</f>
        <v> http://www.ptglab.com </v>
      </c>
      <c r="E268" s="6" t="str">
        <f>IFERROR(__xludf.DUMMYFUNCTION("""COMPUTED_VALUE"""),"Quotient Sciences is a drug development and manufacturing accelerator 
providing integrated services across the entire development pathway. 
Everything we do is driven by an unswerving belief that ideas need to 
become solutions, molecules need to become "&amp;"cures, fast.")</f>
        <v>Quotient Sciences is a drug development and manufacturing accelerator 
providing integrated services across the entire development pathway. 
Everything we do is driven by an unswerving belief that ideas need to 
become solutions, molecules need to become cures, fast.</v>
      </c>
    </row>
    <row r="269">
      <c r="A269" s="6" t="str">
        <f>IFERROR(__xludf.DUMMYFUNCTION("""COMPUTED_VALUE"""),"Proveca Ltd")</f>
        <v>Proveca Ltd</v>
      </c>
      <c r="B269" s="6" t="str">
        <f>IFERROR(__xludf.DUMMYFUNCTION("""COMPUTED_VALUE""")," Neo, 9 Charlotte Street, Manchester, UK, M1 4ET ")</f>
        <v> Neo, 9 Charlotte Street, Manchester, UK, M1 4ET </v>
      </c>
      <c r="C269" s="6" t="str">
        <f>IFERROR(__xludf.DUMMYFUNCTION("""COMPUTED_VALUE""")," 07913 048665 ")</f>
        <v> 07913 048665 </v>
      </c>
      <c r="D269" s="7" t="str">
        <f>IFERROR(__xludf.DUMMYFUNCTION("""COMPUTED_VALUE""")," http://www.proveca.com ")</f>
        <v> http://www.proveca.com </v>
      </c>
      <c r="E269" s="6" t="str">
        <f>IFERROR(__xludf.DUMMYFUNCTION("""COMPUTED_VALUE"""),"Manchester-based startup QV Bioelectronics is developing innovative 
electrotherapy devices for the treatment of brain tumours.")</f>
        <v>Manchester-based startup QV Bioelectronics is developing innovative 
electrotherapy devices for the treatment of brain tumours.</v>
      </c>
    </row>
    <row r="270">
      <c r="A270" s="6" t="str">
        <f>IFERROR(__xludf.DUMMYFUNCTION("""COMPUTED_VALUE"""),"PROVIDION")</f>
        <v>PROVIDION</v>
      </c>
      <c r="B270" s="6" t="str">
        <f>IFERROR(__xludf.DUMMYFUNCTION("""COMPUTED_VALUE""")," Spectrum House, 6 Howarth Court, Broadway Business Park, Oldham, OL99XB ")</f>
        <v> Spectrum House, 6 Howarth Court, Broadway Business Park, Oldham, OL99XB </v>
      </c>
      <c r="C270" s="6" t="str">
        <f>IFERROR(__xludf.DUMMYFUNCTION("""COMPUTED_VALUE""")," 0800 0306896 ")</f>
        <v> 0800 0306896 </v>
      </c>
      <c r="D270" s="7" t="str">
        <f>IFERROR(__xludf.DUMMYFUNCTION("""COMPUTED_VALUE""")," http://www.providion.co.uk ")</f>
        <v> http://www.providion.co.uk </v>
      </c>
      <c r="E270" s="6" t="str">
        <f>IFERROR(__xludf.DUMMYFUNCTION("""COMPUTED_VALUE"""),"Design and rapid-prototyping consultancy service to customers with a need 
for microfluidic systems.")</f>
        <v>Design and rapid-prototyping consultancy service to customers with a need 
for microfluidic systems.</v>
      </c>
    </row>
    <row r="271">
      <c r="A271" s="6" t="str">
        <f>IFERROR(__xludf.DUMMYFUNCTION("""COMPUTED_VALUE"""),"Pulmobiomed Ltd")</f>
        <v>Pulmobiomed Ltd</v>
      </c>
      <c r="B271" s="6" t="str">
        <f>IFERROR(__xludf.DUMMYFUNCTION("""COMPUTED_VALUE""")," Gosforth Park Avenue, Newcastle upon Tyne, NE12 8EG ")</f>
        <v> Gosforth Park Avenue, Newcastle upon Tyne, NE12 8EG </v>
      </c>
      <c r="C271" s="6">
        <f>IFERROR(__xludf.DUMMYFUNCTION("""COMPUTED_VALUE"""),7.908818941E9)</f>
        <v>7908818941</v>
      </c>
      <c r="D271" s="7" t="str">
        <f>IFERROR(__xludf.DUMMYFUNCTION("""COMPUTED_VALUE""")," https://www.pulmobiomed.com ")</f>
        <v> https://www.pulmobiomed.com </v>
      </c>
      <c r="E271" s="6" t="str">
        <f>IFERROR(__xludf.DUMMYFUNCTION("""COMPUTED_VALUE"""),"Redx is a clinical-stage biotechnology company focused on the discovery and 
development of novel, small molecule, highly targeted therapeutics for the 
treatment of cancer and fibrotic disease. Exceptional capabilities in 
medicinal chemistry and transla"&amp;"tional science are the foundation of Redx. 
The Company has built an attractive portfolio of assets and has a strong 
track record of drug discovery. Redx’s drug discovery engine has delivered 
four molecules which have gone into the clinic and delivered "&amp;"a number of 
major partnering transactions. Our lead product RXC004 is a clinical stage, 
highly potent and selective, orally active once-daily Porcupine inhibitor 
which is being developed as a targeted therapy for Wnt-ligand driven 
cancer. The Company’"&amp;"s selective ROCK2 inhibitor, RXC007, is a clinical 
stage, highly selective and orally available ROCK2 inhibitor being 
developed for the treatment of idiopathic pulmonary fibrosis and fibrotic 
diseases.")</f>
        <v>Redx is a clinical-stage biotechnology company focused on the discovery and 
development of novel, small molecule, highly targeted therapeutics for the 
treatment of cancer and fibrotic disease. Exceptional capabilities in 
medicinal chemistry and translational science are the foundation of Redx. 
The Company has built an attractive portfolio of assets and has a strong 
track record of drug discovery. Redx’s drug discovery engine has delivered 
four molecules which have gone into the clinic and delivered a number of 
major partnering transactions. Our lead product RXC004 is a clinical stage, 
highly potent and selective, orally active once-daily Porcupine inhibitor 
which is being developed as a targeted therapy for Wnt-ligand driven 
cancer. The Company’s selective ROCK2 inhibitor, RXC007, is a clinical 
stage, highly selective and orally available ROCK2 inhibitor being 
developed for the treatment of idiopathic pulmonary fibrosis and fibrotic 
diseases.</v>
      </c>
    </row>
    <row r="272">
      <c r="A272" s="6" t="str">
        <f>IFERROR(__xludf.DUMMYFUNCTION("""COMPUTED_VALUE"""),"QMS Consultancy Ltd")</f>
        <v>QMS Consultancy Ltd</v>
      </c>
      <c r="B272" s="6" t="str">
        <f>IFERROR(__xludf.DUMMYFUNCTION("""COMPUTED_VALUE""")," No. 1 Mereside, Alderley Park, Macclesfield, SK10 4TG ")</f>
        <v> No. 1 Mereside, Alderley Park, Macclesfield, SK10 4TG </v>
      </c>
      <c r="C272" s="6" t="str">
        <f>IFERROR(__xludf.DUMMYFUNCTION("""COMPUTED_VALUE""")," 07908 088250 ")</f>
        <v> 07908 088250 </v>
      </c>
      <c r="D272" s="7" t="str">
        <f>IFERROR(__xludf.DUMMYFUNCTION("""COMPUTED_VALUE""")," http://www.qms-consultancy.com ")</f>
        <v> http://www.qms-consultancy.com </v>
      </c>
      <c r="E272" s="6" t="str">
        <f>IFERROR(__xludf.DUMMYFUNCTION("""COMPUTED_VALUE"""),"Independent Medical Doctor providing multiple services for Clinical trials. 
Including Medical Monitoring, Protocol design and Patient Safety.")</f>
        <v>Independent Medical Doctor providing multiple services for Clinical trials. 
Including Medical Monitoring, Protocol design and Patient Safety.</v>
      </c>
    </row>
    <row r="273">
      <c r="A273" s="6" t="str">
        <f>IFERROR(__xludf.DUMMYFUNCTION("""COMPUTED_VALUE"""),"QuantuMDx Group Ltd")</f>
        <v>QuantuMDx Group Ltd</v>
      </c>
      <c r="B273" s="6" t="str">
        <f>IFERROR(__xludf.DUMMYFUNCTION("""COMPUTED_VALUE""")," Lugano Building, 57 Melbourne Street, Newcastle upon Tyne, NE1 2JQ ")</f>
        <v> Lugano Building, 57 Melbourne Street, Newcastle upon Tyne, NE1 2JQ </v>
      </c>
      <c r="C273" s="6" t="str">
        <f>IFERROR(__xludf.DUMMYFUNCTION("""COMPUTED_VALUE""")," 0870 8031234 ")</f>
        <v> 0870 8031234 </v>
      </c>
      <c r="D273" s="7" t="str">
        <f>IFERROR(__xludf.DUMMYFUNCTION("""COMPUTED_VALUE""")," http://www.quantumdx.com ")</f>
        <v> http://www.quantumdx.com </v>
      </c>
      <c r="E273" s="6" t="str">
        <f>IFERROR(__xludf.DUMMYFUNCTION("""COMPUTED_VALUE"""),"ReNewVax Ltd. is a University of Liverpool spin-out company co-founded by 
Dr Marie Yang and Prof Aras Kadioglu. The company is developing novel 
protein-based vaccines which aim to prevent life-threatening bacterial 
infections and combat antimicrobial r"&amp;"esistance.")</f>
        <v>ReNewVax Ltd. is a University of Liverpool spin-out company co-founded by 
Dr Marie Yang and Prof Aras Kadioglu. The company is developing novel 
protein-based vaccines which aim to prevent life-threatening bacterial 
infections and combat antimicrobial resistance.</v>
      </c>
    </row>
    <row r="274">
      <c r="A274" s="6" t="str">
        <f>IFERROR(__xludf.DUMMYFUNCTION("""COMPUTED_VALUE"""),"Quotient Sciences")</f>
        <v>Quotient Sciences</v>
      </c>
      <c r="B274" s="6" t="str">
        <f>IFERROR(__xludf.DUMMYFUNCTION("""COMPUTED_VALUE""")," Taylor Drive, Alnwick, Northumberland, NE66 2DH ")</f>
        <v> Taylor Drive, Alnwick, Northumberland, NE66 2DH </v>
      </c>
      <c r="C274" s="6" t="str">
        <f>IFERROR(__xludf.DUMMYFUNCTION("""COMPUTED_VALUE""")," 01665 608300 ")</f>
        <v> 01665 608300 </v>
      </c>
      <c r="D274" s="7" t="str">
        <f>IFERROR(__xludf.DUMMYFUNCTION("""COMPUTED_VALUE""")," https://www.quotientsciences.com/ ")</f>
        <v> https://www.quotientsciences.com/ </v>
      </c>
      <c r="E274" s="6" t="str">
        <f>IFERROR(__xludf.DUMMYFUNCTION("""COMPUTED_VALUE"""),"We are a nationwide relocations provider with branches in every major UK 
city. Our large storage &amp; distribution network is UK wide &amp; we specialise 
in Laboratory Logistics. We relocate: • Samples, research and chemicals, 
including dangerous and hazardou"&amp;"s goods • Instruments and all types of 
equipment • Cold chain materials • IT, data and archives • Clean Rooms • 
Office, write up and break out areas")</f>
        <v>We are a nationwide relocations provider with branches in every major UK 
city. Our large storage &amp; distribution network is UK wide &amp; we specialise 
in Laboratory Logistics. We relocate: • Samples, research and chemicals, 
including dangerous and hazardous goods • Instruments and all types of 
equipment • Cold chain materials • IT, data and archives • Clean Rooms • 
Office, write up and break out areas</v>
      </c>
    </row>
    <row r="275">
      <c r="A275" s="6" t="str">
        <f>IFERROR(__xludf.DUMMYFUNCTION("""COMPUTED_VALUE"""),"QV Bioelectronics")</f>
        <v>QV Bioelectronics</v>
      </c>
      <c r="B275" s="6" t="str">
        <f>IFERROR(__xludf.DUMMYFUNCTION("""COMPUTED_VALUE""")," IF70 Mereside, Alderley Park, Nether Alderley, Cheshire, SK10 4TG ")</f>
        <v> IF70 Mereside, Alderley Park, Nether Alderley, Cheshire, SK10 4TG </v>
      </c>
      <c r="C275" s="6">
        <f>IFERROR(__xludf.DUMMYFUNCTION("""COMPUTED_VALUE"""),7.867866853E9)</f>
        <v>7867866853</v>
      </c>
      <c r="D275" s="7" t="str">
        <f>IFERROR(__xludf.DUMMYFUNCTION("""COMPUTED_VALUE""")," https://www.qvbio.co.uk ")</f>
        <v> https://www.qvbio.co.uk </v>
      </c>
      <c r="E275" s="6" t="str">
        <f>IFERROR(__xludf.DUMMYFUNCTION("""COMPUTED_VALUE"""),"RSM is a leading provider of audit, tax and consulting services to middle 
market leaders, globally. We empower clients to move forward with 
confidence and realise their full potential. With around 3,500 partners and 
staff in the UK and access to more t"&amp;"han 37,500 people in over 110 countries 
across the RSM network, we can meet our clients’ needs wherever in the 
world they operate.")</f>
        <v>RSM is a leading provider of audit, tax and consulting services to middle 
market leaders, globally. We empower clients to move forward with 
confidence and realise their full potential. With around 3,500 partners and 
staff in the UK and access to more than 37,500 people in over 110 countries 
across the RSM network, we can meet our clients’ needs wherever in the 
world they operate.</v>
      </c>
    </row>
    <row r="276">
      <c r="A276" s="6" t="str">
        <f>IFERROR(__xludf.DUMMYFUNCTION("""COMPUTED_VALUE"""),"Rapid Fluidics")</f>
        <v>Rapid Fluidics</v>
      </c>
      <c r="B276" s="6" t="str">
        <f>IFERROR(__xludf.DUMMYFUNCTION("""COMPUTED_VALUE""")," The Warehouse, Spring Garden Lane, Newcastle upon Tyne, NE4 5TD ")</f>
        <v> The Warehouse, Spring Garden Lane, Newcastle upon Tyne, NE4 5TD </v>
      </c>
      <c r="C276" s="6">
        <f>IFERROR(__xludf.DUMMYFUNCTION("""COMPUTED_VALUE"""),7.905104566E9)</f>
        <v>7905104566</v>
      </c>
      <c r="D276" s="7" t="str">
        <f>IFERROR(__xludf.DUMMYFUNCTION("""COMPUTED_VALUE""")," https://www.rapidfluidics.com/ ")</f>
        <v> https://www.rapidfluidics.com/ </v>
      </c>
      <c r="E276" s="6" t="str">
        <f>IFERROR(__xludf.DUMMYFUNCTION("""COMPUTED_VALUE"""),"Consultancy for start-ups/SME's in the clinical/veterinary in-vitro 
diagnostics area.")</f>
        <v>Consultancy for start-ups/SME's in the clinical/veterinary in-vitro 
diagnostics area.</v>
      </c>
    </row>
    <row r="277">
      <c r="A277" s="6" t="str">
        <f>IFERROR(__xludf.DUMMYFUNCTION("""COMPUTED_VALUE"""),"Redx Pharma plc")</f>
        <v>Redx Pharma plc</v>
      </c>
      <c r="B277" s="6" t="str">
        <f>IFERROR(__xludf.DUMMYFUNCTION("""COMPUTED_VALUE""")," Block 33, Mereside, Alderley Park, Macclesfield, SK10 4TG ")</f>
        <v> Block 33, Mereside, Alderley Park, Macclesfield, SK10 4TG </v>
      </c>
      <c r="C277" s="6" t="str">
        <f>IFERROR(__xludf.DUMMYFUNCTION("""COMPUTED_VALUE""")," 01625 469900 ")</f>
        <v> 01625 469900 </v>
      </c>
      <c r="D277" s="7" t="str">
        <f>IFERROR(__xludf.DUMMYFUNCTION("""COMPUTED_VALUE""")," http://www.redxpharma.com ")</f>
        <v> http://www.redxpharma.com </v>
      </c>
      <c r="E277" s="6" t="str">
        <f>IFERROR(__xludf.DUMMYFUNCTION("""COMPUTED_VALUE"""),"Safeguard Biosystems is commercializing rapid, cost-effective, high 
throughput, molecular diagnostic technologies and tests with exceptional 
performance. Primary focus bacteraemia and sepsis with antibiotic 
resistance profiling in humans. Other applica"&amp;"tions for human and animal 
health, food security and the environment.")</f>
        <v>Safeguard Biosystems is commercializing rapid, cost-effective, high 
throughput, molecular diagnostic technologies and tests with exceptional 
performance. Primary focus bacteraemia and sepsis with antibiotic 
resistance profiling in humans. Other applications for human and animal 
health, food security and the environment.</v>
      </c>
    </row>
    <row r="278">
      <c r="A278" s="6" t="str">
        <f>IFERROR(__xludf.DUMMYFUNCTION("""COMPUTED_VALUE"""),"Regulate")</f>
        <v>Regulate</v>
      </c>
      <c r="B278" s="6" t="str">
        <f>IFERROR(__xludf.DUMMYFUNCTION("""COMPUTED_VALUE""")," home address, Lymm, WA130NQ ")</f>
        <v> home address, Lymm, WA130NQ </v>
      </c>
      <c r="C278" s="6">
        <f>IFERROR(__xludf.DUMMYFUNCTION("""COMPUTED_VALUE"""),7.736275947E9)</f>
        <v>7736275947</v>
      </c>
      <c r="D278" s="7" t="str">
        <f>IFERROR(__xludf.DUMMYFUNCTION("""COMPUTED_VALUE""")," https://www.regulatetrials.com ")</f>
        <v> https://www.regulatetrials.com </v>
      </c>
      <c r="E278" s="6" t="str">
        <f>IFERROR(__xludf.DUMMYFUNCTION("""COMPUTED_VALUE"""),"Sai Life Sciences offers a wide range of services tailor-made to your 
requirements, whether you are a niche biotech firm or global pharma 
company. We cover the entire molecular life cycle and are experienced in 
collaborating with a diverse range of cli"&amp;"ents. At the Manchester site we 
will focus on the Process and Analytical Development of small molecule raw 
materials, intermediates and APIs. We will manufacture non-GMP quantities 
of these materials up to 20L (~2kg) scale at the Manchester site, and w"&amp;"ill 
transfer processes and methods to the Sai Hyderabad sites in India for GMP 
and larger scale low-cost manufacture.")</f>
        <v>Sai Life Sciences offers a wide range of services tailor-made to your 
requirements, whether you are a niche biotech firm or global pharma 
company. We cover the entire molecular life cycle and are experienced in 
collaborating with a diverse range of clients. At the Manchester site we 
will focus on the Process and Analytical Development of small molecule raw 
materials, intermediates and APIs. We will manufacture non-GMP quantities 
of these materials up to 20L (~2kg) scale at the Manchester site, and will 
transfer processes and methods to the Sai Hyderabad sites in India for GMP 
and larger scale low-cost manufacture.</v>
      </c>
    </row>
    <row r="279">
      <c r="A279" s="6" t="str">
        <f>IFERROR(__xludf.DUMMYFUNCTION("""COMPUTED_VALUE"""),"ReNewVax Ltd")</f>
        <v>ReNewVax Ltd</v>
      </c>
      <c r="B279" s="6" t="str">
        <f>IFERROR(__xludf.DUMMYFUNCTION("""COMPUTED_VALUE""")," Greendykes Steading, Edzell, DD9 7UY ")</f>
        <v> Greendykes Steading, Edzell, DD9 7UY </v>
      </c>
      <c r="C279" s="6" t="str">
        <f>IFERROR(__xludf.DUMMYFUNCTION("""COMPUTED_VALUE""")," 0203 488 0710 ")</f>
        <v> 0203 488 0710 </v>
      </c>
      <c r="D279" s="7" t="str">
        <f>IFERROR(__xludf.DUMMYFUNCTION("""COMPUTED_VALUE""")," https://renewvax.com ")</f>
        <v> https://renewvax.com </v>
      </c>
      <c r="E279" s="6" t="str">
        <f>IFERROR(__xludf.DUMMYFUNCTION("""COMPUTED_VALUE"""),"Sampled SMART Labs mission is to be the lab behind every transformative 
health innovation. Our vision is a world where we make it faster and easier 
for health innovators to improve human health. We’ve been perfecting the 
science of biobanking, bioproce"&amp;"ssing and analytics since 1999. By utilizing 
a technologically advanced infrastructure and the highest quality 
biomaterials, our scientists work to convert precious biosamples into 
renewable resources thereby extending research capabilities. We underst"&amp;"and 
that research goals and objectives vary from project to project so we give 
each client individual and customized attention to ensure “best fit” 
service. Sampled is proud to be accredited, licensed, and recognized by the 
leading quality assurance o"&amp;"rganizations in our field.")</f>
        <v>Sampled SMART Labs mission is to be the lab behind every transformative 
health innovation. Our vision is a world where we make it faster and easier 
for health innovators to improve human health. We’ve been perfecting the 
science of biobanking, bioprocessing and analytics since 1999. By utilizing 
a technologically advanced infrastructure and the highest quality 
biomaterials, our scientists work to convert precious biosamples into 
renewable resources thereby extending research capabilities. We understand 
that research goals and objectives vary from project to project so we give 
each client individual and customized attention to ensure “best fit” 
service. Sampled is proud to be accredited, licensed, and recognized by the 
leading quality assurance organizations in our field.</v>
      </c>
    </row>
    <row r="280">
      <c r="A280" s="6" t="str">
        <f>IFERROR(__xludf.DUMMYFUNCTION("""COMPUTED_VALUE"""),"Restore Harrow Green")</f>
        <v>Restore Harrow Green</v>
      </c>
      <c r="B280" s="6" t="str">
        <f>IFERROR(__xludf.DUMMYFUNCTION("""COMPUTED_VALUE""")," 2 Oriental Road, London, E16 2BZ ")</f>
        <v> 2 Oriental Road, London, E16 2BZ </v>
      </c>
      <c r="C280" s="6" t="str">
        <f>IFERROR(__xludf.DUMMYFUNCTION("""COMPUTED_VALUE""")," +44 (0) 345 603 8774 ")</f>
        <v> +44 (0) 345 603 8774 </v>
      </c>
      <c r="D280" s="7" t="str">
        <f>IFERROR(__xludf.DUMMYFUNCTION("""COMPUTED_VALUE""")," https://harrowgreen.com/ ")</f>
        <v> https://harrowgreen.com/ </v>
      </c>
      <c r="E280" s="6" t="str">
        <f>IFERROR(__xludf.DUMMYFUNCTION("""COMPUTED_VALUE"""),"Science Developments Ltd provide consultancy support in business critical 
services such as business development, product development and market 
analysis. The key areas of focus include: • Define the service &amp; product 
offering • Market analysis, competi"&amp;"tive landscape and positioning • Define 
target markets (&amp; timing) • Develop messaging for target markets • Product 
development planning • Identify and contact key opinion leaders • Securing 
investment (equity &amp; grants Our expertise based consultancy co"&amp;"vers the 
broad life sciences sector including pharma, medtech, digital health, 
precision medicine and industrial biotech.")</f>
        <v>Science Developments Ltd provide consultancy support in business critical 
services such as business development, product development and market 
analysis. The key areas of focus include: • Define the service &amp; product 
offering • Market analysis, competitive landscape and positioning • Define 
target markets (&amp; timing) • Develop messaging for target markets • Product 
development planning • Identify and contact key opinion leaders • Securing 
investment (equity &amp; grants Our expertise based consultancy covers the 
broad life sciences sector including pharma, medtech, digital health, 
precision medicine and industrial biotech.</v>
      </c>
    </row>
    <row r="281">
      <c r="A281" s="6" t="str">
        <f>IFERROR(__xludf.DUMMYFUNCTION("""COMPUTED_VALUE"""),"RSM UK")</f>
        <v>RSM UK</v>
      </c>
      <c r="B281" s="6" t="str">
        <f>IFERROR(__xludf.DUMMYFUNCTION("""COMPUTED_VALUE""")," 3 Hardman Street, Manchester, M3 3HF ")</f>
        <v> 3 Hardman Street, Manchester, M3 3HF </v>
      </c>
      <c r="C281" s="6" t="str">
        <f>IFERROR(__xludf.DUMMYFUNCTION("""COMPUTED_VALUE""")," 0161 830 4000 ")</f>
        <v> 0161 830 4000 </v>
      </c>
      <c r="D281" s="7" t="str">
        <f>IFERROR(__xludf.DUMMYFUNCTION("""COMPUTED_VALUE""")," http://www.rsmuk.com ")</f>
        <v> http://www.rsmuk.com </v>
      </c>
      <c r="E281" s="6" t="str">
        <f>IFERROR(__xludf.DUMMYFUNCTION("""COMPUTED_VALUE"""),"Scitech is an employee owned, highly specialised and skilled business 
offering a full range of engineering, construction and professional 
services, specifically designed and packaged to suit the needs of the life 
science sectors. Whatever the requireme"&amp;"nt Scitech has the experience and 
the skill sets to be able to deliver. Objective, collaborative, innovative 
but always looking to add value, Scitech uses a well rounded, objective but 
knowledgeable approach and the ideal mix of talents and experience "&amp;"to 
deliver the best answer at the best price and to achieve the optimum 
timeline. Scitech provides services into the main geographical life science 
sectors of Europe through a network that includes our main office in the 
South of England and regional "&amp;"offices in Manchester, Cardiff, Antwerp and 
Breda")</f>
        <v>Scitech is an employee owned, highly specialised and skilled business 
offering a full range of engineering, construction and professional 
services, specifically designed and packaged to suit the needs of the life 
science sectors. Whatever the requirement Scitech has the experience and 
the skill sets to be able to deliver. Objective, collaborative, innovative 
but always looking to add value, Scitech uses a well rounded, objective but 
knowledgeable approach and the ideal mix of talents and experience to 
deliver the best answer at the best price and to achieve the optimum 
timeline. Scitech provides services into the main geographical life science 
sectors of Europe through a network that includes our main office in the 
South of England and regional offices in Manchester, Cardiff, Antwerp and 
Breda</v>
      </c>
    </row>
    <row r="282">
      <c r="A282" s="6" t="str">
        <f>IFERROR(__xludf.DUMMYFUNCTION("""COMPUTED_VALUE"""),"RTD Dx Limited")</f>
        <v>RTD Dx Limited</v>
      </c>
      <c r="B282" s="6" t="str">
        <f>IFERROR(__xludf.DUMMYFUNCTION("""COMPUTED_VALUE""")," Mill Dyke Croft, Dark Lane, Newsham, Richmond, North Yorkshire, DL11 7QZ ")</f>
        <v> Mill Dyke Croft, Dark Lane, Newsham, Richmond, North Yorkshire, DL11 7QZ </v>
      </c>
      <c r="C282" s="6">
        <f>IFERROR(__xludf.DUMMYFUNCTION("""COMPUTED_VALUE"""),7.425802953E9)</f>
        <v>7425802953</v>
      </c>
      <c r="D282" s="7" t="str">
        <f>IFERROR(__xludf.DUMMYFUNCTION("""COMPUTED_VALUE""")," http://www.rtddx.co.uk ")</f>
        <v> http://www.rtddx.co.uk </v>
      </c>
      <c r="E282" s="6" t="str">
        <f>IFERROR(__xludf.DUMMYFUNCTION("""COMPUTED_VALUE"""),"We offer intelligent service solutions of the highest quality to fit all 
your clinical development requirements. From strategic development to final 
integrated report, we have the know-how and experience to provide 
individual or full service support.")</f>
        <v>We offer intelligent service solutions of the highest quality to fit all 
your clinical development requirements. From strategic development to final 
integrated report, we have the know-how and experience to provide 
individual or full service support.</v>
      </c>
    </row>
    <row r="283">
      <c r="A283" s="6" t="str">
        <f>IFERROR(__xludf.DUMMYFUNCTION("""COMPUTED_VALUE"""),"Safeguard Biosystems Holdings Ltd.")</f>
        <v>Safeguard Biosystems Holdings Ltd.</v>
      </c>
      <c r="B283" s="6" t="str">
        <f>IFERROR(__xludf.DUMMYFUNCTION("""COMPUTED_VALUE""")," Imperial Incubator, Level 1 Bessemer Building, London, SW7 2AZ ")</f>
        <v> Imperial Incubator, Level 1 Bessemer Building, London, SW7 2AZ </v>
      </c>
      <c r="C283" s="6" t="str">
        <f>IFERROR(__xludf.DUMMYFUNCTION("""COMPUTED_VALUE""")," 07939 251558 ")</f>
        <v> 07939 251558 </v>
      </c>
      <c r="D283" s="7" t="str">
        <f>IFERROR(__xludf.DUMMYFUNCTION("""COMPUTED_VALUE""")," http://www.sgbio.com ")</f>
        <v> http://www.sgbio.com </v>
      </c>
      <c r="E283" s="6" t="str">
        <f>IFERROR(__xludf.DUMMYFUNCTION("""COMPUTED_VALUE"""),"Secerna is a young firm of patent and trade mark attorneys established by a 
team of experienced practitioners. At the heart of the business is a desire 
to provide an unrivalled, integrated service focussed on the protection, 
enforcement and defence of "&amp;"Intellectual Assets.Our aim is to consistently 
outperform expectations and to provide a service that is of the highest 
possible quality in an approachable and transparent fashion. Wherever 
possible, we seek to create and extract maximum value from the "&amp;"Intellectual 
Property of our clients.We are of the belief that our clients are best 
served by a team that is passionate, commonly motivated and highly 
talented. To this end, we invite those who wish to learn more about our 
team and what we do to conta"&amp;"ct us.")</f>
        <v>Secerna is a young firm of patent and trade mark attorneys established by a 
team of experienced practitioners. At the heart of the business is a desire 
to provide an unrivalled, integrated service focussed on the protection, 
enforcement and defence of Intellectual Assets.Our aim is to consistently 
outperform expectations and to provide a service that is of the highest 
possible quality in an approachable and transparent fashion. Wherever 
possible, we seek to create and extract maximum value from the Intellectual 
Property of our clients.We are of the belief that our clients are best 
served by a team that is passionate, commonly motivated and highly 
talented. To this end, we invite those who wish to learn more about our 
team and what we do to contact us.</v>
      </c>
    </row>
    <row r="284">
      <c r="A284" s="6" t="str">
        <f>IFERROR(__xludf.DUMMYFUNCTION("""COMPUTED_VALUE"""),"Sai Life Sciences Ltd")</f>
        <v>Sai Life Sciences Ltd</v>
      </c>
      <c r="B284" s="6" t="str">
        <f>IFERROR(__xludf.DUMMYFUNCTION("""COMPUTED_VALUE""")," Block 33 Basement, Alderley Park, Macclesfield, Cheshire, SK10 4TG ")</f>
        <v> Block 33 Basement, Alderley Park, Macclesfield, Cheshire, SK10 4TG </v>
      </c>
      <c r="C284" s="6" t="str">
        <f>IFERROR(__xludf.DUMMYFUNCTION("""COMPUTED_VALUE""")," 01625 813422 ")</f>
        <v> 01625 813422 </v>
      </c>
      <c r="D284" s="7" t="str">
        <f>IFERROR(__xludf.DUMMYFUNCTION("""COMPUTED_VALUE""")," https://www.sailife.com/ ")</f>
        <v> https://www.sailife.com/ </v>
      </c>
      <c r="E284" s="6" t="str">
        <f>IFERROR(__xludf.DUMMYFUNCTION("""COMPUTED_VALUE"""),"SEDA Pharmaceutical Development Services provide Pharmaceutical Development 
and Clinical Pharmacology services to the Pharma and Biotechnology 
Industries. We rapidly and efficiently develop medicinal products by 
providing coherent and synergistic servi"&amp;"ces across four key areas not 
usually found in one organisation: Chemistry Manufacturing and Controls 
(CMC) – Product Development; Clinical Pharmacology and Biopharmaceutics; 
Drug Delivery System Scouting; Biotechnology Investment Support Services. 
Ou"&amp;"r philosophy is to transform the value of our clients’ assets by 
genuinely integrating the clinical and pharmaceutical development needs for 
the product at the start and throughout the design process thus leading to 
rapid and efficient development: red"&amp;"ucing false starts and ensuring the 
product meets the patient’s needs. Additionally we will invest in modelling 
and simulation tools alongside, miniaturization, manufacturing innovations 
and automation to further increase our ability to take products r"&amp;"apidly 
into clinical trials and towards commercialisation. Our core technology 
areas include: Standard oral IR products; Enhanced formulations for poorly, 
soluble drugs; Complex parenterals;• Inhaled dosage forms. We have applied 
our knowledge across "&amp;"several therapeutic areas and importantly have 
extensive experience in the development of Oncology drugs. This includes 
those with ‘breakthrough status’ which puts particular pressure on the CMC 
and clinical pharmacology elements of drug development. W"&amp;"e are made up of 
senior ex- big pharma professionals who are experienced across the entire 
product development timeline from pre-clinical development through to 
launch and have led development activities for several successful drugs. 
Additionally we a"&amp;"re thought leaders at the forefront of recent scientific 
and technical developments in the pharmaceutical sciences where we have 
played leading roles in a number of high profile cross-industry 
collaborations.")</f>
        <v>SEDA Pharmaceutical Development Services provide Pharmaceutical Development 
and Clinical Pharmacology services to the Pharma and Biotechnology 
Industries. We rapidly and efficiently develop medicinal products by 
providing coherent and synergistic services across four key areas not 
usually found in one organisation: Chemistry Manufacturing and Controls 
(CMC) – Product Development; Clinical Pharmacology and Biopharmaceutics; 
Drug Delivery System Scouting; Biotechnology Investment Support Services. 
Our philosophy is to transform the value of our clients’ assets by 
genuinely integrating the clinical and pharmaceutical development needs for 
the product at the start and throughout the design process thus leading to 
rapid and efficient development: reducing false starts and ensuring the 
product meets the patient’s needs. Additionally we will invest in modelling 
and simulation tools alongside, miniaturization, manufacturing innovations 
and automation to further increase our ability to take products rapidly 
into clinical trials and towards commercialisation. Our core technology 
areas include: Standard oral IR products; Enhanced formulations for poorly, 
soluble drugs; Complex parenterals;• Inhaled dosage forms. We have applied 
our knowledge across several therapeutic areas and importantly have 
extensive experience in the development of Oncology drugs. This includes 
those with ‘breakthrough status’ which puts particular pressure on the CMC 
and clinical pharmacology elements of drug development. We are made up of 
senior ex- big pharma professionals who are experienced across the entire 
product development timeline from pre-clinical development through to 
launch and have led development activities for several successful drugs. 
Additionally we are thought leaders at the forefront of recent scientific 
and technical developments in the pharmaceutical sciences where we have 
played leading roles in a number of high profile cross-industry 
collaborations.</v>
      </c>
    </row>
    <row r="285">
      <c r="A285" s="6" t="str">
        <f>IFERROR(__xludf.DUMMYFUNCTION("""COMPUTED_VALUE"""),"Sampled")</f>
        <v>Sampled</v>
      </c>
      <c r="B285" s="6" t="str">
        <f>IFERROR(__xludf.DUMMYFUNCTION("""COMPUTED_VALUE""")," BioCity, Bo’Ness Rd, Motherwell, ML1 5UH ")</f>
        <v> BioCity, Bo’Ness Rd, Motherwell, ML1 5UH </v>
      </c>
      <c r="C285" s="6">
        <f>IFERROR(__xludf.DUMMYFUNCTION("""COMPUTED_VALUE"""),4.47932035029E11)</f>
        <v>447932035029</v>
      </c>
      <c r="D285" s="7" t="str">
        <f>IFERROR(__xludf.DUMMYFUNCTION("""COMPUTED_VALUE""")," https://sampled.com/ ")</f>
        <v> https://sampled.com/ </v>
      </c>
      <c r="E285" s="6" t="str">
        <f>IFERROR(__xludf.DUMMYFUNCTION("""COMPUTED_VALUE"""),"SGS Quay Pharma is a world renowned provider of contract formulation and 
manufacturing services to the pharmaceutical and biotech industries.")</f>
        <v>SGS Quay Pharma is a world renowned provider of contract formulation and 
manufacturing services to the pharmaceutical and biotech industries.</v>
      </c>
    </row>
    <row r="286">
      <c r="A286" s="6" t="str">
        <f>IFERROR(__xludf.DUMMYFUNCTION("""COMPUTED_VALUE"""),"Science Developments Ltd")</f>
        <v>Science Developments Ltd</v>
      </c>
      <c r="B286" s="6" t="str">
        <f>IFERROR(__xludf.DUMMYFUNCTION("""COMPUTED_VALUE""")," Flat 5, 36 Beverley Terrace, North Shields, Tyne and Wear, NE30 4NU ")</f>
        <v> Flat 5, 36 Beverley Terrace, North Shields, Tyne and Wear, NE30 4NU </v>
      </c>
      <c r="C286" s="6">
        <f>IFERROR(__xludf.DUMMYFUNCTION("""COMPUTED_VALUE"""),7.827323421E9)</f>
        <v>7827323421</v>
      </c>
      <c r="D286" s="7" t="str">
        <f>IFERROR(__xludf.DUMMYFUNCTION("""COMPUTED_VALUE""")," http://www.sciencedevelopments.co.uk ")</f>
        <v> http://www.sciencedevelopments.co.uk </v>
      </c>
      <c r="E286" s="6" t="str">
        <f>IFERROR(__xludf.DUMMYFUNCTION("""COMPUTED_VALUE"""),"With over 35 years’ experience as a global contract service organization, 
SGS provides integrated (bio)pharmaceutical development and testing 
solutions including clinical research, pharmaceutical development, 
biologics characterization, biosafety, and "&amp;"quality control testing for 
small and large molecules, raw materials, containers and finished products. 
SGS provides a comprehensive range of biosafety services such as: virology, 
cell and molecular biology, microbiology and TEM. Health Authorities (US"&amp;" 
FDA and the EMA), require companies to undergo safety testing demonstrating 
that cell banks, viral banks, raw materials, bulk harvests, and batches of 
clinical drug are free of bacteria, fungi, mycoplasma, viruses and other 
potential contaminants. SG"&amp;"S ensures product safety in satisfying these 
regulatory requirements.")</f>
        <v>With over 35 years’ experience as a global contract service organization, 
SGS provides integrated (bio)pharmaceutical development and testing 
solutions including clinical research, pharmaceutical development, 
biologics characterization, biosafety, and quality control testing for 
small and large molecules, raw materials, containers and finished products. 
SGS provides a comprehensive range of biosafety services such as: virology, 
cell and molecular biology, microbiology and TEM. Health Authorities (US 
FDA and the EMA), require companies to undergo safety testing demonstrating 
that cell banks, viral banks, raw materials, bulk harvests, and batches of 
clinical drug are free of bacteria, fungi, mycoplasma, viruses and other 
potential contaminants. SGS ensures product safety in satisfying these 
regulatory requirements.</v>
      </c>
    </row>
    <row r="287">
      <c r="A287" s="6" t="str">
        <f>IFERROR(__xludf.DUMMYFUNCTION("""COMPUTED_VALUE"""),"Scitech Engineering")</f>
        <v>Scitech Engineering</v>
      </c>
      <c r="B287" s="6" t="str">
        <f>IFERROR(__xludf.DUMMYFUNCTION("""COMPUTED_VALUE""")," Scitech House, Mill Lane, Godalming, Surrey, GU7 1EY ")</f>
        <v> Scitech House, Mill Lane, Godalming, Surrey, GU7 1EY </v>
      </c>
      <c r="C287" s="6" t="str">
        <f>IFERROR(__xludf.DUMMYFUNCTION("""COMPUTED_VALUE""")," 01613 990275 ")</f>
        <v> 01613 990275 </v>
      </c>
      <c r="D287" s="7" t="str">
        <f>IFERROR(__xludf.DUMMYFUNCTION("""COMPUTED_VALUE""")," https://www.scitech.com/ ")</f>
        <v> https://www.scitech.com/ </v>
      </c>
      <c r="E287" s="6" t="str">
        <f>IFERROR(__xludf.DUMMYFUNCTION("""COMPUTED_VALUE"""),"Higher Education and Research")</f>
        <v>Higher Education and Research</v>
      </c>
    </row>
    <row r="288">
      <c r="A288" s="6" t="str">
        <f>IFERROR(__xludf.DUMMYFUNCTION("""COMPUTED_VALUE"""),"Scope International UK")</f>
        <v>Scope International UK</v>
      </c>
      <c r="B288" s="6" t="str">
        <f>IFERROR(__xludf.DUMMYFUNCTION("""COMPUTED_VALUE""")," Scope International UK, St George's House, St George's Rd, Bolton, BL1 2DD ")</f>
        <v> Scope International UK, St George's House, St George's Rd, Bolton, BL1 2DD </v>
      </c>
      <c r="C288" s="6">
        <f>IFERROR(__xludf.DUMMYFUNCTION("""COMPUTED_VALUE"""),1.204322725E9)</f>
        <v>1204322725</v>
      </c>
      <c r="D288" s="7" t="str">
        <f>IFERROR(__xludf.DUMMYFUNCTION("""COMPUTED_VALUE""")," https://scope-international.online/ ")</f>
        <v> https://scope-international.online/ </v>
      </c>
      <c r="E288" s="6" t="str">
        <f>IFERROR(__xludf.DUMMYFUNCTION("""COMPUTED_VALUE"""),"Skin Life Analytics are revolutionising skin health by partnering with 
cosmetic brands, the sunscreen market and the aesthetic industry to deliver 
quantifiable interventions through a simple and non-invasive skin test for 
mitochondrial DNA damage; in s"&amp;"hort we are making the invisible visible 
through the detection of this universally recognised skin biomarker. Damage 
to the mitochondrial DNA will accelerate skin ageing and we can detect this 
long before the visible effects of skin ageing are apparent"&amp;", allowing for 
interventions and progress to be tracked at the molecular level.")</f>
        <v>Skin Life Analytics are revolutionising skin health by partnering with 
cosmetic brands, the sunscreen market and the aesthetic industry to deliver 
quantifiable interventions through a simple and non-invasive skin test for 
mitochondrial DNA damage; in short we are making the invisible visible 
through the detection of this universally recognised skin biomarker. Damage 
to the mitochondrial DNA will accelerate skin ageing and we can detect this 
long before the visible effects of skin ageing are apparent, allowing for 
interventions and progress to be tracked at the molecular level.</v>
      </c>
    </row>
    <row r="289">
      <c r="A289" s="6" t="str">
        <f>IFERROR(__xludf.DUMMYFUNCTION("""COMPUTED_VALUE"""),"Secerna LLP")</f>
        <v>Secerna LLP</v>
      </c>
      <c r="B289" s="6" t="str">
        <f>IFERROR(__xludf.DUMMYFUNCTION("""COMPUTED_VALUE""")," The Catalyst, Baird Lane, Heslington East, York, YO10 5GA ")</f>
        <v> The Catalyst, Baird Lane, Heslington East, York, YO10 5GA </v>
      </c>
      <c r="C289" s="6" t="str">
        <f>IFERROR(__xludf.DUMMYFUNCTION("""COMPUTED_VALUE""")," 01904 567726 ")</f>
        <v> 01904 567726 </v>
      </c>
      <c r="D289" s="7" t="str">
        <f>IFERROR(__xludf.DUMMYFUNCTION("""COMPUTED_VALUE""")," http://www.secerna.co.uk ")</f>
        <v> http://www.secerna.co.uk </v>
      </c>
      <c r="E289" s="6" t="str">
        <f>IFERROR(__xludf.DUMMYFUNCTION("""COMPUTED_VALUE"""),"As an established North West legal practice of over 240 years, we are proud 
to demonstrate our unique mix of credibility and heritage with a genuine 
understanding of the world of biotech and science led development in 
industry. This is demonstrated by "&amp;"our team being some of the most 
experienced Corporate lawyers that have specialisms in the environment, 
sustainability, the built environment, pharmaceutical and healthcare 
sectors. As a full service law firm we are able to support our clients with 
a "&amp;"business services solution that includes advice on employment, 
litigation, corporate and commercial work, commercial property matters and 
of course specialist advice pertaining to the bio-sectors.")</f>
        <v>As an established North West legal practice of over 240 years, we are proud 
to demonstrate our unique mix of credibility and heritage with a genuine 
understanding of the world of biotech and science led development in 
industry. This is demonstrated by our team being some of the most 
experienced Corporate lawyers that have specialisms in the environment, 
sustainability, the built environment, pharmaceutical and healthcare 
sectors. As a full service law firm we are able to support our clients with 
a business services solution that includes advice on employment, 
litigation, corporate and commercial work, commercial property matters and 
of course specialist advice pertaining to the bio-sectors.</v>
      </c>
    </row>
    <row r="290">
      <c r="A290" s="6" t="str">
        <f>IFERROR(__xludf.DUMMYFUNCTION("""COMPUTED_VALUE"""),"Seda Pharmaceutical Development Services")</f>
        <v>Seda Pharmaceutical Development Services</v>
      </c>
      <c r="B290" s="6" t="str">
        <f>IFERROR(__xludf.DUMMYFUNCTION("""COMPUTED_VALUE""")," Seda Pharmaceutical Development Services, Unit 4 Oakfield Road, Cheadle 
Royal Business Park, Cheadle, SK8 3GX ")</f>
        <v> Seda Pharmaceutical Development Services, Unit 4 Oakfield Road, Cheadle 
Royal Business Park, Cheadle, SK8 3GX </v>
      </c>
      <c r="C290" s="6" t="str">
        <f>IFERROR(__xludf.DUMMYFUNCTION("""COMPUTED_VALUE""")," 07702 423406 ")</f>
        <v> 07702 423406 </v>
      </c>
      <c r="D290" s="7" t="str">
        <f>IFERROR(__xludf.DUMMYFUNCTION("""COMPUTED_VALUE""")," http://www.sedapds.com ")</f>
        <v> http://www.sedapds.com </v>
      </c>
      <c r="E290" s="6" t="str">
        <f>IFERROR(__xludf.DUMMYFUNCTION("""COMPUTED_VALUE"""),"Source BioScience Limited is an international provider of integrated state 
of the art Laboratory Services and Products. Headquartered in the UK, with 
offices in UK, Europe and the USA, Source BioScience is a fully owned 
subsidiary of SourceBio Internat"&amp;"ional plc, which listed on the AIM market 
of the London Stock Exchange in October 2020. Providing Genomics services 
from our Cambridge Centre of Excellence, our recently opened facility in 
Dublin, Ireland and San Diego, USA. We offer Sanger Sequencing "&amp;"and Next 
Generation Sequencing to Global Pharmaceuticals, Biotechnology, Life 
Science and Academic communities using the latest technologies illumina 
NovaSeq, NextSeq500 and MiSeq. We have a team of dedicated highly qualified 
and experienced scientist"&amp;"s to support and update you throughout your 
project, ensuring you receive the highest quality data and service as well 
as a quick turnaround for projects. In addition, we also offer Stability 
Storage services; with over 30 years’ experience providing c"&amp;"ontrolled 
environmental storage and shelf life testing services and stability storage 
equipment for the pharmaceutical and biotechnology industry, contract 
manufacturers and analytical testing companies from our MRHA/HPRA/FDA 
approved sites across UK,"&amp;" Europe and the US. We are the chosen outsourced 
partner for cellular pathology testing to over 130 NHS Trusts and private 
healthcare providers and, with one of the largest network of consultant 
pathologists and recently saw the opportunity to enter th"&amp;"e Infectious 
Disease Testing Market.")</f>
        <v>Source BioScience Limited is an international provider of integrated state 
of the art Laboratory Services and Products. Headquartered in the UK, with 
offices in UK, Europe and the USA, Source BioScience is a fully owned 
subsidiary of SourceBio International plc, which listed on the AIM market 
of the London Stock Exchange in October 2020. Providing Genomics services 
from our Cambridge Centre of Excellence, our recently opened facility in 
Dublin, Ireland and San Diego, USA. We offer Sanger Sequencing and Next 
Generation Sequencing to Global Pharmaceuticals, Biotechnology, Life 
Science and Academic communities using the latest technologies illumina 
NovaSeq, NextSeq500 and MiSeq. We have a team of dedicated highly qualified 
and experienced scientists to support and update you throughout your 
project, ensuring you receive the highest quality data and service as well 
as a quick turnaround for projects. In addition, we also offer Stability 
Storage services; with over 30 years’ experience providing controlled 
environmental storage and shelf life testing services and stability storage 
equipment for the pharmaceutical and biotechnology industry, contract 
manufacturers and analytical testing companies from our MRHA/HPRA/FDA 
approved sites across UK, Europe and the US. We are the chosen outsourced 
partner for cellular pathology testing to over 130 NHS Trusts and private 
healthcare providers and, with one of the largest network of consultant 
pathologists and recently saw the opportunity to enter the Infectious 
Disease Testing Market.</v>
      </c>
    </row>
    <row r="291">
      <c r="A291" s="6" t="str">
        <f>IFERROR(__xludf.DUMMYFUNCTION("""COMPUTED_VALUE"""),"SGS Quay Pharma")</f>
        <v>SGS Quay Pharma</v>
      </c>
      <c r="B291" s="6" t="str">
        <f>IFERROR(__xludf.DUMMYFUNCTION("""COMPUTED_VALUE""")," Quay House, 28 Parkway, Deeside Industrial Park, CH5 2NS ")</f>
        <v> Quay House, 28 Parkway, Deeside Industrial Park, CH5 2NS </v>
      </c>
      <c r="C291" s="6" t="str">
        <f>IFERROR(__xludf.DUMMYFUNCTION("""COMPUTED_VALUE""")," 01244 837000 ")</f>
        <v> 01244 837000 </v>
      </c>
      <c r="D291" s="7" t="str">
        <f>IFERROR(__xludf.DUMMYFUNCTION("""COMPUTED_VALUE""")," http://www.quaypharma.com ")</f>
        <v> http://www.quaypharma.com </v>
      </c>
      <c r="E291" s="6" t="str">
        <f>IFERROR(__xludf.DUMMYFUNCTION("""COMPUTED_VALUE"""),"Square One Law is an entrepreneurial, commercial law firm which has offices 
in Newcastle upon Tyne and Stockton on Tees and an associate office in 
Brussels, offering our clients trust, high performance and cost certainty. 
We invest our time to understa"&amp;"nd what our clients want to achieve and then 
deliver a highly proactive and commercially aware service. Square One Law 
has 16 partners, the majority of whom have joined us from national and 
international firms, bringing the experience you would expect "&amp;"from that 
background and applying it to an environment which is flexible and agile 
and allows a focus on service delivery and excellence, to provide tailored 
and truly commercial advice. What sets us apart is that we are proactive in 
identifying solut"&amp;"ions and offering an opinion – not just giving options. We 
listen to our clients and provide clear advice, focussed on the 
requirements of you and your business. We’ve developed our brand as a high 
quality, niche, commercial law firm, concentrating on "&amp;"what clients want – 
efficiency, timeliness, and addressing needs. Our clients tell us they want 
to deal with experienced lawyers who are commercially minded and invest the 
time to understand their businesses. We have become trusted advisers and 
are fo"&amp;"cussing on building long-term relationships. We believe the challenge 
for law firms going forward, like most businesses, is how to “improve the 
client experience” and improve operational efficiencies so they become key 
areas of differentiation from the"&amp;" competition. So we’ve built a consistent 
brand from the inside out, concentrating on communication and behaviours to 
ensure an open and collaborative culture. Our people are passionate about 
client care, help define what good service delivery should b"&amp;"e across the 
firm and continually review and look to improve.")</f>
        <v>Square One Law is an entrepreneurial, commercial law firm which has offices 
in Newcastle upon Tyne and Stockton on Tees and an associate office in 
Brussels, offering our clients trust, high performance and cost certainty. 
We invest our time to understand what our clients want to achieve and then 
deliver a highly proactive and commercially aware service. Square One Law 
has 16 partners, the majority of whom have joined us from national and 
international firms, bringing the experience you would expect from that 
background and applying it to an environment which is flexible and agile 
and allows a focus on service delivery and excellence, to provide tailored 
and truly commercial advice. What sets us apart is that we are proactive in 
identifying solutions and offering an opinion – not just giving options. We 
listen to our clients and provide clear advice, focussed on the 
requirements of you and your business. We’ve developed our brand as a high 
quality, niche, commercial law firm, concentrating on what clients want – 
efficiency, timeliness, and addressing needs. Our clients tell us they want 
to deal with experienced lawyers who are commercially minded and invest the 
time to understand their businesses. We have become trusted advisers and 
are focussing on building long-term relationships. We believe the challenge 
for law firms going forward, like most businesses, is how to “improve the 
client experience” and improve operational efficiencies so they become key 
areas of differentiation from the competition. So we’ve built a consistent 
brand from the inside out, concentrating on communication and behaviours to 
ensure an open and collaborative culture. Our people are passionate about 
client care, help define what good service delivery should be across the 
firm and continually review and look to improve.</v>
      </c>
    </row>
    <row r="292">
      <c r="A292" s="6" t="str">
        <f>IFERROR(__xludf.DUMMYFUNCTION("""COMPUTED_VALUE"""),"SGS Vitrology Ltd")</f>
        <v>SGS Vitrology Ltd</v>
      </c>
      <c r="B292" s="6" t="str">
        <f>IFERROR(__xludf.DUMMYFUNCTION("""COMPUTED_VALUE""")," 5 South Avenue, Clydebank Business Park, Glasgow, G81 2LG ")</f>
        <v> 5 South Avenue, Clydebank Business Park, Glasgow, G81 2LG </v>
      </c>
      <c r="C292" s="6" t="str">
        <f>IFERROR(__xludf.DUMMYFUNCTION("""COMPUTED_VALUE""")," +44 141 952 0022 ")</f>
        <v> +44 141 952 0022 </v>
      </c>
      <c r="D292" s="7" t="str">
        <f>IFERROR(__xludf.DUMMYFUNCTION("""COMPUTED_VALUE""")," https://www.sgs.com/en/our-services/health-and-nutrition/health-science ")</f>
        <v> https://www.sgs.com/en/our-services/health-and-nutrition/health-science </v>
      </c>
      <c r="E292" s="6" t="str">
        <f>IFERROR(__xludf.DUMMYFUNCTION("""COMPUTED_VALUE"""),"We combine a full-service offering with expert knowledge and agility to 
offer API services, from API development to cGMP contract manufacturing")</f>
        <v>We combine a full-service offering with expert knowledge and agility to 
offer API services, from API development to cGMP contract manufacturing</v>
      </c>
    </row>
    <row r="293">
      <c r="A293" s="6" t="str">
        <f>IFERROR(__xludf.DUMMYFUNCTION("""COMPUTED_VALUE"""),"Sheffield Hallam University,")</f>
        <v>Sheffield Hallam University,</v>
      </c>
      <c r="B293" s="6" t="str">
        <f>IFERROR(__xludf.DUMMYFUNCTION("""COMPUTED_VALUE""")," Howard Street, Sheffield, South Yorkshire, S11WB ")</f>
        <v> Howard Street, Sheffield, South Yorkshire, S11WB </v>
      </c>
      <c r="C293" s="6" t="str">
        <f>IFERROR(__xludf.DUMMYFUNCTION("""COMPUTED_VALUE""")," 0114 225 5555 ")</f>
        <v> 0114 225 5555 </v>
      </c>
      <c r="D293" s="7" t="str">
        <f>IFERROR(__xludf.DUMMYFUNCTION("""COMPUTED_VALUE""")," https://www.shu.ac.uk/ ")</f>
        <v> https://www.shu.ac.uk/ </v>
      </c>
      <c r="E293" s="6" t="str">
        <f>IFERROR(__xludf.DUMMYFUNCTION("""COMPUTED_VALUE"""),"Stilla® Technologies is a Paris-based European Biotechnology company that 
focuses on accelerating the development of next-generation genetic tests by 
providing a ground-breaking and flexible digital PCR (dPCR) solution: the 
naica® system. Taking advant"&amp;"age of cutting-edge microfluidic innovations, 
Stilla® aims to make dPCR a lab commodity in all Life Sciences areas: 
research, therapeutics, and all the “omics”. Crystal Digital PCR™ is 
Stilla’s next-generation technology for absolute quantification of "&amp;"nucleic 
acids. Using cutting-edge microfluidic innovations, this technology 
integrates the Digital PCR process in a single consumable. The Crystal 
digital PCR™ technology can be used for nucleic acid quantification in a 
wide range of assays including,"&amp;" but not limited to, oncology (copy number 
variation, mutation detection, rare event detection, therapeutic 
monitoring), infectious diseases (pathogen detection), food and GMO 
testing, Environmental testing, Gene editing and epigenetics, Neurobiology, "&amp;"
NIPT. Absolute DNA and RNA quantification, Whole genome amplification, 
Droplet recovery, NGS library calibration/NGS result validation.")</f>
        <v>Stilla® Technologies is a Paris-based European Biotechnology company that 
focuses on accelerating the development of next-generation genetic tests by 
providing a ground-breaking and flexible digital PCR (dPCR) solution: the 
naica® system. Taking advantage of cutting-edge microfluidic innovations, 
Stilla® aims to make dPCR a lab commodity in all Life Sciences areas: 
research, therapeutics, and all the “omics”. Crystal Digital PCR™ is 
Stilla’s next-generation technology for absolute quantification of nucleic 
acids. Using cutting-edge microfluidic innovations, this technology 
integrates the Digital PCR process in a single consumable. The Crystal 
digital PCR™ technology can be used for nucleic acid quantification in a 
wide range of assays including, but not limited to, oncology (copy number 
variation, mutation detection, rare event detection, therapeutic 
monitoring), infectious diseases (pathogen detection), food and GMO 
testing, Environmental testing, Gene editing and epigenetics, Neurobiology, 
NIPT. Absolute DNA and RNA quantification, Whole genome amplification, 
Droplet recovery, NGS library calibration/NGS result validation.</v>
      </c>
    </row>
    <row r="294">
      <c r="A294" s="6" t="str">
        <f>IFERROR(__xludf.DUMMYFUNCTION("""COMPUTED_VALUE"""),"Skin Life Analytics")</f>
        <v>Skin Life Analytics</v>
      </c>
      <c r="B294" s="6" t="str">
        <f>IFERROR(__xludf.DUMMYFUNCTION("""COMPUTED_VALUE""")," The Catalyst, 3 Science Square, Newcastle Helix, Newcastle upon Tyne, NE4 
5TG ")</f>
        <v> The Catalyst, 3 Science Square, Newcastle Helix, Newcastle upon Tyne, NE4 
5TG </v>
      </c>
      <c r="C294" s="6">
        <f>IFERROR(__xludf.DUMMYFUNCTION("""COMPUTED_VALUE"""),7.908818941E9)</f>
        <v>7908818941</v>
      </c>
      <c r="D294" s="7" t="str">
        <f>IFERROR(__xludf.DUMMYFUNCTION("""COMPUTED_VALUE""")," https://skinlifeanalytics.com ")</f>
        <v> https://skinlifeanalytics.com </v>
      </c>
      <c r="E294" s="6" t="str">
        <f>IFERROR(__xludf.DUMMYFUNCTION("""COMPUTED_VALUE"""),"The company carries out contract research and processing at laboratory, 
pilot plant and commercial scale at its new site in Caernarfon. It is 
supported by excellent analytical facilities to promote the development and 
implementation of green and sustai"&amp;"nable chemistry into new products and 
processes, and has one of the most versatile small-scale CO2 process plants 
in the UK. These facilities and technologies are available to commercial 
companies and academic groups and we welcome collaborative resear"&amp;"ch 
projects. The principal activities of the company are:Extraction and 
fractionation of solid and liquid materialsReactions in supercritical CO2 
using biocatalystsProduction of ultraclean materials Impregnation of solid 
materials")</f>
        <v>The company carries out contract research and processing at laboratory, 
pilot plant and commercial scale at its new site in Caernarfon. It is 
supported by excellent analytical facilities to promote the development and 
implementation of green and sustainable chemistry into new products and 
processes, and has one of the most versatile small-scale CO2 process plants 
in the UK. These facilities and technologies are available to commercial 
companies and academic groups and we welcome collaborative research 
projects. The principal activities of the company are:Extraction and 
fractionation of solid and liquid materialsReactions in supercritical CO2 
using biocatalystsProduction of ultraclean materials Impregnation of solid 
materials</v>
      </c>
    </row>
    <row r="295">
      <c r="A295" s="6" t="str">
        <f>IFERROR(__xludf.DUMMYFUNCTION("""COMPUTED_VALUE"""),"Sky Medical")</f>
        <v>Sky Medical</v>
      </c>
      <c r="B295" s="6" t="str">
        <f>IFERROR(__xludf.DUMMYFUNCTION("""COMPUTED_VALUE""")," Sky Medical, Daresbury Science and Innovation Campus, Keckwick Lane, 
Daresbury, Cheshire, WA4 4FS ")</f>
        <v> Sky Medical, Daresbury Science and Innovation Campus, Keckwick Lane, 
Daresbury, Cheshire, WA4 4FS </v>
      </c>
      <c r="C295" s="6" t="str">
        <f>IFERROR(__xludf.DUMMYFUNCTION("""COMPUTED_VALUE""")," 01494 572040 ")</f>
        <v> 01494 572040 </v>
      </c>
      <c r="D295" s="7" t="str">
        <f>IFERROR(__xludf.DUMMYFUNCTION("""COMPUTED_VALUE""")," http://www.gekodevices.com ")</f>
        <v> http://www.gekodevices.com </v>
      </c>
      <c r="E295" s="6" t="str">
        <f>IFERROR(__xludf.DUMMYFUNCTION("""COMPUTED_VALUE"""),"Integrated Drug Discovery CRO undertaking Drug Discovery research for 
Pharmaceutical and Biotechnology companies.")</f>
        <v>Integrated Drug Discovery CRO undertaking Drug Discovery research for 
Pharmaceutical and Biotechnology companies.</v>
      </c>
    </row>
    <row r="296">
      <c r="A296" s="6" t="str">
        <f>IFERROR(__xludf.DUMMYFUNCTION("""COMPUTED_VALUE"""),"Slater Heelis Ltd.")</f>
        <v>Slater Heelis Ltd.</v>
      </c>
      <c r="B296" s="6" t="str">
        <f>IFERROR(__xludf.DUMMYFUNCTION("""COMPUTED_VALUE""")," 16 School Road, 16 School Road, Sale, Greater Manchester, M33 7XP ")</f>
        <v> 16 School Road, 16 School Road, Sale, Greater Manchester, M33 7XP </v>
      </c>
      <c r="C296" s="6">
        <f>IFERROR(__xludf.DUMMYFUNCTION("""COMPUTED_VALUE"""),1.619693131E9)</f>
        <v>1619693131</v>
      </c>
      <c r="D296" s="7" t="str">
        <f>IFERROR(__xludf.DUMMYFUNCTION("""COMPUTED_VALUE""")," http://www.slaterheelis.co.uk ")</f>
        <v> http://www.slaterheelis.co.uk </v>
      </c>
      <c r="E296" s="6" t="str">
        <f>IFERROR(__xludf.DUMMYFUNCTION("""COMPUTED_VALUE"""),"Synergy is SRG’s niche CRO. We occupy a unique space in the industry 
offering a smarter, scalable approach to outsourcing and an enviable 
customer retention and satisfaction record.Synergy Clinical manage and 
report Clinical Research data in the Pharma"&amp;"ceutical, Biotech, FMCG, Medical 
Device and Contract Research Organisation (CRO) industries.")</f>
        <v>Synergy is SRG’s niche CRO. We occupy a unique space in the industry 
offering a smarter, scalable approach to outsourcing and an enviable 
customer retention and satisfaction record.Synergy Clinical manage and 
report Clinical Research data in the Pharmaceutical, Biotech, FMCG, Medical 
Device and Contract Research Organisation (CRO) industries.</v>
      </c>
    </row>
    <row r="297">
      <c r="A297" s="6" t="str">
        <f>IFERROR(__xludf.DUMMYFUNCTION("""COMPUTED_VALUE"""),"Source Bioscience Ltd")</f>
        <v>Source Bioscience Ltd</v>
      </c>
      <c r="B297" s="6" t="str">
        <f>IFERROR(__xludf.DUMMYFUNCTION("""COMPUTED_VALUE""")," 1 Orchard Place, Nottingham Business Park, Nottingham, NG8 6PX ")</f>
        <v> 1 Orchard Place, Nottingham Business Park, Nottingham, NG8 6PX </v>
      </c>
      <c r="C297" s="6" t="str">
        <f>IFERROR(__xludf.DUMMYFUNCTION("""COMPUTED_VALUE""")," 0115 973 9012 ")</f>
        <v> 0115 973 9012 </v>
      </c>
      <c r="D297" s="7" t="str">
        <f>IFERROR(__xludf.DUMMYFUNCTION("""COMPUTED_VALUE""")," http://www.sourcebioscience.com ")</f>
        <v> http://www.sourcebioscience.com </v>
      </c>
      <c r="E297" s="6" t="str">
        <f>IFERROR(__xludf.DUMMYFUNCTION("""COMPUTED_VALUE"""),"Tarleton Communications is a specialist life sciences public relations 
agency. We help biotech, pharmaceutical and medical device businesses, and 
those in the supply chain, to raise their profile and improve the way they 
communicate. We have a successf"&amp;"ul track record of helping start-ups and 
SMEs to raise their profile with investors, build pipelines and establish 
reputations that help them secure commercial partnerships with global 
industry players. We also work with science parks, universities and"&amp;" larger 
organisations to help them win share of mind, strengthen positioning and 
better manage valuable reputations. All of our work is delivered in-house, 
enabling us to deliver excellent quality, genuine sector expertise and 
exceptional client servi"&amp;"ce. Our core services include strategy development, 
PR, public affairs, content marketing and social media management.")</f>
        <v>Tarleton Communications is a specialist life sciences public relations 
agency. We help biotech, pharmaceutical and medical device businesses, and 
those in the supply chain, to raise their profile and improve the way they 
communicate. We have a successful track record of helping start-ups and 
SMEs to raise their profile with investors, build pipelines and establish 
reputations that help them secure commercial partnerships with global 
industry players. We also work with science parks, universities and larger 
organisations to help them win share of mind, strengthen positioning and 
better manage valuable reputations. All of our work is delivered in-house, 
enabling us to deliver excellent quality, genuine sector expertise and 
exceptional client service. Our core services include strategy development, 
PR, public affairs, content marketing and social media management.</v>
      </c>
    </row>
    <row r="298">
      <c r="A298" s="6" t="str">
        <f>IFERROR(__xludf.DUMMYFUNCTION("""COMPUTED_VALUE"""),"Square One Law")</f>
        <v>Square One Law</v>
      </c>
      <c r="B298" s="6" t="str">
        <f>IFERROR(__xludf.DUMMYFUNCTION("""COMPUTED_VALUE""")," Anson House, Fleming Business Centre, Jesmond, Newcastle upon Tyne, NE2 
3AE ")</f>
        <v> Anson House, Fleming Business Centre, Jesmond, Newcastle upon Tyne, NE2 
3AE </v>
      </c>
      <c r="C298" s="6" t="str">
        <f>IFERROR(__xludf.DUMMYFUNCTION("""COMPUTED_VALUE""")," 0843 224 7900 ")</f>
        <v> 0843 224 7900 </v>
      </c>
      <c r="D298" s="7" t="str">
        <f>IFERROR(__xludf.DUMMYFUNCTION("""COMPUTED_VALUE""")," http://www.squareonelaw.com ")</f>
        <v> http://www.squareonelaw.com </v>
      </c>
      <c r="E298" s="6" t="str">
        <f>IFERROR(__xludf.DUMMYFUNCTION("""COMPUTED_VALUE"""),"No matter how small or large the challenge, Team-Compliance have the skills 
and flexibility to deliver your solution in the most time and 
cost-effective, compliant way.")</f>
        <v>No matter how small or large the challenge, Team-Compliance have the skills 
and flexibility to deliver your solution in the most time and 
cost-effective, compliant way.</v>
      </c>
    </row>
    <row r="299">
      <c r="A299" s="6" t="str">
        <f>IFERROR(__xludf.DUMMYFUNCTION("""COMPUTED_VALUE"""),"Sterling Pharma Solutions")</f>
        <v>Sterling Pharma Solutions</v>
      </c>
      <c r="B299" s="6" t="str">
        <f>IFERROR(__xludf.DUMMYFUNCTION("""COMPUTED_VALUE""")," Sterling Place, Dudley, Cramlington, Newcastle Upon tyne, Tyne and Wear, 
NE23 7QG ")</f>
        <v> Sterling Place, Dudley, Cramlington, Newcastle Upon tyne, Tyne and Wear, 
NE23 7QG </v>
      </c>
      <c r="C299" s="6" t="str">
        <f>IFERROR(__xludf.DUMMYFUNCTION("""COMPUTED_VALUE""")," 0191-2504071 ")</f>
        <v> 0191-2504071 </v>
      </c>
      <c r="D299" s="7" t="str">
        <f>IFERROR(__xludf.DUMMYFUNCTION("""COMPUTED_VALUE""")," https://www.sterlingpharmasolutions.com/ ")</f>
        <v> https://www.sterlingpharmasolutions.com/ </v>
      </c>
      <c r="E299" s="6" t="str">
        <f>IFERROR(__xludf.DUMMYFUNCTION("""COMPUTED_VALUE"""),"Tees Valley is at the forefront of life sciences opportunities in the UK 
with four highly-regarded NHS trusts, a world-class university producing 
8,350 health and social care students and the new National Biologics 
Manufacturing Centre, all supporting "&amp;"the wealth of global healthcare, 
biologics and pharmaceutical companies already thriving here. The Tees 
Valley Combined Authority (TVCA) helps life sciences companies to locate 
and grow their operations in Tees Valley, providing assistance with 
busine"&amp;"ss accommodation, skills support, financial incentives and supply 
chain integration. TVCA is the combined authority for the Tees Valley urban 
area in England consisting of the following five unitary authorities: 
Darlington, Hartlepool, Middlesbrough, R"&amp;"edcar and Cleveland and 
Stockton-on-Tees, covering a population of approximately 700,000 people. It 
is a strategic authority with powers over transport, economic development 
and regeneration.")</f>
        <v>Tees Valley is at the forefront of life sciences opportunities in the UK 
with four highly-regarded NHS trusts, a world-class university producing 
8,350 health and social care students and the new National Biologics 
Manufacturing Centre, all supporting the wealth of global healthcare, 
biologics and pharmaceutical companies already thriving here. The Tees 
Valley Combined Authority (TVCA) helps life sciences companies to locate 
and grow their operations in Tees Valley, providing assistance with 
business accommodation, skills support, financial incentives and supply 
chain integration. TVCA is the combined authority for the Tees Valley urban 
area in England consisting of the following five unitary authorities: 
Darlington, Hartlepool, Middlesbrough, Redcar and Cleveland and 
Stockton-on-Tees, covering a population of approximately 700,000 people. It 
is a strategic authority with powers over transport, economic development 
and regeneration.</v>
      </c>
    </row>
    <row r="300">
      <c r="A300" s="6" t="str">
        <f>IFERROR(__xludf.DUMMYFUNCTION("""COMPUTED_VALUE"""),"Stilla Technologies")</f>
        <v>Stilla Technologies</v>
      </c>
      <c r="B300" s="6" t="str">
        <f>IFERROR(__xludf.DUMMYFUNCTION("""COMPUTED_VALUE""")," Biopark 1, 1 Mail du Professeur Georges Mathé, Paris, France, 94800 ")</f>
        <v> Biopark 1, 1 Mail du Professeur Georges Mathé, Paris, France, 94800 </v>
      </c>
      <c r="C300" s="6">
        <f>IFERROR(__xludf.DUMMYFUNCTION("""COMPUTED_VALUE"""),4.47446206534E11)</f>
        <v>447446206534</v>
      </c>
      <c r="D300" s="7" t="str">
        <f>IFERROR(__xludf.DUMMYFUNCTION("""COMPUTED_VALUE""")," https://www.stillatechnologies.com/ ")</f>
        <v> https://www.stillatechnologies.com/ </v>
      </c>
      <c r="E300" s="6" t="str">
        <f>IFERROR(__xludf.DUMMYFUNCTION("""COMPUTED_VALUE"""),"Manufacturer of high barrier to entry aseptic products")</f>
        <v>Manufacturer of high barrier to entry aseptic products</v>
      </c>
    </row>
    <row r="301">
      <c r="A301" s="6" t="str">
        <f>IFERROR(__xludf.DUMMYFUNCTION("""COMPUTED_VALUE"""),"Suprex")</f>
        <v>Suprex</v>
      </c>
      <c r="B301" s="6" t="str">
        <f>IFERROR(__xludf.DUMMYFUNCTION("""COMPUTED_VALUE""")," Unit 10, Zone 6, Cibyn Industrial Estate, Caernarfon, LL55 2BD ")</f>
        <v> Unit 10, Zone 6, Cibyn Industrial Estate, Caernarfon, LL55 2BD </v>
      </c>
      <c r="C301" s="6" t="str">
        <f>IFERROR(__xludf.DUMMYFUNCTION("""COMPUTED_VALUE""")," 01286 840015 ")</f>
        <v> 01286 840015 </v>
      </c>
      <c r="D301" s="7" t="str">
        <f>IFERROR(__xludf.DUMMYFUNCTION("""COMPUTED_VALUE""")," http://www.suprex.uk/ ")</f>
        <v> http://www.suprex.uk/ </v>
      </c>
      <c r="E301" s="6" t="str">
        <f>IFERROR(__xludf.DUMMYFUNCTION("""COMPUTED_VALUE"""),"Architectural , Interior , Landscape &amp; Masterplanning Services")</f>
        <v>Architectural , Interior , Landscape &amp; Masterplanning Services</v>
      </c>
    </row>
    <row r="302">
      <c r="A302" s="6" t="str">
        <f>IFERROR(__xludf.DUMMYFUNCTION("""COMPUTED_VALUE"""),"Sygnature Discovery Limited")</f>
        <v>Sygnature Discovery Limited</v>
      </c>
      <c r="B302" s="6" t="str">
        <f>IFERROR(__xludf.DUMMYFUNCTION("""COMPUTED_VALUE""")," BioCity, Pennyfoot Street, Nottingham, NG1 1GR ")</f>
        <v> BioCity, Pennyfoot Street, Nottingham, NG1 1GR </v>
      </c>
      <c r="C302" s="6" t="str">
        <f>IFERROR(__xludf.DUMMYFUNCTION("""COMPUTED_VALUE""")," 01159 415401 ")</f>
        <v> 01159 415401 </v>
      </c>
      <c r="D302" s="7" t="str">
        <f>IFERROR(__xludf.DUMMYFUNCTION("""COMPUTED_VALUE""")," http://www.sygnaturediscovery.com/ ")</f>
        <v> http://www.sygnaturediscovery.com/ </v>
      </c>
      <c r="E302" s="6" t="str">
        <f>IFERROR(__xludf.DUMMYFUNCTION("""COMPUTED_VALUE"""),"Tiro is a leading training provider for science and technology 
apprenticeships. We’ve been helping hungry apprentices to join ambitious 
businesses since 2005. At Tiro, we really believe that great 
apprenticeships help everyone. An apprentice can re-ene"&amp;"rgise their 
employer’s business by injecting new blood. That’s why we only work with 
the very best candidates. We’re picky about the employers we’ll work with 
too. They have to be prepared to nurture every apprentice. That way, 
everyone benefits. Ther"&amp;"e are remarkable apprentices out there just waiting 
to be found, and fantastic employment opportunities waiting to be filled. 
Tiro apprentices could be developing new coronavirus vaccines, finding ways 
to help humanity through technology, or tackling c"&amp;"limate change. With the 
right match, Tiro apprentices can change the world.")</f>
        <v>Tiro is a leading training provider for science and technology 
apprenticeships. We’ve been helping hungry apprentices to join ambitious 
businesses since 2005. At Tiro, we really believe that great 
apprenticeships help everyone. An apprentice can re-energise their 
employer’s business by injecting new blood. That’s why we only work with 
the very best candidates. We’re picky about the employers we’ll work with 
too. They have to be prepared to nurture every apprentice. That way, 
everyone benefits. There are remarkable apprentices out there just waiting 
to be found, and fantastic employment opportunities waiting to be filled. 
Tiro apprentices could be developing new coronavirus vaccines, finding ways 
to help humanity through technology, or tackling climate change. With the 
right match, Tiro apprentices can change the world.</v>
      </c>
    </row>
    <row r="303">
      <c r="A303" s="6" t="str">
        <f>IFERROR(__xludf.DUMMYFUNCTION("""COMPUTED_VALUE"""),"Synergy Clinical")</f>
        <v>Synergy Clinical</v>
      </c>
      <c r="B303" s="6" t="str">
        <f>IFERROR(__xludf.DUMMYFUNCTION("""COMPUTED_VALUE""")," Buckland House, 10 Waterside Drive, Langley Business Park, Slough, SL3 6EZ ")</f>
        <v> Buckland House, 10 Waterside Drive, Langley Business Park, Slough, SL3 6EZ </v>
      </c>
      <c r="C303" s="6" t="str">
        <f>IFERROR(__xludf.DUMMYFUNCTION("""COMPUTED_VALUE""")," 07788 368 722 ")</f>
        <v> 07788 368 722 </v>
      </c>
      <c r="D303" s="7" t="str">
        <f>IFERROR(__xludf.DUMMYFUNCTION("""COMPUTED_VALUE""")," http://www.synergyoutsourcing.com/clinical ")</f>
        <v> http://www.synergyoutsourcing.com/clinical </v>
      </c>
      <c r="E303" s="6" t="str">
        <f>IFERROR(__xludf.DUMMYFUNCTION("""COMPUTED_VALUE"""),"Since its foundation in 1946, TCI’s philosophy has been to contribute to 
society through the manufacturing and supply of organic laboratory 
chemicals. We are proud that, today, our company offers more than 30,000 
quality reagents on a global basis. In "&amp;"recent years, our business has also 
expanded to the manufacturing of fine chemicals such as pharmaceutical and 
cosmetic raw materials, electroluminescent compounds, and building blocks 
for liquid crystals. Our offices and research laboratories in Japan"&amp;" employ 
more than 300 people. TCI has also established affiliate companies, 
manufacturing sites and its own overseas offices in the USA, Europe and 
China. In the belief that chemistry is a key to life, and to help open the 
door to a bright future, we "&amp;"constantly seek to improve our technology and 
skills. Our aim is always to provide a growing and valuable range of 
research products and to reach ever higher levels of quality, and customer 
service.")</f>
        <v>Since its foundation in 1946, TCI’s philosophy has been to contribute to 
society through the manufacturing and supply of organic laboratory 
chemicals. We are proud that, today, our company offers more than 30,000 
quality reagents on a global basis. In recent years, our business has also 
expanded to the manufacturing of fine chemicals such as pharmaceutical and 
cosmetic raw materials, electroluminescent compounds, and building blocks 
for liquid crystals. Our offices and research laboratories in Japan employ 
more than 300 people. TCI has also established affiliate companies, 
manufacturing sites and its own overseas offices in the USA, Europe and 
China. In the belief that chemistry is a key to life, and to help open the 
door to a bright future, we constantly seek to improve our technology and 
skills. Our aim is always to provide a growing and valuable range of 
research products and to reach ever higher levels of quality, and customer 
service.</v>
      </c>
    </row>
    <row r="304">
      <c r="A304" s="6" t="str">
        <f>IFERROR(__xludf.DUMMYFUNCTION("""COMPUTED_VALUE"""),"Tarleton Communications")</f>
        <v>Tarleton Communications</v>
      </c>
      <c r="B304" s="6" t="str">
        <f>IFERROR(__xludf.DUMMYFUNCTION("""COMPUTED_VALUE""")," The Catalyst, Baird Lane, York Science Park, York, YO10 5GA ")</f>
        <v> The Catalyst, Baird Lane, York Science Park, York, YO10 5GA </v>
      </c>
      <c r="C304" s="6">
        <f>IFERROR(__xludf.DUMMYFUNCTION("""COMPUTED_VALUE"""),7.757087362E9)</f>
        <v>7757087362</v>
      </c>
      <c r="D304" s="7" t="str">
        <f>IFERROR(__xludf.DUMMYFUNCTION("""COMPUTED_VALUE""")," http://www.tarletoncomms.com ")</f>
        <v> http://www.tarletoncomms.com </v>
      </c>
      <c r="E304" s="6" t="str">
        <f>IFERROR(__xludf.DUMMYFUNCTION("""COMPUTED_VALUE"""),"Torx Software is a collaboration between Cresset and Elixir Software. The 
combination of their technologies forms Torx™, a ground-breaking platform 
for small molecule discovery chemistry, that inspires teams to work 
together and deliver faster.")</f>
        <v>Torx Software is a collaboration between Cresset and Elixir Software. The 
combination of their technologies forms Torx™, a ground-breaking platform 
for small molecule discovery chemistry, that inspires teams to work 
together and deliver faster.</v>
      </c>
    </row>
    <row r="305">
      <c r="A305" s="6" t="str">
        <f>IFERROR(__xludf.DUMMYFUNCTION("""COMPUTED_VALUE"""),"Team-Compliance")</f>
        <v>Team-Compliance</v>
      </c>
      <c r="B305" s="6" t="str">
        <f>IFERROR(__xludf.DUMMYFUNCTION("""COMPUTED_VALUE""")," Lintonville Parkway, Ashington, NE63 9JZ ")</f>
        <v> Lintonville Parkway, Ashington, NE63 9JZ </v>
      </c>
      <c r="C305" s="6" t="str">
        <f>IFERROR(__xludf.DUMMYFUNCTION("""COMPUTED_VALUE""")," +44 (0)1335 630201 ")</f>
        <v> +44 (0)1335 630201 </v>
      </c>
      <c r="D305" s="7" t="str">
        <f>IFERROR(__xludf.DUMMYFUNCTION("""COMPUTED_VALUE""")," http://team-compliance.com/ ")</f>
        <v> http://team-compliance.com/ </v>
      </c>
      <c r="E305" s="6" t="str">
        <f>IFERROR(__xludf.DUMMYFUNCTION("""COMPUTED_VALUE"""),"Track Real Estate is a life science focused commercial property consultancy 
specialising in lab &amp; office space. Track provides lab &amp; office occupiers 
with strategic property advice to ensure their real estate strategy 
supports their core business strat"&amp;"egy. Services include search &amp; 
acquisition advice for new premises, lease renewal and rent review advice. 
Track Real Estate also has a range of lab &amp; office space available to lease 
on their website.")</f>
        <v>Track Real Estate is a life science focused commercial property consultancy 
specialising in lab &amp; office space. Track provides lab &amp; office occupiers 
with strategic property advice to ensure their real estate strategy 
supports their core business strategy. Services include search &amp; 
acquisition advice for new premises, lease renewal and rent review advice. 
Track Real Estate also has a range of lab &amp; office space available to lease 
on their website.</v>
      </c>
    </row>
    <row r="306">
      <c r="A306" s="6" t="str">
        <f>IFERROR(__xludf.DUMMYFUNCTION("""COMPUTED_VALUE"""),"Tees Valley Combined Authority")</f>
        <v>Tees Valley Combined Authority</v>
      </c>
      <c r="B306" s="6" t="str">
        <f>IFERROR(__xludf.DUMMYFUNCTION("""COMPUTED_VALUE""")," Cavendish House, Teesdale Business Park, Stockton on Tees, TS17 6QY ")</f>
        <v> Cavendish House, Teesdale Business Park, Stockton on Tees, TS17 6QY </v>
      </c>
      <c r="C306" s="6" t="str">
        <f>IFERROR(__xludf.DUMMYFUNCTION("""COMPUTED_VALUE""")," 01642 632007 ")</f>
        <v> 01642 632007 </v>
      </c>
      <c r="D306" s="7" t="str">
        <f>IFERROR(__xludf.DUMMYFUNCTION("""COMPUTED_VALUE""")," http://teesvalley-ca.gov.uk/ ")</f>
        <v> http://teesvalley-ca.gov.uk/ </v>
      </c>
      <c r="E306" s="6" t="str">
        <f>IFERROR(__xludf.DUMMYFUNCTION("""COMPUTED_VALUE"""),"API bulk manufacturing of animal health and human biotech drug substance 
and other veterinary drug products")</f>
        <v>API bulk manufacturing of animal health and human biotech drug substance 
and other veterinary drug products</v>
      </c>
    </row>
    <row r="307">
      <c r="A307" s="6" t="str">
        <f>IFERROR(__xludf.DUMMYFUNCTION("""COMPUTED_VALUE"""),"Teva Runcorn")</f>
        <v>Teva Runcorn</v>
      </c>
      <c r="B307" s="6" t="str">
        <f>IFERROR(__xludf.DUMMYFUNCTION("""COMPUTED_VALUE""")," Aston Lane North, Whitehouse Industrial Estate, Preston Brook, Runcorn, 
WA73FA ")</f>
        <v> Aston Lane North, Whitehouse Industrial Estate, Preston Brook, Runcorn, 
WA73FA </v>
      </c>
      <c r="C307" s="6" t="str">
        <f>IFERROR(__xludf.DUMMYFUNCTION("""COMPUTED_VALUE""")," 01928 703678 ")</f>
        <v> 01928 703678 </v>
      </c>
      <c r="D307" s="7" t="str">
        <f>IFERROR(__xludf.DUMMYFUNCTION("""COMPUTED_VALUE""")," http://www.tevaruncornjobs.co.uk ")</f>
        <v> http://www.tevaruncornjobs.co.uk </v>
      </c>
      <c r="E307" s="6" t="str">
        <f>IFERROR(__xludf.DUMMYFUNCTION("""COMPUTED_VALUE"""),"With an experienced team and innovative products, TRUPCR Europe supplies 
its range of TRUPCR high quality CE-IVD molecular diagnostic products 
throughout Europe. Specialising in oncology, infectious disease and 
coagulation, our innovative products offe"&amp;"r superior performance, accuracy 
and precision.")</f>
        <v>With an experienced team and innovative products, TRUPCR Europe supplies 
its range of TRUPCR high quality CE-IVD molecular diagnostic products 
throughout Europe. Specialising in oncology, infectious disease and 
coagulation, our innovative products offer superior performance, accuracy 
and precision.</v>
      </c>
    </row>
    <row r="308">
      <c r="A308" s="6" t="str">
        <f>IFERROR(__xludf.DUMMYFUNCTION("""COMPUTED_VALUE"""),"The Fairhursts Design Group Ltd")</f>
        <v>The Fairhursts Design Group Ltd</v>
      </c>
      <c r="B308" s="6" t="str">
        <f>IFERROR(__xludf.DUMMYFUNCTION("""COMPUTED_VALUE""")," 3rd Floor , 55 King St, Manchester, M2 4LQ ")</f>
        <v> 3rd Floor , 55 King St, Manchester, M2 4LQ </v>
      </c>
      <c r="C308" s="6" t="str">
        <f>IFERROR(__xludf.DUMMYFUNCTION("""COMPUTED_VALUE""")," 0161 8317300 ")</f>
        <v> 0161 8317300 </v>
      </c>
      <c r="D308" s="7" t="str">
        <f>IFERROR(__xludf.DUMMYFUNCTION("""COMPUTED_VALUE""")," http://fairhursts.com/ ")</f>
        <v> http://fairhursts.com/ </v>
      </c>
      <c r="E308" s="6" t="str">
        <f>IFERROR(__xludf.DUMMYFUNCTION("""COMPUTED_VALUE"""),"UKHSA’s Specialist Microbiology Services (SMS) is a network of 8 specialist 
clinical laboratories providing a comprehensive range of clinical 
microbiology, molecular diagnostic, and wider public health microbiology 
testing services to both the NHS and "&amp;"the private healthcare sector. SMS 
also includes 3 dedicated food, water and environmental (FW&amp;E) testing 
hubs, who undertake statutory testing for the NHS, local authorities, and 
key industry partners. In addition, SMS provides contract research and 
"&amp;"sample access services to the global pharma, IVD, and wider life sciences 
sector (including academia) with a specific focus on the evaluation of new 
antimicrobials, vaccines, and infectious disease diagnostics. For more 
information on any of the above "&amp;"contact Alan Weddell (Senior Business 
Development Manager – Specialist Microbiology Services) 
Alan.Weddell@ukhsa.gov.uk")</f>
        <v>UKHSA’s Specialist Microbiology Services (SMS) is a network of 8 specialist 
clinical laboratories providing a comprehensive range of clinical 
microbiology, molecular diagnostic, and wider public health microbiology 
testing services to both the NHS and the private healthcare sector. SMS 
also includes 3 dedicated food, water and environmental (FW&amp;E) testing 
hubs, who undertake statutory testing for the NHS, local authorities, and 
key industry partners. In addition, SMS provides contract research and 
sample access services to the global pharma, IVD, and wider life sciences 
sector (including academia) with a specific focus on the evaluation of new 
antimicrobials, vaccines, and infectious disease diagnostics. For more 
information on any of the above contact Alan Weddell (Senior Business 
Development Manager – Specialist Microbiology Services) 
Alan.Weddell@ukhsa.gov.uk</v>
      </c>
    </row>
    <row r="309">
      <c r="A309" s="6" t="str">
        <f>IFERROR(__xludf.DUMMYFUNCTION("""COMPUTED_VALUE"""),"Tiro")</f>
        <v>Tiro</v>
      </c>
      <c r="B309" s="6" t="str">
        <f>IFERROR(__xludf.DUMMYFUNCTION("""COMPUTED_VALUE""")," Faraday Wharf, Holt Street, Birmingham, West Midlands, B7 4BB ")</f>
        <v> Faraday Wharf, Holt Street, Birmingham, West Midlands, B7 4BB </v>
      </c>
      <c r="C309" s="6" t="str">
        <f>IFERROR(__xludf.DUMMYFUNCTION("""COMPUTED_VALUE""")," 01273 776779 ")</f>
        <v> 01273 776779 </v>
      </c>
      <c r="D309" s="7" t="str">
        <f>IFERROR(__xludf.DUMMYFUNCTION("""COMPUTED_VALUE""")," https://tiro.co.uk/ ")</f>
        <v> https://tiro.co.uk/ </v>
      </c>
      <c r="E309" s="6" t="str">
        <f>IFERROR(__xludf.DUMMYFUNCTION("""COMPUTED_VALUE"""),"UL EduNeering provides Quality and Compliance E-learning programs to 
hundreds of companies in the Pharmaceutical, Medical Device, and 
Biotechnology sectors -- the very same training, in fact, that we provide 
to all FDA inspectors around the globe.")</f>
        <v>UL EduNeering provides Quality and Compliance E-learning programs to 
hundreds of companies in the Pharmaceutical, Medical Device, and 
Biotechnology sectors -- the very same training, in fact, that we provide 
to all FDA inspectors around the globe.</v>
      </c>
    </row>
    <row r="310">
      <c r="A310" s="6" t="str">
        <f>IFERROR(__xludf.DUMMYFUNCTION("""COMPUTED_VALUE"""),"Tokyo Chemical Industry UK LTD")</f>
        <v>Tokyo Chemical Industry UK LTD</v>
      </c>
      <c r="B310" s="6" t="str">
        <f>IFERROR(__xludf.DUMMYFUNCTION("""COMPUTED_VALUE""")," The Magdalen Centre, Robert Robinson Avenue, The Oxford Science Park, 
Oxford, Oxfordshire, OX4 4GA ")</f>
        <v> The Magdalen Centre, Robert Robinson Avenue, The Oxford Science Park, 
Oxford, Oxfordshire, OX4 4GA </v>
      </c>
      <c r="C310" s="6" t="str">
        <f>IFERROR(__xludf.DUMMYFUNCTION("""COMPUTED_VALUE""")," 01865 784560 ")</f>
        <v> 01865 784560 </v>
      </c>
      <c r="D310" s="7" t="str">
        <f>IFERROR(__xludf.DUMMYFUNCTION("""COMPUTED_VALUE""")," https://www.tcichemicals.com/GB/en/ ")</f>
        <v> https://www.tcichemicals.com/GB/en/ </v>
      </c>
      <c r="E310" s="6" t="str">
        <f>IFERROR(__xludf.DUMMYFUNCTION("""COMPUTED_VALUE"""),"Innovation, research and development as well as education and training at 
Bolton University focus on the development of smart materials, 
biomaterials, healthcare, early diagnostic devices and intelligent sensor 
devices. A new centre, Bolton One is a £3"&amp;"2million facility is home to a 
special interdisciplinary centre that strives to improve everyone's health 
and fitness, the hub for research and development in Biomedical, Healthcare 
and Sports Sciences. Bolton University offer an undergraduate course i"&amp;"n 
Biomedical Engineering and the Institute of Material Research and 
Innovation offers an MSc course in Medical and Healthcare devices.")</f>
        <v>Innovation, research and development as well as education and training at 
Bolton University focus on the development of smart materials, 
biomaterials, healthcare, early diagnostic devices and intelligent sensor 
devices. A new centre, Bolton One is a £32million facility is home to a 
special interdisciplinary centre that strives to improve everyone's health 
and fitness, the hub for research and development in Biomedical, Healthcare 
and Sports Sciences. Bolton University offer an undergraduate course in 
Biomedical Engineering and the Institute of Material Research and 
Innovation offers an MSc course in Medical and Healthcare devices.</v>
      </c>
    </row>
    <row r="311">
      <c r="A311" s="6" t="str">
        <f>IFERROR(__xludf.DUMMYFUNCTION("""COMPUTED_VALUE"""),"Torx Software")</f>
        <v>Torx Software</v>
      </c>
      <c r="B311" s="6" t="str">
        <f>IFERROR(__xludf.DUMMYFUNCTION("""COMPUTED_VALUE""")," New Cambridge House, Bassingbourn Road, Litlington, Cambridgeshire, SG8 
0SS ")</f>
        <v> New Cambridge House, Bassingbourn Road, Litlington, Cambridgeshire, SG8 
0SS </v>
      </c>
      <c r="C311" s="6" t="str">
        <f>IFERROR(__xludf.DUMMYFUNCTION("""COMPUTED_VALUE""")," 01223 858890 ")</f>
        <v> 01223 858890 </v>
      </c>
      <c r="D311" s="7" t="str">
        <f>IFERROR(__xludf.DUMMYFUNCTION("""COMPUTED_VALUE""")," https://www.torx-software.com/ ")</f>
        <v> https://www.torx-software.com/ </v>
      </c>
      <c r="E311" s="6" t="str">
        <f>IFERROR(__xludf.DUMMYFUNCTION("""COMPUTED_VALUE"""),"The Department of Biology, University of York is making every effort to 
expand our network and forge collaborations with the biosciences industry.")</f>
        <v>The Department of Biology, University of York is making every effort to 
expand our network and forge collaborations with the biosciences industry.</v>
      </c>
    </row>
    <row r="312">
      <c r="A312" s="6" t="str">
        <f>IFERROR(__xludf.DUMMYFUNCTION("""COMPUTED_VALUE"""),"Track Real Estate")</f>
        <v>Track Real Estate</v>
      </c>
      <c r="B312" s="6" t="str">
        <f>IFERROR(__xludf.DUMMYFUNCTION("""COMPUTED_VALUE""")," Windmill Green, 24 Mount St, Manchester, M2 3NN ")</f>
        <v> Windmill Green, 24 Mount St, Manchester, M2 3NN </v>
      </c>
      <c r="C312" s="6" t="str">
        <f>IFERROR(__xludf.DUMMYFUNCTION("""COMPUTED_VALUE""")," 07788 975465 ")</f>
        <v> 07788 975465 </v>
      </c>
      <c r="D312" s="7" t="str">
        <f>IFERROR(__xludf.DUMMYFUNCTION("""COMPUTED_VALUE""")," http://trackrealestate.co.uk ")</f>
        <v> http://trackrealestate.co.uk </v>
      </c>
      <c r="E312" s="6" t="str">
        <f>IFERROR(__xludf.DUMMYFUNCTION("""COMPUTED_VALUE"""),"Videregen’s goal is to offer the world’s first commercially available organ 
replacement products to address the chronic shortage of organs for 
transplantation. Formed in 2011 as a spin-out from Northwick Park Institute 
of Medical Research in London, it"&amp;" uses its proprietary technology to 
produce biological scaffolds to which a patient’s own stem cells are added, 
creating a bespoke organ replacement.")</f>
        <v>Videregen’s goal is to offer the world’s first commercially available organ 
replacement products to address the chronic shortage of organs for 
transplantation. Formed in 2011 as a spin-out from Northwick Park Institute 
of Medical Research in London, it uses its proprietary technology to 
produce biological scaffolds to which a patient’s own stem cells are added, 
creating a bespoke organ replacement.</v>
      </c>
    </row>
    <row r="313">
      <c r="A313" s="6" t="str">
        <f>IFERROR(__xludf.DUMMYFUNCTION("""COMPUTED_VALUE"""),"TriRx Pharmaceuticals Services")</f>
        <v>TriRx Pharmaceuticals Services</v>
      </c>
      <c r="B313" s="6" t="str">
        <f>IFERROR(__xludf.DUMMYFUNCTION("""COMPUTED_VALUE""")," Fleming Road, Liverpool, L24 9LN ")</f>
        <v> Fleming Road, Liverpool, L24 9LN </v>
      </c>
      <c r="C313" s="6">
        <f>IFERROR(__xludf.DUMMYFUNCTION("""COMPUTED_VALUE"""),1.514863939E9)</f>
        <v>1514863939</v>
      </c>
      <c r="D313" s="7" t="str">
        <f>IFERROR(__xludf.DUMMYFUNCTION("""COMPUTED_VALUE""")," http://www.TriRx.com ")</f>
        <v> http://www.TriRx.com </v>
      </c>
      <c r="E313" s="6" t="str">
        <f>IFERROR(__xludf.DUMMYFUNCTION("""COMPUTED_VALUE"""),"Contract testing laboratory offering a comprehensive range of standard and 
customized microbiological testing services, with a focus on virology.")</f>
        <v>Contract testing laboratory offering a comprehensive range of standard and 
customized microbiological testing services, with a focus on virology.</v>
      </c>
    </row>
    <row r="314">
      <c r="A314" s="6" t="str">
        <f>IFERROR(__xludf.DUMMYFUNCTION("""COMPUTED_VALUE"""),"TRUPCR Europe Limited")</f>
        <v>TRUPCR Europe Limited</v>
      </c>
      <c r="B314" s="6" t="str">
        <f>IFERROR(__xludf.DUMMYFUNCTION("""COMPUTED_VALUE""")," Unit 6, Williams House, Lloyd Street North, Manchester Science Park, 
Manchester, ENG, M15 6SE ")</f>
        <v> Unit 6, Williams House, Lloyd Street North, Manchester Science Park, 
Manchester, ENG, M15 6SE </v>
      </c>
      <c r="C314" s="6">
        <f>IFERROR(__xludf.DUMMYFUNCTION("""COMPUTED_VALUE"""),1.619434731E9)</f>
        <v>1619434731</v>
      </c>
      <c r="D314" s="7" t="str">
        <f>IFERROR(__xludf.DUMMYFUNCTION("""COMPUTED_VALUE""")," http://www.trupcr.com ")</f>
        <v> http://www.trupcr.com </v>
      </c>
      <c r="E314" s="6" t="str">
        <f>IFERROR(__xludf.DUMMYFUNCTION("""COMPUTED_VALUE"""),"Vitec Microgenix tackle to problem of Hospital Acquired Infections with our 
unique Infection Prevention &amp; Control System. Easy to install, easy to 
maintain with no disruption to the day-to-day running of any hospital, the 
products reduce infection rate"&amp;"s significantly. We are currently looking to 
commercialise after successful real-world evaluations.")</f>
        <v>Vitec Microgenix tackle to problem of Hospital Acquired Infections with our 
unique Infection Prevention &amp; Control System. Easy to install, easy to 
maintain with no disruption to the day-to-day running of any hospital, the 
products reduce infection rates significantly. We are currently looking to 
commercialise after successful real-world evaluations.</v>
      </c>
    </row>
    <row r="315">
      <c r="A315" s="6" t="str">
        <f>IFERROR(__xludf.DUMMYFUNCTION("""COMPUTED_VALUE"""),"UKHSA (UK Health Security Agency)")</f>
        <v>UKHSA (UK Health Security Agency)</v>
      </c>
      <c r="B315" s="6" t="str">
        <f>IFERROR(__xludf.DUMMYFUNCTION("""COMPUTED_VALUE""")," UK Health Security Agency, Floor 2, Citygate, St James' Boulevard, 
Newcastle-upon-Tyne, NE1 4WH ")</f>
        <v> UK Health Security Agency, Floor 2, Citygate, St James' Boulevard, 
Newcastle-upon-Tyne, NE1 4WH </v>
      </c>
      <c r="C315" s="6" t="str">
        <f>IFERROR(__xludf.DUMMYFUNCTION("""COMPUTED_VALUE""")," +44(0)782 534 2796 ")</f>
        <v> +44(0)782 534 2796 </v>
      </c>
      <c r="D315" s="7" t="str">
        <f>IFERROR(__xludf.DUMMYFUNCTION("""COMPUTED_VALUE""")," http://www.gov.uk/ukhsa ")</f>
        <v> http://www.gov.uk/ukhsa </v>
      </c>
      <c r="E315" s="6" t="str">
        <f>IFERROR(__xludf.DUMMYFUNCTION("""COMPUTED_VALUE"""),"Manufacturing and marketing of Contrelle Activgard, a unique bladder 
support for female incontinence")</f>
        <v>Manufacturing and marketing of Contrelle Activgard, a unique bladder 
support for female incontinence</v>
      </c>
    </row>
    <row r="316">
      <c r="A316" s="6" t="str">
        <f>IFERROR(__xludf.DUMMYFUNCTION("""COMPUTED_VALUE"""),"UL EduNeering")</f>
        <v>UL EduNeering</v>
      </c>
      <c r="B316" s="6" t="str">
        <f>IFERROR(__xludf.DUMMYFUNCTION("""COMPUTED_VALUE""")," 22 Wycombe End, Beaconsfield, Buckinghamshire, HP9 1NB ")</f>
        <v> 22 Wycombe End, Beaconsfield, Buckinghamshire, HP9 1NB </v>
      </c>
      <c r="C316" s="6" t="str">
        <f>IFERROR(__xludf.DUMMYFUNCTION("""COMPUTED_VALUE""")," 07887 768362 ")</f>
        <v> 07887 768362 </v>
      </c>
      <c r="D316" s="7" t="str">
        <f>IFERROR(__xludf.DUMMYFUNCTION("""COMPUTED_VALUE""")," http://www.uleduneering.com ")</f>
        <v> http://www.uleduneering.com </v>
      </c>
      <c r="E316" s="6" t="str">
        <f>IFERROR(__xludf.DUMMYFUNCTION("""COMPUTED_VALUE"""),"VRS specialise in Life Sciences, Chemistry, and Engineering technical 
recruitment – Permanent and Contract roles. Our goal is to match our 
candidates’ requirements for a new job to our clients’ requests – doing 
this ensures an appropriate fit for both "&amp;"parties when changing 
roles/undertaking new hires. VRS has a very strong record with candidate 
role retention and job satisfaction; we take pride in what we do! If your 
company is seeking new employees or you’re looking for a new challenge 
yourself, d"&amp;"on’t hesitate to get in touch with VRS Recruitment!")</f>
        <v>VRS specialise in Life Sciences, Chemistry, and Engineering technical 
recruitment – Permanent and Contract roles. Our goal is to match our 
candidates’ requirements for a new job to our clients’ requests – doing 
this ensures an appropriate fit for both parties when changing 
roles/undertaking new hires. VRS has a very strong record with candidate 
role retention and job satisfaction; we take pride in what we do! If your 
company is seeking new employees or you’re looking for a new challenge 
yourself, don’t hesitate to get in touch with VRS Recruitment!</v>
      </c>
    </row>
    <row r="317">
      <c r="A317" s="6" t="str">
        <f>IFERROR(__xludf.DUMMYFUNCTION("""COMPUTED_VALUE"""),"University of Bolton")</f>
        <v>University of Bolton</v>
      </c>
      <c r="B317" s="6" t="str">
        <f>IFERROR(__xludf.DUMMYFUNCTION("""COMPUTED_VALUE""")," Deane Road, Bolton, BL3 5AB ")</f>
        <v> Deane Road, Bolton, BL3 5AB </v>
      </c>
      <c r="C317" s="6" t="str">
        <f>IFERROR(__xludf.DUMMYFUNCTION("""COMPUTED_VALUE""")," 01204 900600 ")</f>
        <v> 01204 900600 </v>
      </c>
      <c r="D317" s="7" t="str">
        <f>IFERROR(__xludf.DUMMYFUNCTION("""COMPUTED_VALUE""")," http://www.bolton.ac.uk ")</f>
        <v> http://www.bolton.ac.uk </v>
      </c>
      <c r="E317" s="6" t="str">
        <f>IFERROR(__xludf.DUMMYFUNCTION("""COMPUTED_VALUE"""),"Top 100 legal law firm")</f>
        <v>Top 100 legal law firm</v>
      </c>
    </row>
    <row r="318">
      <c r="A318" s="6" t="str">
        <f>IFERROR(__xludf.DUMMYFUNCTION("""COMPUTED_VALUE"""),"University of York")</f>
        <v>University of York</v>
      </c>
      <c r="B318" s="6" t="str">
        <f>IFERROR(__xludf.DUMMYFUNCTION("""COMPUTED_VALUE""")," Department of Biology, University of York, Heslington, York, YO10 5DD ")</f>
        <v> Department of Biology, University of York, Heslington, York, YO10 5DD </v>
      </c>
      <c r="C318" s="6" t="str">
        <f>IFERROR(__xludf.DUMMYFUNCTION("""COMPUTED_VALUE""")," 01904 328540 ")</f>
        <v> 01904 328540 </v>
      </c>
      <c r="D318" s="7" t="str">
        <f>IFERROR(__xludf.DUMMYFUNCTION("""COMPUTED_VALUE""")," http://www.york.ac.uk/biology/ ")</f>
        <v> http://www.york.ac.uk/biology/ </v>
      </c>
      <c r="E318" s="6" t="str">
        <f>IFERROR(__xludf.DUMMYFUNCTION("""COMPUTED_VALUE"""),"Waters Corporation creates business advantages for laboratory-dependent 
organizations by delivering practical and sustainable scientific innovation 
to enable significant advancement in healthcare delivery, environmental 
management, food safety, and wat"&amp;"er quality. Waters products are used by 
pharmaceutical, life science, biochemical, industrial, academic and 
government organizations working in research and development, quality 
assurance and other laboratory applications. Waters UPLC, HPLC and MS 
ins"&amp;"truments and consumables are used in a broad range of industries to 
measure the chemical, physical and biological composition of materials.")</f>
        <v>Waters Corporation creates business advantages for laboratory-dependent 
organizations by delivering practical and sustainable scientific innovation 
to enable significant advancement in healthcare delivery, environmental 
management, food safety, and water quality. Waters products are used by 
pharmaceutical, life science, biochemical, industrial, academic and 
government organizations working in research and development, quality 
assurance and other laboratory applications. Waters UPLC, HPLC and MS 
instruments and consumables are used in a broad range of industries to 
measure the chemical, physical and biological composition of materials.</v>
      </c>
    </row>
    <row r="319">
      <c r="A319" s="6" t="str">
        <f>IFERROR(__xludf.DUMMYFUNCTION("""COMPUTED_VALUE"""),"Videregen")</f>
        <v>Videregen</v>
      </c>
      <c r="B319" s="6" t="str">
        <f>IFERROR(__xludf.DUMMYFUNCTION("""COMPUTED_VALUE""")," Innovation Centre 1, Liverpool Science Park, 131 Mount Pleasant, 
Liverpool, L3 5TF ")</f>
        <v> Innovation Centre 1, Liverpool Science Park, 131 Mount Pleasant, 
Liverpool, L3 5TF </v>
      </c>
      <c r="C319" s="6" t="str">
        <f>IFERROR(__xludf.DUMMYFUNCTION("""COMPUTED_VALUE""")," +44 (0) 151 482 9350 ")</f>
        <v> +44 (0) 151 482 9350 </v>
      </c>
      <c r="D319" s="7" t="str">
        <f>IFERROR(__xludf.DUMMYFUNCTION("""COMPUTED_VALUE""")," http://www.videregen.com/ ")</f>
        <v> http://www.videregen.com/ </v>
      </c>
      <c r="E319" s="6" t="str">
        <f>IFERROR(__xludf.DUMMYFUNCTION("""COMPUTED_VALUE"""),"Withnell Sensors are temperature and humidity specialists, proud to have 
been supporting the pharmaceutical and biotech industries for over 15 
years. Our team of engineers offer impartial advice and product solutions 
for a range of applications. We rep"&amp;"resent some of the world's leading 
brands for temperature monitoring and temperature process equipment. We are 
also UKAS accredited for a range of temperature and humidity calibration 
services.")</f>
        <v>Withnell Sensors are temperature and humidity specialists, proud to have 
been supporting the pharmaceutical and biotech industries for over 15 
years. Our team of engineers offer impartial advice and product solutions 
for a range of applications. We represent some of the world's leading 
brands for temperature monitoring and temperature process equipment. We are 
also UKAS accredited for a range of temperature and humidity calibration 
services.</v>
      </c>
    </row>
    <row r="320">
      <c r="A320" s="6" t="str">
        <f>IFERROR(__xludf.DUMMYFUNCTION("""COMPUTED_VALUE"""),"Virologica Limited")</f>
        <v>Virologica Limited</v>
      </c>
      <c r="B320" s="6" t="str">
        <f>IFERROR(__xludf.DUMMYFUNCTION("""COMPUTED_VALUE""")," Unit 14, Daresbury Court, Evenwood Close, Runcorn, WA7 1LZ ")</f>
        <v> Unit 14, Daresbury Court, Evenwood Close, Runcorn, WA7 1LZ </v>
      </c>
      <c r="C320" s="6" t="str">
        <f>IFERROR(__xludf.DUMMYFUNCTION("""COMPUTED_VALUE""")," 01925 909090 ")</f>
        <v> 01925 909090 </v>
      </c>
      <c r="D320" s="7" t="str">
        <f>IFERROR(__xludf.DUMMYFUNCTION("""COMPUTED_VALUE""")," https://www.virologica.co.uk ")</f>
        <v> https://www.virologica.co.uk </v>
      </c>
      <c r="E320" s="6" t="str">
        <f>IFERROR(__xludf.DUMMYFUNCTION("""COMPUTED_VALUE"""),"The most trusted specialty logistics company in the world. Trust. It’s why 
more leading pharmaceutical companies rely on World Courier than any other 
specialty logistics company in the world. Companies trust us as a crucial 
part of their clinical trial"&amp;" and commercial supply chain because they value 
the peace of mind that comes with our unsurpassed knowledge, global reach 
and flawless execution.")</f>
        <v>The most trusted specialty logistics company in the world. Trust. It’s why 
more leading pharmaceutical companies rely on World Courier than any other 
specialty logistics company in the world. Companies trust us as a crucial 
part of their clinical trial and commercial supply chain because they value 
the peace of mind that comes with our unsurpassed knowledge, global reach 
and flawless execution.</v>
      </c>
    </row>
    <row r="321">
      <c r="A321" s="6" t="str">
        <f>IFERROR(__xludf.DUMMYFUNCTION("""COMPUTED_VALUE"""),"Vitec Microgenix Limited")</f>
        <v>Vitec Microgenix Limited</v>
      </c>
      <c r="B321" s="6" t="str">
        <f>IFERROR(__xludf.DUMMYFUNCTION("""COMPUTED_VALUE""")," Dura Park, Yspitty Road, Bynea, Llanelli, SA14 9TD ")</f>
        <v> Dura Park, Yspitty Road, Bynea, Llanelli, SA14 9TD </v>
      </c>
      <c r="C321" s="6">
        <f>IFERROR(__xludf.DUMMYFUNCTION("""COMPUTED_VALUE"""),7.786190992E9)</f>
        <v>7786190992</v>
      </c>
      <c r="D321" s="7" t="str">
        <f>IFERROR(__xludf.DUMMYFUNCTION("""COMPUTED_VALUE""")," https://www.vitecmicrogenix.com ")</f>
        <v> https://www.vitecmicrogenix.com </v>
      </c>
      <c r="E321" s="6" t="str">
        <f>IFERROR(__xludf.DUMMYFUNCTION("""COMPUTED_VALUE"""),"European patent and trade mark attorneys with offices in Liverpool and 
London. Expertise in biotechnology, diagnostics and pharmaceutical 
patenting.")</f>
        <v>European patent and trade mark attorneys with offices in Liverpool and 
London. Expertise in biotechnology, diagnostics and pharmaceutical 
patenting.</v>
      </c>
    </row>
    <row r="322">
      <c r="A322" s="6" t="str">
        <f>IFERROR(__xludf.DUMMYFUNCTION("""COMPUTED_VALUE"""),"Viveca Biomed Ltd")</f>
        <v>Viveca Biomed Ltd</v>
      </c>
      <c r="B322" s="6" t="str">
        <f>IFERROR(__xludf.DUMMYFUNCTION("""COMPUTED_VALUE""")," Viveca Biomed Ltd, Unit 2, Network Business Centre, Rotary Parkway, Rotary 
Parkway, Ashington, Northumberland, NE63 8QU ")</f>
        <v> Viveca Biomed Ltd, Unit 2, Network Business Centre, Rotary Parkway, Rotary 
Parkway, Ashington, Northumberland, NE63 8QU </v>
      </c>
      <c r="C322" s="6">
        <f>IFERROR(__xludf.DUMMYFUNCTION("""COMPUTED_VALUE"""),3.302292161E9)</f>
        <v>3302292161</v>
      </c>
      <c r="D322" s="7" t="str">
        <f>IFERROR(__xludf.DUMMYFUNCTION("""COMPUTED_VALUE""")," https://www.contrelle.com ")</f>
        <v> https://www.contrelle.com </v>
      </c>
      <c r="E322" s="6" t="str">
        <f>IFERROR(__xludf.DUMMYFUNCTION("""COMPUTED_VALUE"""),"Parabiotics for biofilm-related pathologies including bacterial vaginosis, 
gut disease, and others.")</f>
        <v>Parabiotics for biofilm-related pathologies including bacterial vaginosis, 
gut disease, and others.</v>
      </c>
    </row>
    <row r="323">
      <c r="A323" s="6" t="str">
        <f>IFERROR(__xludf.DUMMYFUNCTION("""COMPUTED_VALUE"""),"VRS Ltd")</f>
        <v>VRS Ltd</v>
      </c>
      <c r="B323" s="6" t="str">
        <f>IFERROR(__xludf.DUMMYFUNCTION("""COMPUTED_VALUE""")," 26a Northenden Road, Sale, M33 3BR ")</f>
        <v> 26a Northenden Road, Sale, M33 3BR </v>
      </c>
      <c r="C323" s="6">
        <f>IFERROR(__xludf.DUMMYFUNCTION("""COMPUTED_VALUE"""),1.619764E9)</f>
        <v>1619764000</v>
      </c>
      <c r="D323" s="7" t="str">
        <f>IFERROR(__xludf.DUMMYFUNCTION("""COMPUTED_VALUE""")," https://www.vrsrecruitment.com/ ")</f>
        <v> https://www.vrsrecruitment.com/ </v>
      </c>
      <c r="E323" s="6" t="str">
        <f>IFERROR(__xludf.DUMMYFUNCTION("""COMPUTED_VALUE"""),"Yokogawa is a leading provider of Industrial Automation and Test and 
Measurement solutions. Combining superior technology with engineering 
services, project management, and maintenance, Yokogawa delivers field 
proven operational efficiency, safety, qua"&amp;"lity, and reliability.")</f>
        <v>Yokogawa is a leading provider of Industrial Automation and Test and 
Measurement solutions. Combining superior technology with engineering 
services, project management, and maintenance, Yokogawa delivers field 
proven operational efficiency, safety, quality, and reliability.</v>
      </c>
    </row>
    <row r="324">
      <c r="A324" s="6" t="str">
        <f>IFERROR(__xludf.DUMMYFUNCTION("""COMPUTED_VALUE"""),"Ward Hadaway LLP")</f>
        <v>Ward Hadaway LLP</v>
      </c>
      <c r="B324" s="6" t="str">
        <f>IFERROR(__xludf.DUMMYFUNCTION("""COMPUTED_VALUE""")," The Observatory, Chapel Walks, Manchester, M2 1HL ")</f>
        <v> The Observatory, Chapel Walks, Manchester, M2 1HL </v>
      </c>
      <c r="C324" s="6" t="str">
        <f>IFERROR(__xludf.DUMMYFUNCTION("""COMPUTED_VALUE""")," 0161 837 3902 ")</f>
        <v> 0161 837 3902 </v>
      </c>
      <c r="D324" s="7" t="str">
        <f>IFERROR(__xludf.DUMMYFUNCTION("""COMPUTED_VALUE""")," http://www.wardhadaway.com ")</f>
        <v> http://www.wardhadaway.com </v>
      </c>
      <c r="E324" s="6" t="str">
        <f>IFERROR(__xludf.DUMMYFUNCTION("""COMPUTED_VALUE"""),"York Bioanalytical Solutions is a specialist contract research organisation 
(CRO) providing a range of high quality bioanalytical services to 
pharmaceutical and biotech companies, supporting the development of small 
and large molecule therapeutics and "&amp;"biomarkers, from early discovery 
through to post marketing support.")</f>
        <v>York Bioanalytical Solutions is a specialist contract research organisation 
(CRO) providing a range of high quality bioanalytical services to 
pharmaceutical and biotech companies, supporting the development of small 
and large molecule therapeutics and biomarkers, from early discovery 
through to post marketing support.</v>
      </c>
    </row>
    <row r="325">
      <c r="A325" s="6" t="str">
        <f>IFERROR(__xludf.DUMMYFUNCTION("""COMPUTED_VALUE"""),"Waters Corporation")</f>
        <v>Waters Corporation</v>
      </c>
      <c r="B325" s="6" t="str">
        <f>IFERROR(__xludf.DUMMYFUNCTION("""COMPUTED_VALUE""")," Stamford Avenue, Altrincham Road, Wilmslow, Cheshire, SK9 4AX ")</f>
        <v> Stamford Avenue, Altrincham Road, Wilmslow, Cheshire, SK9 4AX </v>
      </c>
      <c r="C325" s="6" t="str">
        <f>IFERROR(__xludf.DUMMYFUNCTION("""COMPUTED_VALUE""")," 0161 946 2400 ")</f>
        <v> 0161 946 2400 </v>
      </c>
      <c r="D325" s="7" t="str">
        <f>IFERROR(__xludf.DUMMYFUNCTION("""COMPUTED_VALUE""")," http://www.waters.com ")</f>
        <v> http://www.waters.com </v>
      </c>
      <c r="E325" s="6" t="str">
        <f>IFERROR(__xludf.DUMMYFUNCTION("""COMPUTED_VALUE"""),"“Yourgene Health is an international molecular diagnostics group which 
develops and commercialises genetic products and services. The group works 
in partnership with global leaders in DNA technology to advance diagnostic 
science. Yourgene develops and "&amp;"commercialises simple and accurate molecular 
diagnostic solutions, primarily for reproductive health. The Group's 
products include non-invasive prenatal tests (NIPT) for Down's Syndrome and 
other genetic disorders, Cystic Fibrosis screening tests, inva"&amp;"sive rapid 
aneuploidy tests, male infertility tests and genetic disease tests. 
Yourgene's commercial footprint is already established in the UK, Europe, 
the Middle East, Africa and Asia.”")</f>
        <v>“Yourgene Health is an international molecular diagnostics group which 
develops and commercialises genetic products and services. The group works 
in partnership with global leaders in DNA technology to advance diagnostic 
science. Yourgene develops and commercialises simple and accurate molecular 
diagnostic solutions, primarily for reproductive health. The Group's 
products include non-invasive prenatal tests (NIPT) for Down's Syndrome and 
other genetic disorders, Cystic Fibrosis screening tests, invasive rapid 
aneuploidy tests, male infertility tests and genetic disease tests. 
Yourgene's commercial footprint is already established in the UK, Europe, 
the Middle East, Africa and Asia.”</v>
      </c>
    </row>
    <row r="326">
      <c r="A326" s="6" t="str">
        <f>IFERROR(__xludf.DUMMYFUNCTION("""COMPUTED_VALUE"""),"Withnell Sensors")</f>
        <v>Withnell Sensors</v>
      </c>
      <c r="B326" s="6" t="str">
        <f>IFERROR(__xludf.DUMMYFUNCTION("""COMPUTED_VALUE""")," Withnell Sensors Ltd, The Old Silk Mill, Bury Lane, Chorley, Lancashire, 
PR6 8RX ")</f>
        <v> Withnell Sensors Ltd, The Old Silk Mill, Bury Lane, Chorley, Lancashire, 
PR6 8RX </v>
      </c>
      <c r="C326" s="6" t="str">
        <f>IFERROR(__xludf.DUMMYFUNCTION("""COMPUTED_VALUE""")," 01254 831375 ")</f>
        <v> 01254 831375 </v>
      </c>
      <c r="D326" s="7" t="str">
        <f>IFERROR(__xludf.DUMMYFUNCTION("""COMPUTED_VALUE""")," https://www.withnellsensors.co.uk/ ")</f>
        <v> https://www.withnellsensors.co.uk/ </v>
      </c>
      <c r="E326" s="6" t="str">
        <f>IFERROR(__xludf.DUMMYFUNCTION("""COMPUTED_VALUE"""),"Your Special Delivery Service (YSDS) is an international logistics company 
specializing in seamless global shipping solutions for extraordinary 
products, destinations and timeframes. Through our team of dedicated and 
professional shipping professionals"&amp;", we provide high-quality logistics 
consulting and execution mainly in the fields of Life Science, Art IT/Tech 
and Industrial. For more information, please visit www.ysds.com.")</f>
        <v>Your Special Delivery Service (YSDS) is an international logistics company 
specializing in seamless global shipping solutions for extraordinary 
products, destinations and timeframes. Through our team of dedicated and 
professional shipping professionals, we provide high-quality logistics 
consulting and execution mainly in the fields of Life Science, Art IT/Tech 
and Industrial. For more information, please visit www.ysds.com.</v>
      </c>
    </row>
    <row r="327">
      <c r="A327" s="6" t="str">
        <f>IFERROR(__xludf.DUMMYFUNCTION("""COMPUTED_VALUE"""),"World Courier (UK) Ltd")</f>
        <v>World Courier (UK) Ltd</v>
      </c>
      <c r="B327" s="6" t="str">
        <f>IFERROR(__xludf.DUMMYFUNCTION("""COMPUTED_VALUE""")," Oxford House, 1 Plane Tree Crescent, Feltham, TW13 4HF ")</f>
        <v> Oxford House, 1 Plane Tree Crescent, Feltham, TW13 4HF </v>
      </c>
      <c r="C327" s="6" t="str">
        <f>IFERROR(__xludf.DUMMYFUNCTION("""COMPUTED_VALUE""")," 0207 928 7256 ")</f>
        <v> 0207 928 7256 </v>
      </c>
      <c r="D327" s="7" t="str">
        <f>IFERROR(__xludf.DUMMYFUNCTION("""COMPUTED_VALUE""")," http://www.worldcourier.com ")</f>
        <v> http://www.worldcourier.com </v>
      </c>
    </row>
    <row r="328">
      <c r="A328" s="6" t="str">
        <f>IFERROR(__xludf.DUMMYFUNCTION("""COMPUTED_VALUE"""),"WP Thompson")</f>
        <v>WP Thompson</v>
      </c>
      <c r="B328" s="6" t="str">
        <f>IFERROR(__xludf.DUMMYFUNCTION("""COMPUTED_VALUE""")," No.1 Mann Island, Liverpool, L3 1BP ")</f>
        <v> No.1 Mann Island, Liverpool, L3 1BP </v>
      </c>
      <c r="C328" s="6" t="str">
        <f>IFERROR(__xludf.DUMMYFUNCTION("""COMPUTED_VALUE""")," 0151 236 6688 ")</f>
        <v> 0151 236 6688 </v>
      </c>
      <c r="D328" s="7" t="str">
        <f>IFERROR(__xludf.DUMMYFUNCTION("""COMPUTED_VALUE""")," http://www.wpt.co.uk ")</f>
        <v> http://www.wpt.co.uk </v>
      </c>
    </row>
    <row r="329">
      <c r="A329" s="6" t="str">
        <f>IFERROR(__xludf.DUMMYFUNCTION("""COMPUTED_VALUE"""),"WUNDRBIOTICS LTD")</f>
        <v>WUNDRBIOTICS LTD</v>
      </c>
      <c r="B329" s="6" t="str">
        <f>IFERROR(__xludf.DUMMYFUNCTION("""COMPUTED_VALUE""")," 28 Trewigtown Rd Line, Lexington,, PA 18932 ")</f>
        <v> 28 Trewigtown Rd Line, Lexington,, PA 18932 </v>
      </c>
      <c r="C329" s="6" t="str">
        <f>IFERROR(__xludf.DUMMYFUNCTION("""COMPUTED_VALUE""")," +1 215-499-3458 ")</f>
        <v> +1 215-499-3458 </v>
      </c>
      <c r="D329" s="6" t="str">
        <f>IFERROR(__xludf.DUMMYFUNCTION("""COMPUTED_VALUE""")," http:// ")</f>
        <v> http:// </v>
      </c>
    </row>
    <row r="330">
      <c r="A330" s="6" t="str">
        <f>IFERROR(__xludf.DUMMYFUNCTION("""COMPUTED_VALUE"""),"Yokogawa UK Limited")</f>
        <v>Yokogawa UK Limited</v>
      </c>
      <c r="B330" s="6" t="str">
        <f>IFERROR(__xludf.DUMMYFUNCTION("""COMPUTED_VALUE""")," Stuart Road, Manor Park, Runcorn, Cheshire, WA7 1TR ")</f>
        <v> Stuart Road, Manor Park, Runcorn, Cheshire, WA7 1TR </v>
      </c>
      <c r="C330" s="6" t="str">
        <f>IFERROR(__xludf.DUMMYFUNCTION("""COMPUTED_VALUE""")," 01928 597100 ")</f>
        <v> 01928 597100 </v>
      </c>
      <c r="D330" s="7" t="str">
        <f>IFERROR(__xludf.DUMMYFUNCTION("""COMPUTED_VALUE""")," https://www.yokogawa.com/uk/ ")</f>
        <v> https://www.yokogawa.com/uk/ </v>
      </c>
    </row>
    <row r="331">
      <c r="A331" s="6" t="str">
        <f>IFERROR(__xludf.DUMMYFUNCTION("""COMPUTED_VALUE"""),"York Bioanalytical Solutions")</f>
        <v>York Bioanalytical Solutions</v>
      </c>
      <c r="B331" s="6" t="str">
        <f>IFERROR(__xludf.DUMMYFUNCTION("""COMPUTED_VALUE""")," Cedar House, Northminster Business Park, Upper Poppleton, York, YO26 6QR ")</f>
        <v> Cedar House, Northminster Business Park, Upper Poppleton, York, YO26 6QR </v>
      </c>
      <c r="C331" s="6" t="str">
        <f>IFERROR(__xludf.DUMMYFUNCTION("""COMPUTED_VALUE""")," 01904 686060 ")</f>
        <v> 01904 686060 </v>
      </c>
      <c r="D331" s="7" t="str">
        <f>IFERROR(__xludf.DUMMYFUNCTION("""COMPUTED_VALUE""")," http://www.yorkbio.com ")</f>
        <v> http://www.yorkbio.com </v>
      </c>
    </row>
    <row r="332">
      <c r="A332" s="6" t="str">
        <f>IFERROR(__xludf.DUMMYFUNCTION("""COMPUTED_VALUE"""),"Yourgene Health UK Ltd")</f>
        <v>Yourgene Health UK Ltd</v>
      </c>
      <c r="B332" s="6" t="str">
        <f>IFERROR(__xludf.DUMMYFUNCTION("""COMPUTED_VALUE""")," Skelton House, Lloyd Street North, Manchester Science Park, Manchester, 
UK, M15 6SH ")</f>
        <v> Skelton House, Lloyd Street North, Manchester Science Park, Manchester, 
UK, M15 6SH </v>
      </c>
      <c r="C332" s="6" t="str">
        <f>IFERROR(__xludf.DUMMYFUNCTION("""COMPUTED_VALUE""")," 0161 669 8122 ")</f>
        <v> 0161 669 8122 </v>
      </c>
      <c r="D332" s="7" t="str">
        <f>IFERROR(__xludf.DUMMYFUNCTION("""COMPUTED_VALUE""")," https://yourgenehealth.com/ ")</f>
        <v> https://yourgenehealth.com/ </v>
      </c>
    </row>
    <row r="333">
      <c r="A333" s="6" t="str">
        <f>IFERROR(__xludf.DUMMYFUNCTION("""COMPUTED_VALUE"""),"YSDS")</f>
        <v>YSDS</v>
      </c>
      <c r="B333" s="6" t="str">
        <f>IFERROR(__xludf.DUMMYFUNCTION("""COMPUTED_VALUE""")," Unit 1 Carlton Trading Estate, Pickering street, Leeds, LS12 2QG ")</f>
        <v> Unit 1 Carlton Trading Estate, Pickering street, Leeds, LS12 2QG </v>
      </c>
      <c r="C333" s="6">
        <f>IFERROR(__xludf.DUMMYFUNCTION("""COMPUTED_VALUE"""),1.138730098E9)</f>
        <v>1138730098</v>
      </c>
      <c r="D333" s="7" t="str">
        <f>IFERROR(__xludf.DUMMYFUNCTION("""COMPUTED_VALUE""")," https://ysds.com/ ")</f>
        <v> https://ysds.com/ </v>
      </c>
    </row>
  </sheetData>
  <hyperlinks>
    <hyperlink r:id="rId1" ref="A1"/>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 r:id="rId64" ref="D67"/>
    <hyperlink r:id="rId65" ref="D68"/>
    <hyperlink r:id="rId66" ref="D69"/>
    <hyperlink r:id="rId67" ref="D70"/>
    <hyperlink r:id="rId68" ref="D71"/>
    <hyperlink r:id="rId69" ref="D72"/>
    <hyperlink r:id="rId70" ref="D73"/>
    <hyperlink r:id="rId71" ref="D74"/>
    <hyperlink r:id="rId72" ref="D75"/>
    <hyperlink r:id="rId73" ref="D76"/>
    <hyperlink r:id="rId74" ref="D77"/>
    <hyperlink r:id="rId75" ref="D78"/>
    <hyperlink r:id="rId76" ref="D79"/>
    <hyperlink r:id="rId77" ref="D80"/>
    <hyperlink r:id="rId78" ref="D81"/>
    <hyperlink r:id="rId79" ref="D82"/>
    <hyperlink r:id="rId80" ref="D83"/>
    <hyperlink r:id="rId81" ref="D84"/>
    <hyperlink r:id="rId82" ref="D85"/>
    <hyperlink r:id="rId83" ref="D86"/>
    <hyperlink r:id="rId84" ref="D87"/>
    <hyperlink r:id="rId85" ref="D88"/>
    <hyperlink r:id="rId86" ref="D89"/>
    <hyperlink r:id="rId87" ref="D90"/>
    <hyperlink r:id="rId88" ref="D91"/>
    <hyperlink r:id="rId89" ref="D92"/>
    <hyperlink r:id="rId90" ref="D93"/>
    <hyperlink r:id="rId91" ref="D94"/>
    <hyperlink r:id="rId92" ref="D95"/>
    <hyperlink r:id="rId93" ref="D96"/>
    <hyperlink r:id="rId94" ref="D97"/>
    <hyperlink r:id="rId95" ref="D98"/>
    <hyperlink r:id="rId96" ref="D99"/>
    <hyperlink r:id="rId97" ref="D100"/>
    <hyperlink r:id="rId98" ref="D101"/>
    <hyperlink r:id="rId99" ref="D102"/>
    <hyperlink r:id="rId100" ref="D103"/>
    <hyperlink r:id="rId101" ref="D104"/>
    <hyperlink r:id="rId102" ref="D105"/>
    <hyperlink r:id="rId103" ref="D106"/>
    <hyperlink r:id="rId104" ref="D107"/>
    <hyperlink r:id="rId105" ref="D108"/>
    <hyperlink r:id="rId106" ref="D109"/>
    <hyperlink r:id="rId107" ref="D110"/>
    <hyperlink r:id="rId108" ref="D111"/>
    <hyperlink r:id="rId109" ref="D112"/>
    <hyperlink r:id="rId110" ref="D113"/>
    <hyperlink r:id="rId111" ref="D114"/>
    <hyperlink r:id="rId112" ref="D115"/>
    <hyperlink r:id="rId113" ref="D116"/>
    <hyperlink r:id="rId114" ref="D117"/>
    <hyperlink r:id="rId115" ref="D118"/>
    <hyperlink r:id="rId116" ref="D119"/>
    <hyperlink r:id="rId117" ref="D120"/>
    <hyperlink r:id="rId118" ref="D121"/>
    <hyperlink r:id="rId119" ref="D122"/>
    <hyperlink r:id="rId120" ref="D123"/>
    <hyperlink r:id="rId121" ref="D124"/>
    <hyperlink r:id="rId122" ref="D125"/>
    <hyperlink r:id="rId123" ref="D126"/>
    <hyperlink r:id="rId124" ref="D127"/>
    <hyperlink r:id="rId125" ref="D128"/>
    <hyperlink r:id="rId126" ref="D129"/>
    <hyperlink r:id="rId127" ref="D130"/>
    <hyperlink r:id="rId128" ref="D131"/>
    <hyperlink r:id="rId129" ref="D132"/>
    <hyperlink r:id="rId130" ref="D133"/>
    <hyperlink r:id="rId131" ref="D134"/>
    <hyperlink r:id="rId132" ref="D135"/>
    <hyperlink r:id="rId133" ref="D136"/>
    <hyperlink r:id="rId134" ref="D137"/>
    <hyperlink r:id="rId135" ref="D138"/>
    <hyperlink r:id="rId136" ref="D139"/>
    <hyperlink r:id="rId137" ref="D140"/>
    <hyperlink r:id="rId138" ref="D141"/>
    <hyperlink r:id="rId139" ref="D142"/>
    <hyperlink r:id="rId140" ref="D143"/>
    <hyperlink r:id="rId141" ref="D144"/>
    <hyperlink r:id="rId142" ref="D146"/>
    <hyperlink r:id="rId143" ref="D147"/>
    <hyperlink r:id="rId144" ref="D148"/>
    <hyperlink r:id="rId145" ref="D149"/>
    <hyperlink r:id="rId146" ref="D150"/>
    <hyperlink r:id="rId147" ref="D151"/>
    <hyperlink r:id="rId148" ref="D152"/>
    <hyperlink r:id="rId149" ref="D153"/>
    <hyperlink r:id="rId150" ref="D154"/>
    <hyperlink r:id="rId151" ref="D155"/>
    <hyperlink r:id="rId152" ref="D156"/>
    <hyperlink r:id="rId153" ref="D157"/>
    <hyperlink r:id="rId154" ref="D158"/>
    <hyperlink r:id="rId155" ref="D159"/>
    <hyperlink r:id="rId156" ref="D160"/>
    <hyperlink r:id="rId157" ref="D161"/>
    <hyperlink r:id="rId158" ref="D162"/>
    <hyperlink r:id="rId159" ref="D163"/>
    <hyperlink r:id="rId160" ref="D164"/>
    <hyperlink r:id="rId161" ref="D165"/>
    <hyperlink r:id="rId162" ref="D166"/>
    <hyperlink r:id="rId163" ref="D167"/>
    <hyperlink r:id="rId164" ref="D168"/>
    <hyperlink r:id="rId165" ref="D169"/>
    <hyperlink r:id="rId166" ref="D170"/>
    <hyperlink r:id="rId167" ref="D171"/>
    <hyperlink r:id="rId168" ref="D172"/>
    <hyperlink r:id="rId169" ref="D173"/>
    <hyperlink r:id="rId170" ref="D174"/>
    <hyperlink r:id="rId171" ref="D175"/>
    <hyperlink r:id="rId172" ref="D176"/>
    <hyperlink r:id="rId173" ref="D177"/>
    <hyperlink r:id="rId174" ref="D178"/>
    <hyperlink r:id="rId175" ref="D179"/>
    <hyperlink r:id="rId176" ref="D180"/>
    <hyperlink r:id="rId177" ref="D181"/>
    <hyperlink r:id="rId178" ref="D182"/>
    <hyperlink r:id="rId179" ref="D183"/>
    <hyperlink r:id="rId180" ref="D184"/>
    <hyperlink r:id="rId181" ref="D185"/>
    <hyperlink r:id="rId182" ref="D186"/>
    <hyperlink r:id="rId183" ref="D187"/>
    <hyperlink r:id="rId184" ref="D188"/>
    <hyperlink r:id="rId185" ref="D189"/>
    <hyperlink r:id="rId186" ref="D190"/>
    <hyperlink r:id="rId187" ref="D191"/>
    <hyperlink r:id="rId188" ref="D192"/>
    <hyperlink r:id="rId189" ref="D193"/>
    <hyperlink r:id="rId190" ref="D194"/>
    <hyperlink r:id="rId191" ref="D195"/>
    <hyperlink r:id="rId192" ref="D196"/>
    <hyperlink r:id="rId193" ref="D197"/>
    <hyperlink r:id="rId194" ref="D198"/>
    <hyperlink r:id="rId195" ref="D199"/>
    <hyperlink r:id="rId196" ref="D200"/>
    <hyperlink r:id="rId197" ref="D201"/>
    <hyperlink r:id="rId198" ref="D202"/>
    <hyperlink r:id="rId199" ref="D203"/>
    <hyperlink r:id="rId200" ref="D204"/>
    <hyperlink r:id="rId201" ref="D205"/>
    <hyperlink r:id="rId202" ref="D206"/>
    <hyperlink r:id="rId203" ref="D207"/>
    <hyperlink r:id="rId204" ref="D208"/>
    <hyperlink r:id="rId205" ref="D209"/>
    <hyperlink r:id="rId206" ref="D210"/>
    <hyperlink r:id="rId207" ref="D211"/>
    <hyperlink r:id="rId208" ref="D212"/>
    <hyperlink r:id="rId209" ref="D213"/>
    <hyperlink r:id="rId210" ref="D214"/>
    <hyperlink r:id="rId211" ref="D215"/>
    <hyperlink r:id="rId212" ref="D216"/>
    <hyperlink r:id="rId213" ref="D217"/>
    <hyperlink r:id="rId214" ref="D218"/>
    <hyperlink r:id="rId215" ref="D220"/>
    <hyperlink r:id="rId216" ref="D221"/>
    <hyperlink r:id="rId217" ref="D222"/>
    <hyperlink r:id="rId218" ref="D223"/>
    <hyperlink r:id="rId219" ref="D224"/>
    <hyperlink r:id="rId220" ref="D225"/>
    <hyperlink r:id="rId221" ref="D226"/>
    <hyperlink r:id="rId222" ref="D227"/>
    <hyperlink r:id="rId223" ref="D228"/>
    <hyperlink r:id="rId224" ref="D229"/>
    <hyperlink r:id="rId225" ref="D230"/>
    <hyperlink r:id="rId226" ref="D231"/>
    <hyperlink r:id="rId227" ref="D232"/>
    <hyperlink r:id="rId228" ref="D233"/>
    <hyperlink r:id="rId229" ref="D234"/>
    <hyperlink r:id="rId230" ref="D235"/>
    <hyperlink r:id="rId231" ref="D236"/>
    <hyperlink r:id="rId232" ref="D237"/>
    <hyperlink r:id="rId233" ref="D238"/>
    <hyperlink r:id="rId234" ref="D239"/>
    <hyperlink r:id="rId235" ref="D240"/>
    <hyperlink r:id="rId236" ref="D241"/>
    <hyperlink r:id="rId237" ref="D242"/>
    <hyperlink r:id="rId238" ref="D243"/>
    <hyperlink r:id="rId239" ref="D244"/>
    <hyperlink r:id="rId240" ref="D245"/>
    <hyperlink r:id="rId241" ref="D246"/>
    <hyperlink r:id="rId242" ref="D247"/>
    <hyperlink r:id="rId243" ref="D248"/>
    <hyperlink r:id="rId244" ref="D249"/>
    <hyperlink r:id="rId245" ref="D250"/>
    <hyperlink r:id="rId246" ref="D251"/>
    <hyperlink r:id="rId247" ref="D252"/>
    <hyperlink r:id="rId248" ref="D253"/>
    <hyperlink r:id="rId249" ref="D254"/>
    <hyperlink r:id="rId250" ref="D255"/>
    <hyperlink r:id="rId251" ref="D256"/>
    <hyperlink r:id="rId252" ref="D257"/>
    <hyperlink r:id="rId253" ref="D258"/>
    <hyperlink r:id="rId254" ref="D259"/>
    <hyperlink r:id="rId255" ref="D260"/>
    <hyperlink r:id="rId256" ref="D261"/>
    <hyperlink r:id="rId257" ref="D262"/>
    <hyperlink r:id="rId258" ref="D263"/>
    <hyperlink r:id="rId259" ref="D264"/>
    <hyperlink r:id="rId260" ref="D265"/>
    <hyperlink r:id="rId261" ref="D266"/>
    <hyperlink r:id="rId262" ref="D267"/>
    <hyperlink r:id="rId263" ref="D268"/>
    <hyperlink r:id="rId264" ref="D269"/>
    <hyperlink r:id="rId265" ref="D270"/>
    <hyperlink r:id="rId266" ref="D271"/>
    <hyperlink r:id="rId267" ref="D272"/>
    <hyperlink r:id="rId268" ref="D273"/>
    <hyperlink r:id="rId269" ref="D274"/>
    <hyperlink r:id="rId270" ref="D275"/>
    <hyperlink r:id="rId271" ref="D276"/>
    <hyperlink r:id="rId272" ref="D277"/>
    <hyperlink r:id="rId273" ref="D278"/>
    <hyperlink r:id="rId274" ref="D279"/>
    <hyperlink r:id="rId275" ref="D280"/>
    <hyperlink r:id="rId276" ref="D281"/>
    <hyperlink r:id="rId277" ref="D282"/>
    <hyperlink r:id="rId278" ref="D283"/>
    <hyperlink r:id="rId279" ref="D284"/>
    <hyperlink r:id="rId280" ref="D285"/>
    <hyperlink r:id="rId281" ref="D286"/>
    <hyperlink r:id="rId282" ref="D287"/>
    <hyperlink r:id="rId283" ref="D288"/>
    <hyperlink r:id="rId284" ref="D289"/>
    <hyperlink r:id="rId285" ref="D290"/>
    <hyperlink r:id="rId286" ref="D291"/>
    <hyperlink r:id="rId287" ref="D292"/>
    <hyperlink r:id="rId288" ref="D293"/>
    <hyperlink r:id="rId289" ref="D294"/>
    <hyperlink r:id="rId290" ref="D295"/>
    <hyperlink r:id="rId291" ref="D296"/>
    <hyperlink r:id="rId292" ref="D297"/>
    <hyperlink r:id="rId293" ref="D298"/>
    <hyperlink r:id="rId294" ref="D299"/>
    <hyperlink r:id="rId295" ref="D300"/>
    <hyperlink r:id="rId296" ref="D301"/>
    <hyperlink r:id="rId297" ref="D302"/>
    <hyperlink r:id="rId298" ref="D303"/>
    <hyperlink r:id="rId299" ref="D304"/>
    <hyperlink r:id="rId300" ref="D305"/>
    <hyperlink r:id="rId301" ref="D306"/>
    <hyperlink r:id="rId302" ref="D307"/>
    <hyperlink r:id="rId303" ref="D308"/>
    <hyperlink r:id="rId304" ref="D309"/>
    <hyperlink r:id="rId305" ref="D310"/>
    <hyperlink r:id="rId306" ref="D311"/>
    <hyperlink r:id="rId307" ref="D312"/>
    <hyperlink r:id="rId308" ref="D313"/>
    <hyperlink r:id="rId309" ref="D314"/>
    <hyperlink r:id="rId310" ref="D315"/>
    <hyperlink r:id="rId311" ref="D316"/>
    <hyperlink r:id="rId312" ref="D317"/>
    <hyperlink r:id="rId313" ref="D318"/>
    <hyperlink r:id="rId314" ref="D319"/>
    <hyperlink r:id="rId315" ref="D320"/>
    <hyperlink r:id="rId316" ref="D321"/>
    <hyperlink r:id="rId317" ref="D322"/>
    <hyperlink r:id="rId318" ref="D323"/>
    <hyperlink r:id="rId319" ref="D324"/>
    <hyperlink r:id="rId320" ref="D325"/>
    <hyperlink r:id="rId321" ref="D326"/>
    <hyperlink r:id="rId322" ref="D327"/>
    <hyperlink r:id="rId323" ref="D328"/>
    <hyperlink r:id="rId324" ref="D330"/>
    <hyperlink r:id="rId325" ref="D331"/>
    <hyperlink r:id="rId326" ref="D332"/>
    <hyperlink r:id="rId327" ref="D333"/>
  </hyperlinks>
  <drawing r:id="rId3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64</v>
      </c>
      <c r="B1" s="1" t="s">
        <v>65</v>
      </c>
      <c r="C1" s="9" t="s">
        <v>66</v>
      </c>
      <c r="D1" s="9" t="s">
        <v>67</v>
      </c>
      <c r="E1" s="9" t="s">
        <v>68</v>
      </c>
      <c r="F1" s="9" t="s">
        <v>69</v>
      </c>
      <c r="G1" s="9" t="s">
        <v>70</v>
      </c>
    </row>
    <row r="2">
      <c r="A2" s="2" t="s">
        <v>71</v>
      </c>
      <c r="B2" s="2" t="s">
        <v>72</v>
      </c>
      <c r="C2" s="2" t="s">
        <v>73</v>
      </c>
      <c r="D2" s="2" t="s">
        <v>74</v>
      </c>
      <c r="E2" s="2" t="s">
        <v>75</v>
      </c>
    </row>
    <row r="3">
      <c r="A3" s="4" t="s">
        <v>5</v>
      </c>
      <c r="B3" s="4" t="s">
        <v>76</v>
      </c>
      <c r="C3" s="4" t="s">
        <v>77</v>
      </c>
      <c r="D3" s="4" t="s">
        <v>78</v>
      </c>
      <c r="E3" s="4" t="s">
        <v>79</v>
      </c>
      <c r="F3" s="4" t="s">
        <v>80</v>
      </c>
      <c r="G3" s="4" t="s">
        <v>81</v>
      </c>
      <c r="H3" s="4" t="s">
        <v>82</v>
      </c>
      <c r="I3" s="4" t="s">
        <v>83</v>
      </c>
      <c r="J3" s="4" t="s">
        <v>6</v>
      </c>
      <c r="K3" s="4" t="s">
        <v>84</v>
      </c>
    </row>
    <row r="4">
      <c r="A4" s="6" t="str">
        <f>IFERROR(__xludf.DUMMYFUNCTION("IMPORTXML(A1,A2)"),"Albumedix ")</f>
        <v>Albumedix </v>
      </c>
      <c r="B4" s="6" t="str">
        <f>IFERROR(__xludf.DUMMYFUNCTION("IMPORTXML(A1,B2)"),"Albumedix, now part of the life sciences group Sartorius, is an 
innovation-focused biotechnology company well recognized as a leader in 
albumin-enabled solutions. With a mission dedicated to better health, over 
nearly four decades of commitment, Albume"&amp;"dix has supported its partners to 
deliver safe doses globally, in development, clinical phase and marketed 
therapeutics, to millions of patients. Albumedix' portfolio of solutions 
includes the world's only USP-NF-compliant recombinant human albumin 
(R"&amp;"ecombumin®); client-centric services, and proprietary drug-enhancing 
technology (Veltis®)")</f>
        <v>Albumedix, now part of the life sciences group Sartorius, is an 
innovation-focused biotechnology company well recognized as a leader in 
albumin-enabled solutions. With a mission dedicated to better health, over 
nearly four decades of commitment, Albumedix has supported its partners to 
deliver safe doses globally, in development, clinical phase and marketed 
therapeutics, to millions of patients. Albumedix' portfolio of solutions 
includes the world's only USP-NF-compliant recombinant human albumin 
(Recombumin®); client-centric services, and proprietary drug-enhancing 
technology (Veltis®)</v>
      </c>
      <c r="C4" s="6"/>
      <c r="D4" s="6"/>
      <c r="E4" s="6"/>
      <c r="F4" s="6"/>
      <c r="G4" s="6"/>
      <c r="H4" s="6"/>
      <c r="I4" s="6" t="str">
        <f>IFERROR(__xludf.DUMMYFUNCTION("IMPORTXML(A1,C2)"),"Website:")</f>
        <v>Website:</v>
      </c>
      <c r="J4" s="7" t="str">
        <f>IFERROR(__xludf.DUMMYFUNCTION("""COMPUTED_VALUE"""),"http://www.albumedix.com")</f>
        <v>http://www.albumedix.com</v>
      </c>
      <c r="K4" s="6" t="str">
        <f>IFERROR(__xludf.DUMMYFUNCTION("IMPORTXML(A1,E2)"),"@Albumedix")</f>
        <v>@Albumedix</v>
      </c>
    </row>
    <row r="5">
      <c r="A5" s="6" t="str">
        <f>IFERROR(__xludf.DUMMYFUNCTION("""COMPUTED_VALUE"""),"Alderley Park ")</f>
        <v>Alderley Park </v>
      </c>
      <c r="B5" s="6" t="str">
        <f>IFERROR(__xludf.DUMMYFUNCTION("""COMPUTED_VALUE"""),"Alderley Park is a place where world leading science, innovation and 
stylish living come together to create a place like no other.")</f>
        <v>Alderley Park is a place where world leading science, innovation and 
stylish living come together to create a place like no other.</v>
      </c>
      <c r="C5" s="6" t="str">
        <f>IFERROR(__xludf.DUMMYFUNCTION("""COMPUTED_VALUE"""),"Part of Bruntwood SciTech, a 50:50 joint venture between leading property 
company Bruntwood and Legal and General, Alderley Park is currently 
undergoing £247m investment.  Home to the internationally-recognised 
Mereside bioscience campus, the Park offe"&amp;"rs more than 1m sq ft of high 
specification lab space, a range of scientific services and an accelerator 
delivering a comprehensive programme of business support for start-ups and 
scale-ups.  It is also home to a vibrant and fast growing community of o"&amp;"ver 
60 established and 150 pre-start up companies.")</f>
        <v>Part of Bruntwood SciTech, a 50:50 joint venture between leading property 
company Bruntwood and Legal and General, Alderley Park is currently 
undergoing £247m investment.  Home to the internationally-recognised 
Mereside bioscience campus, the Park offers more than 1m sq ft of high 
specification lab space, a range of scientific services and an accelerator 
delivering a comprehensive programme of business support for start-ups and 
scale-ups.  It is also home to a vibrant and fast growing community of over 
60 established and 150 pre-start up companies.</v>
      </c>
      <c r="D5" s="6" t="str">
        <f>IFERROR(__xludf.DUMMYFUNCTION("""COMPUTED_VALUE"""),"The newly re-developed 150,000 sq ft ‘Glasshouse’, opened in February 2020, 
offers high specification, collaborative workspace to tech companies and 
forward thinking, innovative businesses.  ")</f>
        <v>The newly re-developed 150,000 sq ft ‘Glasshouse’, opened in February 2020, 
offers high specification, collaborative workspace to tech companies and 
forward thinking, innovative businesses.  </v>
      </c>
      <c r="E5" s="6" t="str">
        <f>IFERROR(__xludf.DUMMYFUNCTION("""COMPUTED_VALUE"""),"The Park is also home to a wide range of amenities including a conference 
centre complete with a 232 seat auditorium and meeting rooms, restaurant, 
gym and outdoor sports pitches.  It also offers unrivalled 100GB 
connectivity, Enterprise Zone status, a"&amp;"nd is part of the Cheshire Science 
Corridor.")</f>
        <v>The Park is also home to a wide range of amenities including a conference 
centre complete with a 232 seat auditorium and meeting rooms, restaurant, 
gym and outdoor sports pitches.  It also offers unrivalled 100GB 
connectivity, Enterprise Zone status, and is part of the Cheshire Science 
Corridor.</v>
      </c>
      <c r="F5" s="6" t="str">
        <f>IFERROR(__xludf.DUMMYFUNCTION("""COMPUTED_VALUE"""),"This is a place where people can live connected lives, in a community that 
will shape its own future. A place to do science, do business, work We can 
help you shape the future. and live differently, with no boundaries. Where 
people, work, life, ideas a"&amp;"nd conversations flow seamlessly together.")</f>
        <v>This is a place where people can live connected lives, in a community that 
will shape its own future. A place to do science, do business, work We can 
help you shape the future. and live differently, with no boundaries. Where 
people, work, life, ideas and conversations flow seamlessly together.</v>
      </c>
      <c r="G5" s="6" t="str">
        <f>IFERROR(__xludf.DUMMYFUNCTION("""COMPUTED_VALUE"""),"Nowhere else offers you so much room to breathe and space to think. Or such 
a canvas for being creative, individual and inventive.")</f>
        <v>Nowhere else offers you so much room to breathe and space to think. Or such 
a canvas for being creative, individual and inventive.</v>
      </c>
      <c r="H5" s="6" t="str">
        <f>IFERROR(__xludf.DUMMYFUNCTION("""COMPUTED_VALUE"""),"If you believe that things don’t always have to be done the way people have 
always done them, if you want to keep evolving the way you do business, 
work and live, you’ll find Alderley Park a breath of fresh air.")</f>
        <v>If you believe that things don’t always have to be done the way people have 
always done them, if you want to keep evolving the way you do business, 
work and live, you’ll find Alderley Park a breath of fresh air.</v>
      </c>
      <c r="I5" s="6" t="str">
        <f>IFERROR(__xludf.DUMMYFUNCTION("""COMPUTED_VALUE"""),"Website:")</f>
        <v>Website:</v>
      </c>
      <c r="J5" s="7" t="str">
        <f>IFERROR(__xludf.DUMMYFUNCTION("""COMPUTED_VALUE"""),"https://www.alderleypark.co.uk/")</f>
        <v>https://www.alderleypark.co.uk/</v>
      </c>
      <c r="K5" s="6" t="str">
        <f>IFERROR(__xludf.DUMMYFUNCTION("""COMPUTED_VALUE"""),"@AlderleyPark")</f>
        <v>@AlderleyPark</v>
      </c>
    </row>
    <row r="6">
      <c r="A6" s="6" t="str">
        <f>IFERROR(__xludf.DUMMYFUNCTION("""COMPUTED_VALUE"""),"Almac Discovery ")</f>
        <v>Almac Discovery </v>
      </c>
      <c r="B6" s="6" t="str">
        <f>IFERROR(__xludf.DUMMYFUNCTION("""COMPUTED_VALUE"""),"Almac Discovery is a research driven drug discovery company dedicated to 
the development of novel and innovative approaches to the treatment of 
diseases of unmet need (including oncology and CNS), by applying a target 
class approach. The Almac Discover"&amp;"y business model is to develop 
preclinical stage assets which are then licenced to pharmaceutical or 
biotech partners for further development. We also look to collaborate with 
partners to apply our medicinal chemistry and translational biology 
experti"&amp;"se to targets of mutual interest. Key research themes include 
deubiquitinase enzymes and protein drug conjugates.")</f>
        <v>Almac Discovery is a research driven drug discovery company dedicated to 
the development of novel and innovative approaches to the treatment of 
diseases of unmet need (including oncology and CNS), by applying a target 
class approach. The Almac Discovery business model is to develop 
preclinical stage assets which are then licenced to pharmaceutical or 
biotech partners for further development. We also look to collaborate with 
partners to apply our medicinal chemistry and translational biology 
expertise to targets of mutual interest. Key research themes include 
deubiquitinase enzymes and protein drug conjugates.</v>
      </c>
      <c r="C6" s="6"/>
      <c r="D6" s="6"/>
      <c r="E6" s="6"/>
      <c r="F6" s="6"/>
      <c r="G6" s="6"/>
      <c r="H6" s="6"/>
      <c r="I6" s="6" t="str">
        <f>IFERROR(__xludf.DUMMYFUNCTION("""COMPUTED_VALUE"""),"Website:")</f>
        <v>Website:</v>
      </c>
      <c r="J6" s="7" t="str">
        <f>IFERROR(__xludf.DUMMYFUNCTION("""COMPUTED_VALUE"""),"https://www.almacgroup.com/discovery/")</f>
        <v>https://www.almacgroup.com/discovery/</v>
      </c>
      <c r="K6" s="6" t="str">
        <f>IFERROR(__xludf.DUMMYFUNCTION("""COMPUTED_VALUE"""),"@AlmacGroup")</f>
        <v>@AlmacGroup</v>
      </c>
    </row>
    <row r="7">
      <c r="A7" s="6" t="str">
        <f>IFERROR(__xludf.DUMMYFUNCTION("""COMPUTED_VALUE"""),"Almac Group ")</f>
        <v>Almac Group </v>
      </c>
      <c r="B7" s="6" t="str">
        <f>IFERROR(__xludf.DUMMYFUNCTION("""COMPUTED_VALUE"""),"The Almac Group is an established contract development and manufacturing 
organisation that provides the most unique range of integrated drug 
development services available to the pharmaceutical &amp; biotech industry.")</f>
        <v>The Almac Group is an established contract development and manufacturing 
organisation that provides the most unique range of integrated drug 
development services available to the pharmaceutical &amp; biotech industry.</v>
      </c>
      <c r="C7" s="6" t="str">
        <f>IFERROR(__xludf.DUMMYFUNCTION("""COMPUTED_VALUE"""),"We are a privately owned organisation that has organically grown over 50 
years and now employs in excess of 5,000 high skilled personnel. Almac is 
headquartered in Craigavon, Northern Ireland with 17 global facilities 
across Europe, USA and Asia.")</f>
        <v>We are a privately owned organisation that has organically grown over 50 
years and now employs in excess of 5,000 high skilled personnel. Almac is 
headquartered in Craigavon, Northern Ireland with 17 global facilities 
across Europe, USA and Asia.</v>
      </c>
      <c r="D7" s="6" t="str">
        <f>IFERROR(__xludf.DUMMYFUNCTION("""COMPUTED_VALUE"""),"Our quality, innovation and efficiency are testament to the fact that over 
600 companies worldwide trust Almac for their Chemical, Pharmaceutical and 
Clinical Development needs. ")</f>
        <v>Our quality, innovation and efficiency are testament to the fact that over 
600 companies worldwide trust Almac for their Chemical, Pharmaceutical and 
Clinical Development needs. </v>
      </c>
      <c r="E7" s="6" t="str">
        <f>IFERROR(__xludf.DUMMYFUNCTION("""COMPUTED_VALUE"""),"Addressing the increasing pressure for Biopharma companies to bring their 
clinical candidates through their pipeline faster, more efficiently and at 
a lower cost, Almac provides an integrated CMC service, bridging the gap 
between drug substance and dru"&amp;"g product development.")</f>
        <v>Addressing the increasing pressure for Biopharma companies to bring their 
clinical candidates through their pipeline faster, more efficiently and at 
a lower cost, Almac provides an integrated CMC service, bridging the gap 
between drug substance and drug product development.</v>
      </c>
      <c r="F7" s="6" t="str">
        <f>IFERROR(__xludf.DUMMYFUNCTION("""COMPUTED_VALUE"""),"As an established provider of both drug substance (advanced intermediates 
and Active Pharmaceutical Ingredients – small molecules and peptides) and 
drug product development services, and by offering these within an 
integrated package, our client partne"&amp;"rs are assured of scientific 
continuity from a dedicated project team, resulting in significant savings 
in both time and costs.")</f>
        <v>As an established provider of both drug substance (advanced intermediates 
and Active Pharmaceutical Ingredients – small molecules and peptides) and 
drug product development services, and by offering these within an 
integrated package, our client partners are assured of scientific 
continuity from a dedicated project team, resulting in significant savings 
in both time and costs.</v>
      </c>
      <c r="G7" s="6"/>
      <c r="H7" s="6"/>
      <c r="I7" s="6" t="str">
        <f>IFERROR(__xludf.DUMMYFUNCTION("""COMPUTED_VALUE"""),"Website:")</f>
        <v>Website:</v>
      </c>
      <c r="J7" s="7" t="str">
        <f>IFERROR(__xludf.DUMMYFUNCTION("""COMPUTED_VALUE"""),"https://www.almacgroup.com")</f>
        <v>https://www.almacgroup.com</v>
      </c>
      <c r="K7" s="6" t="str">
        <f>IFERROR(__xludf.DUMMYFUNCTION("""COMPUTED_VALUE"""),"@AlmacGroup")</f>
        <v>@AlmacGroup</v>
      </c>
    </row>
    <row r="8">
      <c r="A8" s="6" t="str">
        <f>IFERROR(__xludf.DUMMYFUNCTION("""COMPUTED_VALUE"""),"APH ")</f>
        <v>APH </v>
      </c>
      <c r="B8" s="6" t="str">
        <f>IFERROR(__xludf.DUMMYFUNCTION("""COMPUTED_VALUE"""),"Since 1980, APH has provided airport parking, hotels, lounges and travel 
extras to UK travellers. With nearly four decades of experience and still 
family owned, we’re the leading independent airport parking company in the 
UK, now operating over 10,000 "&amp;"spaces and parking more than 300,000 
customers’ cars every year. We operate our own car parks serving Gatwick, 
Manchester and Birmingham airports as well as offering other airport 
parking options at all major airports. With 4.5 out of 5 customer 
satis"&amp;"faction and voted as ‘Best airport parking company’ at the British 
Travel Awards for 11 consecutive years, you’re in the best hands with APH.")</f>
        <v>Since 1980, APH has provided airport parking, hotels, lounges and travel 
extras to UK travellers. With nearly four decades of experience and still 
family owned, we’re the leading independent airport parking company in the 
UK, now operating over 10,000 spaces and parking more than 300,000 
customers’ cars every year. We operate our own car parks serving Gatwick, 
Manchester and Birmingham airports as well as offering other airport 
parking options at all major airports. With 4.5 out of 5 customer 
satisfaction and voted as ‘Best airport parking company’ at the British 
Travel Awards for 11 consecutive years, you’re in the best hands with APH.</v>
      </c>
      <c r="C8" s="6"/>
      <c r="D8" s="6"/>
      <c r="E8" s="6"/>
      <c r="F8" s="6"/>
      <c r="G8" s="6"/>
      <c r="H8" s="6"/>
      <c r="I8" s="6" t="str">
        <f>IFERROR(__xludf.DUMMYFUNCTION("""COMPUTED_VALUE"""),"Website:")</f>
        <v>Website:</v>
      </c>
      <c r="J8" s="7" t="str">
        <f>IFERROR(__xludf.DUMMYFUNCTION("""COMPUTED_VALUE"""),"https://www.aph.com/")</f>
        <v>https://www.aph.com/</v>
      </c>
      <c r="K8" s="6" t="str">
        <f>IFERROR(__xludf.DUMMYFUNCTION("""COMPUTED_VALUE"""),"@aphparking")</f>
        <v>@aphparking</v>
      </c>
    </row>
    <row r="9">
      <c r="A9" s="6" t="str">
        <f>IFERROR(__xludf.DUMMYFUNCTION("""COMPUTED_VALUE"""),"Astex Pharmaceuticals ")</f>
        <v>Astex Pharmaceuticals </v>
      </c>
      <c r="B9" s="6" t="str">
        <f>IFERROR(__xludf.DUMMYFUNCTION("""COMPUTED_VALUE"""),"Astex is a leader in innovative drug discovery and development, committed 
to the fight against cancer and diseases of the central nervous system.  
Astex is developing a proprietary pipeline of novel therapies and has 
multiple partnered products in deve"&amp;"lopment under collaborations with 
leading pharmaceutical companies.  Astex is a wholly owned subsidiary of 
Otsuka Pharmaceutical Co., Ltd., based in Tokyo, Japan.")</f>
        <v>Astex is a leader in innovative drug discovery and development, committed 
to the fight against cancer and diseases of the central nervous system.  
Astex is developing a proprietary pipeline of novel therapies and has 
multiple partnered products in development under collaborations with 
leading pharmaceutical companies.  Astex is a wholly owned subsidiary of 
Otsuka Pharmaceutical Co., Ltd., based in Tokyo, Japan.</v>
      </c>
      <c r="C9" s="6"/>
      <c r="D9" s="6" t="str">
        <f>IFERROR(__xludf.DUMMYFUNCTION("""COMPUTED_VALUE"""),"Otsuka Pharmaceutical Co., Ltd. is a global healthcare company with the 
corporate philosophy: “Otsuka–people creating new products for better 
health worldwide.” Otsuka researches, develops, manufactures and markets 
innovative and original products, wit"&amp;"h a focus on pharmaceutical products 
for the treatment of diseases and nutraceutical products for the 
maintenance of everyday health.")</f>
        <v>Otsuka Pharmaceutical Co., Ltd. is a global healthcare company with the 
corporate philosophy: “Otsuka–people creating new products for better 
health worldwide.” Otsuka researches, develops, manufactures and markets 
innovative and original products, with a focus on pharmaceutical products 
for the treatment of diseases and nutraceutical products for the 
maintenance of everyday health.</v>
      </c>
      <c r="E9" s="6"/>
      <c r="F9" s="6" t="str">
        <f>IFERROR(__xludf.DUMMYFUNCTION("""COMPUTED_VALUE"""),"For more information about Astex Pharmaceuticals, please visit https://astx.com")</f>
        <v>For more information about Astex Pharmaceuticals, please visit https://astx.com</v>
      </c>
      <c r="G9" s="6" t="str">
        <f>IFERROR(__xludf.DUMMYFUNCTION("""COMPUTED_VALUE"""),"For more information about Otsuka Pharmaceutical, please visit http://www.otsuka.co.jp/en/")</f>
        <v>For more information about Otsuka Pharmaceutical, please visit http://www.otsuka.co.jp/en/</v>
      </c>
      <c r="H9" s="6"/>
      <c r="I9" s="6" t="str">
        <f>IFERROR(__xludf.DUMMYFUNCTION("""COMPUTED_VALUE"""),"Website:")</f>
        <v>Website:</v>
      </c>
      <c r="J9" s="7" t="str">
        <f>IFERROR(__xludf.DUMMYFUNCTION("""COMPUTED_VALUE"""),"http://www.astx.com")</f>
        <v>http://www.astx.com</v>
      </c>
      <c r="K9" s="6" t="str">
        <f>IFERROR(__xludf.DUMMYFUNCTION("""COMPUTED_VALUE"""),"N/A")</f>
        <v>N/A</v>
      </c>
    </row>
    <row r="10">
      <c r="A10" s="6" t="str">
        <f>IFERROR(__xludf.DUMMYFUNCTION("""COMPUTED_VALUE"""),"Barrington James ")</f>
        <v>Barrington James </v>
      </c>
      <c r="B10" s="6" t="str">
        <f>IFERROR(__xludf.DUMMYFUNCTION("""COMPUTED_VALUE"""),"Barrington James are a global staffing and resourcing organisation who 
specialise in placing niche consultants of all levels in the Biotech and 
Pharmaceutical industry. We offer both short and long term solutions and 
can provide ad-hoc consultancy supp"&amp;"ort as required. Our offices in Europe, 
USA and APAC means that we can provide a truly global solution and 
experience in a market you may not know.")</f>
        <v>Barrington James are a global staffing and resourcing organisation who 
specialise in placing niche consultants of all levels in the Biotech and 
Pharmaceutical industry. We offer both short and long term solutions and 
can provide ad-hoc consultancy support as required. Our offices in Europe, 
USA and APAC means that we can provide a truly global solution and 
experience in a market you may not know.</v>
      </c>
      <c r="C10" s="6" t="str">
        <f>IFERROR(__xludf.DUMMYFUNCTION("""COMPUTED_VALUE"""),"All of our team are dedicated market specialists with unrivalled candidate 
networks and will be on hand in Hamburg to discuss any assistance you may 
need to aid you getting your product to market. We have proven experience 
in knowing  the difference be"&amp;"tween working for a big pharma and a new 
start-up Biotech and will ensure that the people you hire truly understand 
your business and what you need to succeed.")</f>
        <v>All of our team are dedicated market specialists with unrivalled candidate 
networks and will be on hand in Hamburg to discuss any assistance you may 
need to aid you getting your product to market. We have proven experience 
in knowing  the difference between working for a big pharma and a new 
start-up Biotech and will ensure that the people you hire truly understand 
your business and what you need to succeed.</v>
      </c>
      <c r="D10" s="6"/>
      <c r="E10" s="6"/>
      <c r="F10" s="6"/>
      <c r="G10" s="6"/>
      <c r="H10" s="6"/>
      <c r="I10" s="6" t="str">
        <f>IFERROR(__xludf.DUMMYFUNCTION("""COMPUTED_VALUE"""),"Website:")</f>
        <v>Website:</v>
      </c>
      <c r="J10" s="7" t="str">
        <f>IFERROR(__xludf.DUMMYFUNCTION("""COMPUTED_VALUE"""),"https://barringtonjames.com/")</f>
        <v>https://barringtonjames.com/</v>
      </c>
      <c r="K10" s="6" t="str">
        <f>IFERROR(__xludf.DUMMYFUNCTION("""COMPUTED_VALUE"""),"@BarringtonJames ")</f>
        <v>@BarringtonJames </v>
      </c>
    </row>
    <row r="11">
      <c r="A11" s="6" t="str">
        <f>IFERROR(__xludf.DUMMYFUNCTION("""COMPUTED_VALUE"""),"Bionow ")</f>
        <v>Bionow </v>
      </c>
      <c r="B11" s="6" t="str">
        <f>IFERROR(__xludf.DUMMYFUNCTION("""COMPUTED_VALUE"""),"Bionow supports business growth, competitiveness and innovation within the 
biomedical and life science sectors across Northern England. Our membership 
services add value and cost-efficiency to scientific, clinical and business 
operations within early s"&amp;"tage and growth-oriented firms. Our membership 
base includes startups and early stage firms as well as established 
growth-oriented companies. Bionow's membership offering focuses upon the 
specific needs of firms at their different stages of development"&amp;", including 
dedicated business support programmes, shared procurement schemes with 
significant cost savings, exclusive insurance benefits, recruitment and 
training services, local and national events and access to a vibrant 
network of businesses.")</f>
        <v>Bionow supports business growth, competitiveness and innovation within the 
biomedical and life science sectors across Northern England. Our membership 
services add value and cost-efficiency to scientific, clinical and business 
operations within early stage and growth-oriented firms. Our membership 
base includes startups and early stage firms as well as established 
growth-oriented companies. Bionow's membership offering focuses upon the 
specific needs of firms at their different stages of development, including 
dedicated business support programmes, shared procurement schemes with 
significant cost savings, exclusive insurance benefits, recruitment and 
training services, local and national events and access to a vibrant 
network of businesses.</v>
      </c>
      <c r="C11" s="6"/>
      <c r="D11" s="6"/>
      <c r="E11" s="6"/>
      <c r="F11" s="6"/>
      <c r="G11" s="6"/>
      <c r="H11" s="6"/>
      <c r="I11" s="6" t="str">
        <f>IFERROR(__xludf.DUMMYFUNCTION("""COMPUTED_VALUE"""),"Website:")</f>
        <v>Website:</v>
      </c>
      <c r="J11" s="7" t="str">
        <f>IFERROR(__xludf.DUMMYFUNCTION("""COMPUTED_VALUE"""),"http://www.bionow.co.uk")</f>
        <v>http://www.bionow.co.uk</v>
      </c>
      <c r="K11" s="6" t="str">
        <f>IFERROR(__xludf.DUMMYFUNCTION("""COMPUTED_VALUE"""),"@Bionow")</f>
        <v>@Bionow</v>
      </c>
    </row>
    <row r="12">
      <c r="A12" s="6" t="str">
        <f>IFERROR(__xludf.DUMMYFUNCTION("""COMPUTED_VALUE"""),"BioPartner UK ")</f>
        <v>BioPartner UK </v>
      </c>
      <c r="B12" s="6" t="str">
        <f>IFERROR(__xludf.DUMMYFUNCTION("""COMPUTED_VALUE"""),"BioPartner UK leads the UK Delegation to several partnering conferences 
each year. It is a UK Accredited Trade Organisation facilitating 
international partnering for trade, investment and collaborations with Life 
Sciences organisations across the UK. B"&amp;"ioPartner is a membership 
organisation, supporting UK SMEs and startups, and signposting 
organisations worldwide to UK expertise.")</f>
        <v>BioPartner UK leads the UK Delegation to several partnering conferences 
each year. It is a UK Accredited Trade Organisation facilitating 
international partnering for trade, investment and collaborations with Life 
Sciences organisations across the UK. BioPartner is a membership 
organisation, supporting UK SMEs and startups, and signposting 
organisations worldwide to UK expertise.</v>
      </c>
      <c r="C12" s="6" t="str">
        <f>IFERROR(__xludf.DUMMYFUNCTION("""COMPUTED_VALUE"""),"BioPartner has alliances with organisers of international biopartnering 
events, and with UK membership organisations, operating both independently 
and in partnership with the UK government.")</f>
        <v>BioPartner has alliances with organisers of international biopartnering 
events, and with UK membership organisations, operating both independently 
and in partnership with the UK government.</v>
      </c>
      <c r="D12" s="6"/>
      <c r="E12" s="6"/>
      <c r="F12" s="6"/>
      <c r="G12" s="6"/>
      <c r="H12" s="6"/>
      <c r="I12" s="6" t="str">
        <f>IFERROR(__xludf.DUMMYFUNCTION("""COMPUTED_VALUE"""),"Website:")</f>
        <v>Website:</v>
      </c>
      <c r="J12" s="7" t="str">
        <f>IFERROR(__xludf.DUMMYFUNCTION("""COMPUTED_VALUE"""),"http://www.biopartner.co.uk")</f>
        <v>http://www.biopartner.co.uk</v>
      </c>
      <c r="K12" s="6" t="str">
        <f>IFERROR(__xludf.DUMMYFUNCTION("""COMPUTED_VALUE"""),"@BioPartner")</f>
        <v>@BioPartner</v>
      </c>
    </row>
    <row r="13">
      <c r="A13" s="6" t="str">
        <f>IFERROR(__xludf.DUMMYFUNCTION("""COMPUTED_VALUE"""),"bit.bio ")</f>
        <v>bit.bio </v>
      </c>
      <c r="B13" s="6" t="str">
        <f>IFERROR(__xludf.DUMMYFUNCTION("""COMPUTED_VALUE"""),"Our breakthrough technology combines synthetic and stem cell biology, 
offering limitless possibilities. Enabling a new generation of cell 
therapies, providing the best human cells for research and drug discovery, 
and allowing the control of advanced sy"&amp;"nthetic biology circuits for 
biomanufacturing.")</f>
        <v>Our breakthrough technology combines synthetic and stem cell biology, 
offering limitless possibilities. Enabling a new generation of cell 
therapies, providing the best human cells for research and drug discovery, 
and allowing the control of advanced synthetic biology circuits for 
biomanufacturing.</v>
      </c>
      <c r="C13" s="6"/>
      <c r="D13" s="6"/>
      <c r="E13" s="6"/>
      <c r="F13" s="6"/>
      <c r="G13" s="6"/>
      <c r="H13" s="6"/>
      <c r="I13" s="6" t="str">
        <f>IFERROR(__xludf.DUMMYFUNCTION("""COMPUTED_VALUE"""),"Website:")</f>
        <v>Website:</v>
      </c>
      <c r="J13" s="7" t="str">
        <f>IFERROR(__xludf.DUMMYFUNCTION("""COMPUTED_VALUE"""),"http://bit.bio")</f>
        <v>http://bit.bio</v>
      </c>
      <c r="K13" s="6" t="str">
        <f>IFERROR(__xludf.DUMMYFUNCTION("""COMPUTED_VALUE"""),"@bitbio")</f>
        <v>@bitbio</v>
      </c>
    </row>
    <row r="14">
      <c r="A14" s="8" t="str">
        <f>IFERROR(__xludf.DUMMYFUNCTION("IMPORTXML(B1,A2)"),"#REF!")</f>
        <v>#REF!</v>
      </c>
      <c r="B14" s="8" t="str">
        <f>IFERROR(__xludf.DUMMYFUNCTION("IMPORTXML(B1,B2)"),"Cancer Research Horizons is an innovation engine built to complement Cancer 
Research UK’s network of exceptional researchers. We take cutting-edge 
innovations from the lab bench to the bedside, translating them into 
effective treatments and diagnostics"&amp;" for cancer patients.")</f>
        <v>Cancer Research Horizons is an innovation engine built to complement Cancer 
Research UK’s network of exceptional researchers. We take cutting-edge 
innovations from the lab bench to the bedside, translating them into 
effective treatments and diagnostics for cancer patients.</v>
      </c>
      <c r="C14" s="6"/>
      <c r="D14" s="6"/>
      <c r="E14" s="6"/>
      <c r="F14" s="6"/>
      <c r="I14" s="6" t="str">
        <f>IFERROR(__xludf.DUMMYFUNCTION("IMPORTXML(B1,C2)"),"Website:")</f>
        <v>Website:</v>
      </c>
      <c r="J14" s="7" t="str">
        <f>IFERROR(__xludf.DUMMYFUNCTION("""COMPUTED_VALUE"""),"https://www.cancerresearchhorizons.com/")</f>
        <v>https://www.cancerresearchhorizons.com/</v>
      </c>
      <c r="K14" s="6" t="str">
        <f>IFERROR(__xludf.DUMMYFUNCTION("IMPORTXML(B1,E2)"),"@catalystcrnc")</f>
        <v>@catalystcrnc</v>
      </c>
    </row>
    <row r="15">
      <c r="B15" s="6" t="str">
        <f>IFERROR(__xludf.DUMMYFUNCTION("""COMPUTED_VALUE"""),"Catalyst is a clinical research organisation (CRO)that provides highly 
customisable solutions to the global biopharmaceutical industry through two 
established, branded solutions: CatalystOncology and Catalyst Flex. The 
company provides multi-therapeuti"&amp;"c global resourcing and functional 
services through Catalyst Flex, and full-service oncology CRO offerings 
through Catalyst Oncology.")</f>
        <v>Catalyst is a clinical research organisation (CRO)that provides highly 
customisable solutions to the global biopharmaceutical industry through two 
established, branded solutions: CatalystOncology and Catalyst Flex. The 
company provides multi-therapeutic global resourcing and functional 
services through Catalyst Flex, and full-service oncology CRO offerings 
through Catalyst Oncology.</v>
      </c>
      <c r="C15" s="6" t="str">
        <f>IFERROR(__xludf.DUMMYFUNCTION("""COMPUTED_VALUE"""),"With over 800 staff andoffices in the United States and Europe, Catalyst's 
flexible service model isbuilt from more than a decade of listening to 
customers, devising customer-centric solutions, and helping customers drive 
breakthrough clinical studies "&amp;"by leveraging expert teams and 
innovative technologies.")</f>
        <v>With over 800 staff andoffices in the United States and Europe, Catalyst's 
flexible service model isbuilt from more than a decade of listening to 
customers, devising customer-centric solutions, and helping customers drive 
breakthrough clinical studies by leveraging expert teams and 
innovative technologies.</v>
      </c>
      <c r="D15" s="6"/>
      <c r="E15" s="6"/>
      <c r="F15" s="6"/>
      <c r="I15" s="6" t="str">
        <f>IFERROR(__xludf.DUMMYFUNCTION("""COMPUTED_VALUE"""),"Website:")</f>
        <v>Website:</v>
      </c>
      <c r="J15" s="7" t="str">
        <f>IFERROR(__xludf.DUMMYFUNCTION("""COMPUTED_VALUE"""),"https://catalystcr.com/")</f>
        <v>https://catalystcr.com/</v>
      </c>
      <c r="K15" s="6" t="str">
        <f>IFERROR(__xludf.DUMMYFUNCTION("""COMPUTED_VALUE"""),"@clinaccelerator")</f>
        <v>@clinaccelerator</v>
      </c>
    </row>
    <row r="16">
      <c r="B16" s="6" t="str">
        <f>IFERROR(__xludf.DUMMYFUNCTION("""COMPUTED_VALUE"""),"Clinical Accelerator is an independent European clinical trial management 
organisation offering a range of clinical research and patient enrolment 
support services to worldwide clients in the pharmaceutical, biotechnology 
and medical device industries.")</f>
        <v>Clinical Accelerator is an independent European clinical trial management 
organisation offering a range of clinical research and patient enrolment 
support services to worldwide clients in the pharmaceutical, biotechnology 
and medical device industries.</v>
      </c>
      <c r="C16" s="6" t="str">
        <f>IFERROR(__xludf.DUMMYFUNCTION("""COMPUTED_VALUE"""),"We are specialists in effective and timely patient recruitment, and commit 
to achieving patient enrolment targets within fixed timelines.")</f>
        <v>We are specialists in effective and timely patient recruitment, and commit 
to achieving patient enrolment targets within fixed timelines.</v>
      </c>
      <c r="D16" s="6" t="str">
        <f>IFERROR(__xludf.DUMMYFUNCTION("""COMPUTED_VALUE"""),"Placing clinical trials in our Eastern European countries of operation 
allows Clinical Accelerator to achieve significant cost savings for our 
clients. Fast and large-scale patient recruitment is another important 
advantage. To ensure excellent quality"&amp;" of our Eastern European trials, we 
carefully select sites and investigators able to work to the highest 
quality standards with full ICH GCP compliance.")</f>
        <v>Placing clinical trials in our Eastern European countries of operation 
allows Clinical Accelerator to achieve significant cost savings for our 
clients. Fast and large-scale patient recruitment is another important 
advantage. To ensure excellent quality of our Eastern European trials, we 
carefully select sites and investigators able to work to the highest 
quality standards with full ICH GCP compliance.</v>
      </c>
      <c r="E16" s="6" t="str">
        <f>IFERROR(__xludf.DUMMYFUNCTION("""COMPUTED_VALUE"""),"Clinical Accelerator provides client-tailored services. We are always 
prepared to adjust our system and procedures to the requirements of 
virtual, small and medium-sized biotech sponsors or larger pharma 
companies. We take a proactive role in the manag"&amp;"ement of our projects based 
on intensive communication with our sponsors and joint commitment to 
success and always take responsibility for delivering clinical trials to 
agreed timeframes and within agreed budgets.")</f>
        <v>Clinical Accelerator provides client-tailored services. We are always 
prepared to adjust our system and procedures to the requirements of 
virtual, small and medium-sized biotech sponsors or larger pharma 
companies. We take a proactive role in the management of our projects based 
on intensive communication with our sponsors and joint commitment to 
success and always take responsibility for delivering clinical trials to 
agreed timeframes and within agreed budgets.</v>
      </c>
      <c r="F16" s="6" t="str">
        <f>IFERROR(__xludf.DUMMYFUNCTION("""COMPUTED_VALUE"""),"We deliver affordable clinical trials solutions with quality and speed!")</f>
        <v>We deliver affordable clinical trials solutions with quality and speed!</v>
      </c>
      <c r="I16" s="6" t="str">
        <f>IFERROR(__xludf.DUMMYFUNCTION("""COMPUTED_VALUE"""),"Website:")</f>
        <v>Website:</v>
      </c>
      <c r="J16" s="7" t="str">
        <f>IFERROR(__xludf.DUMMYFUNCTION("""COMPUTED_VALUE"""),"https://clinicalaccelerator.com/")</f>
        <v>https://clinicalaccelerator.com/</v>
      </c>
      <c r="K16" s="6" t="str">
        <f>IFERROR(__xludf.DUMMYFUNCTION("""COMPUTED_VALUE"""),"@ClubQuarters")</f>
        <v>@ClubQuarters</v>
      </c>
    </row>
    <row r="17">
      <c r="B17" s="6" t="str">
        <f>IFERROR(__xludf.DUMMYFUNCTION("""COMPUTED_VALUE"""),"Club Quarters Hotels are full service hotels located in world-class cities 
in the U.S. and London. Designed for business and urban travelers, we have 
the accommodations, amenities and services needed to make your stay 
productive, enjoyable, and hassle-"&amp;"free.")</f>
        <v>Club Quarters Hotels are full service hotels located in world-class cities 
in the U.S. and London. Designed for business and urban travelers, we have 
the accommodations, amenities and services needed to make your stay 
productive, enjoyable, and hassle-free.</v>
      </c>
      <c r="C17" s="6"/>
      <c r="D17" s="6"/>
      <c r="E17" s="6"/>
      <c r="F17" s="6"/>
      <c r="I17" s="6" t="str">
        <f>IFERROR(__xludf.DUMMYFUNCTION("""COMPUTED_VALUE"""),"Website:")</f>
        <v>Website:</v>
      </c>
      <c r="J17" s="7" t="str">
        <f>IFERROR(__xludf.DUMMYFUNCTION("""COMPUTED_VALUE"""),"https://clubquartershotels.com/")</f>
        <v>https://clubquartershotels.com/</v>
      </c>
      <c r="K17" s="6" t="str">
        <f>IFERROR(__xludf.DUMMYFUNCTION("""COMPUTED_VALUE"""),"@cressetgroup")</f>
        <v>@cressetgroup</v>
      </c>
    </row>
    <row r="18">
      <c r="B18" s="6" t="str">
        <f>IFERROR(__xludf.DUMMYFUNCTION("""COMPUTED_VALUE"""),"We deliver solutions to optimize chemistry R&amp;D innovation and efficiency, 
enabling our customers to accelerate the development of better treatments 
to improve the health of humans, animals and the environment.")</f>
        <v>We deliver solutions to optimize chemistry R&amp;D innovation and efficiency, 
enabling our customers to accelerate the development of better treatments 
to improve the health of humans, animals and the environment.</v>
      </c>
      <c r="C18" s="6" t="str">
        <f>IFERROR(__xludf.DUMMYFUNCTION("""COMPUTED_VALUE"""),"Our intuitive software solutions are built on the combination of outstanding scientific rigor, ease-of-use 
and clear presentation of results scientists can rely on.")</f>
        <v>Our intuitive software solutions are built on the combination of outstanding scientific rigor, ease-of-use 
and clear presentation of results scientists can rely on.</v>
      </c>
      <c r="D18" s="6" t="str">
        <f>IFERROR(__xludf.DUMMYFUNCTION("""COMPUTED_VALUE"""),"Our contract research solutions provide access to the deepest molecular modeling expertise in the industry.")</f>
        <v>Our contract research solutions provide access to the deepest molecular modeling expertise in the industry.</v>
      </c>
      <c r="E18" s="6" t="str">
        <f>IFERROR(__xludf.DUMMYFUNCTION("""COMPUTED_VALUE"""),"Through provision of these agile offerings, we enable research chemists to 
make better molecule design and synthesis decisions. By unlocking new 
research insights and avenues, chemistry teams increase their chance of 
success in discovering new and bett"&amp;"er molecules.")</f>
        <v>Through provision of these agile offerings, we enable research chemists to 
make better molecule design and synthesis decisions. By unlocking new 
research insights and avenues, chemistry teams increase their chance of 
success in discovering new and better molecules.</v>
      </c>
      <c r="F18" s="6"/>
      <c r="I18" s="6" t="str">
        <f>IFERROR(__xludf.DUMMYFUNCTION("""COMPUTED_VALUE"""),"Website:")</f>
        <v>Website:</v>
      </c>
      <c r="J18" s="7" t="str">
        <f>IFERROR(__xludf.DUMMYFUNCTION("""COMPUTED_VALUE"""),"https://www.cresset-group.com/?gclid=Cj0KCQjw756lBhDMARIsAEI0AgmKpMyeAkV8HjP8R8JR32R-fMLMTxKek_HXx-ja55Gn2RbI06Tpdt4aAqClEALw_wcB")</f>
        <v>https://www.cresset-group.com/?gclid=Cj0KCQjw756lBhDMARIsAEI0AgmKpMyeAkV8HjP8R8JR32R-fMLMTxKek_HXx-ja55Gn2RbI06Tpdt4aAqClEALw_wcB</v>
      </c>
      <c r="K18" s="6" t="str">
        <f>IFERROR(__xludf.DUMMYFUNCTION("""COMPUTED_VALUE"""),"@CYTOSEEK")</f>
        <v>@CYTOSEEK</v>
      </c>
    </row>
    <row r="19">
      <c r="B19" s="6" t="str">
        <f>IFERROR(__xludf.DUMMYFUNCTION("""COMPUTED_VALUE"""),"CytoSeek's mission is to use Artificial Membrane Binding Protein technology 
to deliver the potential of the next generation of cell therapies, with a 
focus on treating solid tumours. ")</f>
        <v>CytoSeek's mission is to use Artificial Membrane Binding Protein technology 
to deliver the potential of the next generation of cell therapies, with a 
focus on treating solid tumours. </v>
      </c>
      <c r="C19" s="6" t="str">
        <f>IFERROR(__xludf.DUMMYFUNCTION("""COMPUTED_VALUE"""),"The company was founded in November 2017 to commercialise the technology 
developed by Professor Adam Perriman and his team at the University of Bristol.")</f>
        <v>The company was founded in November 2017 to commercialise the technology 
developed by Professor Adam Perriman and his team at the University of Bristol.</v>
      </c>
      <c r="D19" s="6" t="str">
        <f>IFERROR(__xludf.DUMMYFUNCTION("""COMPUTED_VALUE"""),"CytoSeek is now engaged in proof of principle studies for multiple product 
candidates, and is seeking to enhance cell therapies against solid tumours.")</f>
        <v>CytoSeek is now engaged in proof of principle studies for multiple product 
candidates, and is seeking to enhance cell therapies against solid tumours.</v>
      </c>
      <c r="E19" s="6"/>
      <c r="F19" s="6"/>
      <c r="I19" s="6" t="str">
        <f>IFERROR(__xludf.DUMMYFUNCTION("""COMPUTED_VALUE"""),"Website:")</f>
        <v>Website:</v>
      </c>
      <c r="J19" s="7" t="str">
        <f>IFERROR(__xludf.DUMMYFUNCTION("""COMPUTED_VALUE"""),"https://www.cytoseek.uk/")</f>
        <v>https://www.cytoseek.uk/</v>
      </c>
      <c r="K19" s="6" t="str">
        <f>IFERROR(__xludf.DUMMYFUNCTION("""COMPUTED_VALUE"""),"@Dell")</f>
        <v>@Dell</v>
      </c>
    </row>
    <row r="20">
      <c r="B20" s="6" t="str">
        <f>IFERROR(__xludf.DUMMYFUNCTION("""COMPUTED_VALUE"""),"We create technologies that drive human progress.")</f>
        <v>We create technologies that drive human progress.</v>
      </c>
      <c r="C20" s="6" t="str">
        <f>IFERROR(__xludf.DUMMYFUNCTION("""COMPUTED_VALUE"""),"Our story began with a belief and a passion: that everybody should have 
easy access to the best technology anywhere in the world. That was in 1984 
in Michael Dell’s University of Texas dorm room. Today, Dell Technologies 
is instrumental in changing the"&amp;" digital landscape the world over. ")</f>
        <v>Our story began with a belief and a passion: that everybody should have 
easy access to the best technology anywhere in the world. That was in 1984 
in Michael Dell’s University of Texas dorm room. Today, Dell Technologies 
is instrumental in changing the digital landscape the world over. </v>
      </c>
      <c r="D20" s="6" t="str">
        <f>IFERROR(__xludf.DUMMYFUNCTION("""COMPUTED_VALUE"""),"We are among the world’s leading technology companies helping to transform 
people’s lives with extraordinary capabilities. From hybrid cloud solutions 
to high-performance computing to ambitious social impact and sustainability 
initiatives, what we do i"&amp;"mpacts everyone, everywhere.")</f>
        <v>We are among the world’s leading technology companies helping to transform 
people’s lives with extraordinary capabilities. From hybrid cloud solutions 
to high-performance computing to ambitious social impact and sustainability 
initiatives, what we do impacts everyone, everywhere.</v>
      </c>
      <c r="E20" s="6"/>
      <c r="F20" s="6"/>
      <c r="I20" s="6" t="str">
        <f>IFERROR(__xludf.DUMMYFUNCTION("""COMPUTED_VALUE"""),"Website:")</f>
        <v>Website:</v>
      </c>
      <c r="J20" s="7" t="str">
        <f>IFERROR(__xludf.DUMMYFUNCTION("""COMPUTED_VALUE"""),"https://www.dell.com/en-uk")</f>
        <v>https://www.dell.com/en-uk</v>
      </c>
      <c r="K20" s="6" t="str">
        <f>IFERROR(__xludf.DUMMYFUNCTION("""COMPUTED_VALUE"""),"@erebagen")</f>
        <v>@erebagen</v>
      </c>
    </row>
    <row r="21">
      <c r="B21" s="6" t="str">
        <f>IFERROR(__xludf.DUMMYFUNCTION("""COMPUTED_VALUE"""),"Erebagen is a synthetic biology company that discovers truly novel 
bioactive products from microbes by activating previously silent gene 
clusters ")</f>
        <v>Erebagen is a synthetic biology company that discovers truly novel 
bioactive products from microbes by activating previously silent gene 
clusters </v>
      </c>
      <c r="C21" s="6" t="str">
        <f>IFERROR(__xludf.DUMMYFUNCTION("""COMPUTED_VALUE"""),"There is a lot still to be discovered in microbial genomes and Erebagen is 
using its platform technology to discover new:")</f>
        <v>There is a lot still to be discovered in microbial genomes and Erebagen is 
using its platform technology to discover new:</v>
      </c>
      <c r="D21" s="6" t="str">
        <f>IFERROR(__xludf.DUMMYFUNCTION("""COMPUTED_VALUE"""),"Compounds The structurally diverse bioactive compounds produced by microbes 
that can act as fantiastic starting points in developing new drugsChemistry How the biocatalysts involved on the production of metabolites 
work and how they can be used to perfo"&amp;"rm unnatural reactionsControl How biosynthetic pathways in microbes are controlled by regulators 
and how we can use these regulators to activate silent parts of the genomes")</f>
        <v>Compounds The structurally diverse bioactive compounds produced by microbes 
that can act as fantiastic starting points in developing new drugsChemistry How the biocatalysts involved on the production of metabolites 
work and how they can be used to perform unnatural reactionsControl How biosynthetic pathways in microbes are controlled by regulators 
and how we can use these regulators to activate silent parts of the genomes</v>
      </c>
      <c r="E21" s="6" t="str">
        <f>IFERROR(__xludf.DUMMYFUNCTION("""COMPUTED_VALUE"""),"We are preparing a future round of fund raising and if you would like to 
hear about our eningeering platform, our buisness plan or how you could 
work with us please reach out to us")</f>
        <v>We are preparing a future round of fund raising and if you would like to 
hear about our eningeering platform, our buisness plan or how you could 
work with us please reach out to us</v>
      </c>
      <c r="F21" s="6"/>
      <c r="I21" s="6" t="str">
        <f>IFERROR(__xludf.DUMMYFUNCTION("""COMPUTED_VALUE"""),"Website:")</f>
        <v>Website:</v>
      </c>
      <c r="J21" s="7" t="str">
        <f>IFERROR(__xludf.DUMMYFUNCTION("""COMPUTED_VALUE"""),"https://erebagen.com/")</f>
        <v>https://erebagen.com/</v>
      </c>
      <c r="K21" s="6" t="str">
        <f>IFERROR(__xludf.DUMMYFUNCTION("""COMPUTED_VALUE"""),"@SelciaLtd")</f>
        <v>@SelciaLtd</v>
      </c>
    </row>
    <row r="22">
      <c r="B22" s="6" t="str">
        <f>IFERROR(__xludf.DUMMYFUNCTION("""COMPUTED_VALUE"""),"Selcia, now part of Eurofins, is a global leader in 14C custom 
radiolabelling, stable isotope labelling and analytical services. With many 
years of experience our team of expert synthetic radiochemists can 
prepare radiolabelled molecules of almost any "&amp;"complexity for use in 
regulatory studies by the life sciences and chemical industries to 
understand: preclinical and clinical drug metabolism, human mass balance 
(GMP 14C Radiolabelled API), dermal penetration, tissue distribution and 
environmental fa"&amp;"te. Selcia also offers GLP NMR and analytical problem 
solving services to support regulatory submissions, as well as the 
profiling and synthesis of metabolites and process impurities.  www.selcia.com")</f>
        <v>Selcia, now part of Eurofins, is a global leader in 14C custom 
radiolabelling, stable isotope labelling and analytical services. With many 
years of experience our team of expert synthetic radiochemists can 
prepare radiolabelled molecules of almost any complexity for use in 
regulatory studies by the life sciences and chemical industries to 
understand: preclinical and clinical drug metabolism, human mass balance 
(GMP 14C Radiolabelled API), dermal penetration, tissue distribution and 
environmental fate. Selcia also offers GLP NMR and analytical problem 
solving services to support regulatory submissions, as well as the 
profiling and synthesis of metabolites and process impurities.  www.selcia.com</v>
      </c>
      <c r="C22" s="6"/>
      <c r="D22" s="6" t="str">
        <f>IFERROR(__xludf.DUMMYFUNCTION("""COMPUTED_VALUE"""),"14C Custom Radiolabelling for pre-clinical studies (ADME, Dermal 
Penetration, E-fate)  GMP Radiolabelled API for Clinical Trials , 14C-API for hAME and mass 
balance  Stable Labelling  (13C, 2H, 15N) Internal Standards, Metabolites and 
Impurities  GLP A"&amp;"nalysis Certification and Problem Solving including GLP NMR ")</f>
        <v>14C Custom Radiolabelling for pre-clinical studies (ADME, Dermal 
Penetration, E-fate)  GMP Radiolabelled API for Clinical Trials , 14C-API for hAME and mass 
balance  Stable Labelling  (13C, 2H, 15N) Internal Standards, Metabolites and 
Impurities  GLP Analysis Certification and Problem Solving including GLP NMR </v>
      </c>
      <c r="E22" s="6"/>
      <c r="F22" s="6" t="str">
        <f>IFERROR(__xludf.DUMMYFUNCTION("""COMPUTED_VALUE"""),"Radiolabelling to support Life Sciences: • Metabolism • Distribution • Mass 
Balance • Micro-dosing • Environmental fate • Dermal Penetration ")</f>
        <v>Radiolabelling to support Life Sciences: • Metabolism • Distribution • Mass 
Balance • Micro-dosing • Environmental fate • Dermal Penetration </v>
      </c>
      <c r="I22" s="6" t="str">
        <f>IFERROR(__xludf.DUMMYFUNCTION("""COMPUTED_VALUE"""),"Website:")</f>
        <v>Website:</v>
      </c>
      <c r="J22" s="7" t="str">
        <f>IFERROR(__xludf.DUMMYFUNCTION("""COMPUTED_VALUE"""),"http://www.selcia.com")</f>
        <v>http://www.selcia.com</v>
      </c>
      <c r="K22" s="6" t="str">
        <f>IFERROR(__xludf.DUMMYFUNCTION("""COMPUTED_VALUE"""),"@EvgenPharma")</f>
        <v>@EvgenPharma</v>
      </c>
    </row>
    <row r="23">
      <c r="B23" s="6" t="str">
        <f>IFERROR(__xludf.DUMMYFUNCTION("""COMPUTED_VALUE"""),"Evgen is a clinical stage drug development company focussed on the 
development of sulforaphane-based compounds, a new class of pharmaceuticals 
which are synthesised in a proprietary, well-tolerated, stable formulation. ")</f>
        <v>Evgen is a clinical stage drug development company focussed on the 
development of sulforaphane-based compounds, a new class of pharmaceuticals 
which are synthesised in a proprietary, well-tolerated, stable formulation. </v>
      </c>
      <c r="C23" s="6" t="str">
        <f>IFERROR(__xludf.DUMMYFUNCTION("""COMPUTED_VALUE"""),"There is a comprehensive intellectual property package over this 
technology, covering novel compositions and manufacturing methods. ")</f>
        <v>There is a comprehensive intellectual property package over this 
technology, covering novel compositions and manufacturing methods. </v>
      </c>
      <c r="D23" s="6" t="str">
        <f>IFERROR(__xludf.DUMMYFUNCTION("""COMPUTED_VALUE"""),"Evgen exploits sulforaphane’s activity in three distinct disease-relevant 
cellular pathways; inhibition of pSTAT3, of importance in controlling 
cancer metastases, up-regulation of Nrf2, a therapeutic target associated 
with a broad range of diseases whi"&amp;"ch are characterised by excessive 
oxidative stress, and inflammation and inhibition of SHP2, a target that 
has relevance in a number of solid tumours and haematological cancers.")</f>
        <v>Evgen exploits sulforaphane’s activity in three distinct disease-relevant 
cellular pathways; inhibition of pSTAT3, of importance in controlling 
cancer metastases, up-regulation of Nrf2, a therapeutic target associated 
with a broad range of diseases which are characterised by excessive 
oxidative stress, and inflammation and inhibition of SHP2, a target that 
has relevance in a number of solid tumours and haematological cancers.</v>
      </c>
      <c r="E23" s="6"/>
      <c r="F23" s="6"/>
      <c r="I23" s="6" t="str">
        <f>IFERROR(__xludf.DUMMYFUNCTION("""COMPUTED_VALUE"""),"Website:")</f>
        <v>Website:</v>
      </c>
      <c r="J23" s="7" t="str">
        <f>IFERROR(__xludf.DUMMYFUNCTION("""COMPUTED_VALUE"""),"https://evgen.com/")</f>
        <v>https://evgen.com/</v>
      </c>
    </row>
    <row r="24">
      <c r="A24" s="6" t="str">
        <f>IFERROR(__xludf.DUMMYFUNCTION("IMPORTXML(C1,A2)"),"Fusion Antibodies ")</f>
        <v>Fusion Antibodies </v>
      </c>
      <c r="B24" s="8" t="str">
        <f>IFERROR(__xludf.DUMMYFUNCTION("IMPORTXML(C1,B2)"),"Established in 2001, Fusion Antibodies is a Collaborative Research 
Organisation (CRO) with its headquarters in Northern Ireland. We are world 
leaders in antibody development services specializing in the discovery, 
engineering and supply of pre-clinical"&amp;" biologics to clinical Cell Line 
Development.")</f>
        <v>Established in 2001, Fusion Antibodies is a Collaborative Research 
Organisation (CRO) with its headquarters in Northern Ireland. We are world 
leaders in antibody development services specializing in the discovery, 
engineering and supply of pre-clinical biologics to clinical Cell Line 
Development.</v>
      </c>
      <c r="C24" s="6" t="str">
        <f>IFERROR(__xludf.DUMMYFUNCTION("""COMPUTED_VALUE"""),"We have guided hundreds of projects through critical pre-clinical stages, 
repeatedly proving our expertise as we strive to bring about a positive 
change in the healthcare industry.")</f>
        <v>We have guided hundreds of projects through critical pre-clinical stages, 
repeatedly proving our expertise as we strive to bring about a positive 
change in the healthcare industry.</v>
      </c>
      <c r="D24" s="6" t="str">
        <f>IFERROR(__xludf.DUMMYFUNCTION("""COMPUTED_VALUE"""),"Our approach to engineering and optimization is often to harness the power 
of the natural somatic hypermutation space. Fusion offers flexibility and 
agility while delivering clinical candidates focusing on developability, 
manufacturability and function"&amp;".")</f>
        <v>Our approach to engineering and optimization is often to harness the power 
of the natural somatic hypermutation space. Fusion offers flexibility and 
agility while delivering clinical candidates focusing on developability, 
manufacturability and function.</v>
      </c>
      <c r="E24" s="6" t="str">
        <f>IFERROR(__xludf.DUMMYFUNCTION("""COMPUTED_VALUE"""),"Fusion has developed a number of unique, proprietary technology platforms. 
Our suite of development capabilities include:")</f>
        <v>Fusion has developed a number of unique, proprietary technology platforms. 
Our suite of development capabilities include:</v>
      </c>
      <c r="F24" s="6" t="str">
        <f>IFERROR(__xludf.DUMMYFUNCTION("""COMPUTED_VALUE"""),"Antibody humanization (CDRx™)Affinity maturation (RAMP™)Protein engineeringDiscovery (mouse hybridoma and rabbit B cell approaches)Protein production – CHO and other mammalian systemsCell Line Development – cGMP ready mammalian cell lines (up to 8 g/L)Exp"&amp;"ert scientific &amp; technical advisory servicesBespoke &amp; collaborative large-scale research and development programs")</f>
        <v>Antibody humanization (CDRx™)Affinity maturation (RAMP™)Protein engineeringDiscovery (mouse hybridoma and rabbit B cell approaches)Protein production – CHO and other mammalian systemsCell Line Development – cGMP ready mammalian cell lines (up to 8 g/L)Expert scientific &amp; technical advisory servicesBespoke &amp; collaborative large-scale research and development programs</v>
      </c>
      <c r="I24" s="6" t="str">
        <f>IFERROR(__xludf.DUMMYFUNCTION("IMPORTXML(C1,C2)"),"Website:")</f>
        <v>Website:</v>
      </c>
      <c r="J24" s="7" t="str">
        <f>IFERROR(__xludf.DUMMYFUNCTION("""COMPUTED_VALUE"""),"https://www.fusionantibodies.com/")</f>
        <v>https://www.fusionantibodies.com/</v>
      </c>
      <c r="K24" s="6" t="str">
        <f>IFERROR(__xludf.DUMMYFUNCTION("IMPORTXML(C1,E2)"),"@FsnAntibodies")</f>
        <v>@FsnAntibodies</v>
      </c>
    </row>
    <row r="25">
      <c r="A25" s="6" t="str">
        <f>IFERROR(__xludf.DUMMYFUNCTION("""COMPUTED_VALUE"""),"Galen ")</f>
        <v>Galen </v>
      </c>
      <c r="B25" s="6" t="str">
        <f>IFERROR(__xludf.DUMMYFUNCTION("""COMPUTED_VALUE"""),"Galen are a global pharmaceutical company selling medicines worldwide in 
the areas of pain management, dermatology and gastroenterology, and partner 
with like-minded companies to accomplish this.")</f>
        <v>Galen are a global pharmaceutical company selling medicines worldwide in 
the areas of pain management, dermatology and gastroenterology, and partner 
with like-minded companies to accomplish this.</v>
      </c>
      <c r="C25" s="6" t="str">
        <f>IFERROR(__xludf.DUMMYFUNCTION("""COMPUTED_VALUE"""),"Established in 1968, with headquarters in Craigavon, Northern Ireland, 
Galen works in partnership with healthcare professionals and patients to 
advance human health. They actively seek new markets and new opportunities, 
toward fulfilling their vision o"&amp;"f creating a truly international 
pharmaceutical company from our base in Northern Ireland.")</f>
        <v>Established in 1968, with headquarters in Craigavon, Northern Ireland, 
Galen works in partnership with healthcare professionals and patients to 
advance human health. They actively seek new markets and new opportunities, 
toward fulfilling their vision of creating a truly international 
pharmaceutical company from our base in Northern Ireland.</v>
      </c>
      <c r="D25" s="6" t="str">
        <f>IFERROR(__xludf.DUMMYFUNCTION("""COMPUTED_VALUE"""),"By combining innovation in product development with competitive pricing, 
Galen works in partnership with healthcare professionals and patients to 
create real, long-term value, a major factor in our success to date.")</f>
        <v>By combining innovation in product development with competitive pricing, 
Galen works in partnership with healthcare professionals and patients to 
create real, long-term value, a major factor in our success to date.</v>
      </c>
      <c r="E25" s="6" t="str">
        <f>IFERROR(__xludf.DUMMYFUNCTION("""COMPUTED_VALUE"""),"Galen expertise lies in")</f>
        <v>Galen expertise lies in</v>
      </c>
      <c r="F25" s="6" t="str">
        <f>IFERROR(__xludf.DUMMYFUNCTION("""COMPUTED_VALUE"""),"sales, marketing and launch excellencemarket accessregulatory affairs, pharmacovigilance and medical affairssupply chain and logistics.")</f>
        <v>sales, marketing and launch excellencemarket accessregulatory affairs, pharmacovigilance and medical affairssupply chain and logistics.</v>
      </c>
      <c r="I25" s="6" t="str">
        <f>IFERROR(__xludf.DUMMYFUNCTION("""COMPUTED_VALUE"""),"Website:")</f>
        <v>Website:</v>
      </c>
      <c r="J25" s="7" t="str">
        <f>IFERROR(__xludf.DUMMYFUNCTION("""COMPUTED_VALUE"""),"https://www.galen-pharma.com/")</f>
        <v>https://www.galen-pharma.com/</v>
      </c>
      <c r="K25" s="6" t="str">
        <f>IFERROR(__xludf.DUMMYFUNCTION("""COMPUTED_VALUE"""),"@GalenLtd")</f>
        <v>@GalenLtd</v>
      </c>
    </row>
    <row r="26">
      <c r="A26" s="6" t="str">
        <f>IFERROR(__xludf.DUMMYFUNCTION("""COMPUTED_VALUE"""),"hVIVO ")</f>
        <v>hVIVO </v>
      </c>
      <c r="B26" s="6" t="str">
        <f>IFERROR(__xludf.DUMMYFUNCTION("""COMPUTED_VALUE"""),"We are hVIVO plc (formerly Open Orphan plc) a rapidly growing specialist 
contract research organisation (CRO) and the world leader in testing 
infectious and respiratory disease vaccines and antivirals using human 
challenge clinical trials. We provide e"&amp;"nd-to-end early clinical development 
services for our broad and long-standing client base of global biopharma 
companies.")</f>
        <v>We are hVIVO plc (formerly Open Orphan plc) a rapidly growing specialist 
contract research organisation (CRO) and the world leader in testing 
infectious and respiratory disease vaccines and antivirals using human 
challenge clinical trials. We provide end-to-end early clinical development 
services for our broad and long-standing client base of global biopharma 
companies.</v>
      </c>
      <c r="C26" s="6" t="str">
        <f>IFERROR(__xludf.DUMMYFUNCTION("""COMPUTED_VALUE"""),"The Group's fast-growing services business includes a unique portfolio of 
10+ human challenge models to test a broad range of infectious and 
respiratory disease products, world class challenge agent manufacturing, 
specialist drug development and clinic"&amp;"al consultancy services via its Venn 
Life Sciences brand, and a lab offering via its hLAB brand, which includes 
virology, immunology biomarker and molecular testing. The Group offers 
additional clinical field trial services such as patient recruitment "&amp;"and 
clinical trial site services.")</f>
        <v>The Group's fast-growing services business includes a unique portfolio of 
10+ human challenge models to test a broad range of infectious and 
respiratory disease products, world class challenge agent manufacturing, 
specialist drug development and clinical consultancy services via its Venn 
Life Sciences brand, and a lab offering via its hLAB brand, which includes 
virology, immunology biomarker and molecular testing. The Group offers 
additional clinical field trial services such as patient recruitment and 
clinical trial site services.</v>
      </c>
      <c r="D26" s="6" t="str">
        <f>IFERROR(__xludf.DUMMYFUNCTION("""COMPUTED_VALUE"""),"hVIVO runs challenge studies in London from its Whitechapel quarantine 
clinic, its state-of-the-art QMB clinic with its highly specialised on-site 
virology and immunology laboratory, and its clinic in Plumbers Row. To 
recruit volunteers / patients for "&amp;"its studies, the Company leverages its 
unique clinical trial recruitment capacity via its FluCamp volunteer 
screening facilities in London and Manchester.")</f>
        <v>hVIVO runs challenge studies in London from its Whitechapel quarantine 
clinic, its state-of-the-art QMB clinic with its highly specialised on-site 
virology and immunology laboratory, and its clinic in Plumbers Row. To 
recruit volunteers / patients for its studies, the Company leverages its 
unique clinical trial recruitment capacity via its FluCamp volunteer 
screening facilities in London and Manchester.</v>
      </c>
      <c r="E26" s="6"/>
      <c r="F26" s="6"/>
      <c r="I26" s="6" t="str">
        <f>IFERROR(__xludf.DUMMYFUNCTION("""COMPUTED_VALUE"""),"Website:")</f>
        <v>Website:</v>
      </c>
      <c r="J26" s="7" t="str">
        <f>IFERROR(__xludf.DUMMYFUNCTION("""COMPUTED_VALUE"""),"https://hvivo.com")</f>
        <v>https://hvivo.com</v>
      </c>
      <c r="K26" s="6" t="str">
        <f>IFERROR(__xludf.DUMMYFUNCTION("""COMPUTED_VALUE"""),"@hVIVO_UK")</f>
        <v>@hVIVO_UK</v>
      </c>
    </row>
    <row r="27">
      <c r="A27" s="6" t="str">
        <f>IFERROR(__xludf.DUMMYFUNCTION("""COMPUTED_VALUE"""),"IDEA Regulatory ")</f>
        <v>IDEA Regulatory </v>
      </c>
      <c r="B27" s="6" t="str">
        <f>IFERROR(__xludf.DUMMYFUNCTION("""COMPUTED_VALUE"""),"IDEA is passionate about getting innovative products to patients with unmet 
needs and we particularly enjoy putting our full weight of innovative 
thinking and regulatory expertise behind innovative medicine.")</f>
        <v>IDEA is passionate about getting innovative products to patients with unmet 
needs and we particularly enjoy putting our full weight of innovative 
thinking and regulatory expertise behind innovative medicine.</v>
      </c>
      <c r="C27" s="6"/>
      <c r="D27" s="6"/>
      <c r="E27" s="6"/>
      <c r="F27" s="6"/>
      <c r="I27" s="6" t="str">
        <f>IFERROR(__xludf.DUMMYFUNCTION("""COMPUTED_VALUE"""),"Website:")</f>
        <v>Website:</v>
      </c>
      <c r="J27" s="7" t="str">
        <f>IFERROR(__xludf.DUMMYFUNCTION("""COMPUTED_VALUE"""),"https://idearegulatory.com/")</f>
        <v>https://idearegulatory.com/</v>
      </c>
      <c r="K27" s="6" t="str">
        <f>IFERROR(__xludf.DUMMYFUNCTION("""COMPUTED_VALUE"""),"@InSilicoTrials")</f>
        <v>@InSilicoTrials</v>
      </c>
    </row>
    <row r="28">
      <c r="A28" s="6" t="str">
        <f>IFERROR(__xludf.DUMMYFUNCTION("""COMPUTED_VALUE"""),"InSilicoTrials ")</f>
        <v>InSilicoTrials </v>
      </c>
      <c r="B28" s="6" t="str">
        <f>IFERROR(__xludf.DUMMYFUNCTION("""COMPUTED_VALUE"""),"InSilicoTrials is an emerging startup founded in 2018 by a team of life 
science, cybersecurity and digital innovation experts, which aims to 
revolutionize Healthcare through an innovative digital simulation 
platform, where complex computational simulat"&amp;"ions run in an easy and 
cost-effective way to hyper- accelerate drug &amp; medical device development. ")</f>
        <v>InSilicoTrials is an emerging startup founded in 2018 by a team of life 
science, cybersecurity and digital innovation experts, which aims to 
revolutionize Healthcare through an innovative digital simulation 
platform, where complex computational simulations run in an easy and 
cost-effective way to hyper- accelerate drug &amp; medical device development. </v>
      </c>
      <c r="C28" s="6" t="str">
        <f>IFERROR(__xludf.DUMMYFUNCTION("""COMPUTED_VALUE"""),"We offer Pharma and MedTech companies state-of-the-art 
simulation tools that can highly reduce the cost and time of  drugs &amp; 
medical products’ development. The in silico technology can increase the 
quality of life of millions of patients by allowing ch"&amp;"eaper treatments, 
bringing innovative drugs to the market in a shorter time, together with 
personalized cures and new solutions for rare diseases. ")</f>
        <v>We offer Pharma and MedTech companies state-of-the-art 
simulation tools that can highly reduce the cost and time of  drugs &amp; 
medical products’ development. The in silico technology can increase the 
quality of life of millions of patients by allowing cheaper treatments, 
bringing innovative drugs to the market in a shorter time, together with 
personalized cures and new solutions for rare diseases. </v>
      </c>
      <c r="D28" s="6"/>
      <c r="E28" s="6"/>
      <c r="F28" s="6"/>
      <c r="I28" s="6" t="str">
        <f>IFERROR(__xludf.DUMMYFUNCTION("""COMPUTED_VALUE"""),"Website:")</f>
        <v>Website:</v>
      </c>
      <c r="J28" s="7" t="str">
        <f>IFERROR(__xludf.DUMMYFUNCTION("""COMPUTED_VALUE"""),"https://insilicotrials.com/")</f>
        <v>https://insilicotrials.com/</v>
      </c>
      <c r="K28" s="6" t="str">
        <f>IFERROR(__xludf.DUMMYFUNCTION("""COMPUTED_VALUE"""),"@intractpharma")</f>
        <v>@intractpharma</v>
      </c>
    </row>
    <row r="29">
      <c r="A29" s="6" t="str">
        <f>IFERROR(__xludf.DUMMYFUNCTION("""COMPUTED_VALUE"""),"Intract Pharma ")</f>
        <v>Intract Pharma </v>
      </c>
      <c r="B29" s="6" t="str">
        <f>IFERROR(__xludf.DUMMYFUNCTION("""COMPUTED_VALUE"""),"Intract Pharma Limited is an oral drug delivery licensing and product 
development company offering a range of proprietary formulation 
technologies to deliver novel and optimised therapeutics targeted to 
patient needs. The company is a spin-out of Unive"&amp;"rsity College London, and 
is centred around over 15 years of research and innovation from the 
laboratory of Professor Abdul Basit. Intract's range of formulation 
technologies includes Phloral™ for colon targeted delivery, and 
ProRelease™, a versatile "&amp;"microparticulate delivery system.")</f>
        <v>Intract Pharma Limited is an oral drug delivery licensing and product 
development company offering a range of proprietary formulation 
technologies to deliver novel and optimised therapeutics targeted to 
patient needs. The company is a spin-out of University College London, and 
is centred around over 15 years of research and innovation from the 
laboratory of Professor Abdul Basit. Intract's range of formulation 
technologies includes Phloral™ for colon targeted delivery, and 
ProRelease™, a versatile microparticulate delivery system.</v>
      </c>
      <c r="C29" s="6"/>
      <c r="D29" s="6"/>
      <c r="E29" s="6"/>
      <c r="F29" s="6"/>
      <c r="I29" s="6" t="str">
        <f>IFERROR(__xludf.DUMMYFUNCTION("""COMPUTED_VALUE"""),"Website:")</f>
        <v>Website:</v>
      </c>
      <c r="J29" s="7" t="str">
        <f>IFERROR(__xludf.DUMMYFUNCTION("""COMPUTED_VALUE"""),"https://www.intractpharma.com/")</f>
        <v>https://www.intractpharma.com/</v>
      </c>
      <c r="K29" s="6" t="str">
        <f>IFERROR(__xludf.DUMMYFUNCTION("""COMPUTED_VALUE"""),"@isogenicaltd")</f>
        <v>@isogenicaltd</v>
      </c>
    </row>
    <row r="30">
      <c r="A30" s="6" t="str">
        <f>IFERROR(__xludf.DUMMYFUNCTION("""COMPUTED_VALUE"""),"Isogenica ")</f>
        <v>Isogenica </v>
      </c>
      <c r="B30" s="6" t="str">
        <f>IFERROR(__xludf.DUMMYFUNCTION("""COMPUTED_VALUE"""),"Isogenica is at the forefront of synthetic biology, pursuing a mission to 
provide the fastest, most efficient engine for therapeutic antibody 
discovery. Isogenica is developing LlamdA™ (single domain VHH) and 
Alexandria™ (human Fab) therapeutic antibod"&amp;"ies based on its proprietary 
fully synthetic antibody libraries and leveraging its CIS Display and 
Colibra™ technologies to accelerate the discovery and development process.")</f>
        <v>Isogenica is at the forefront of synthetic biology, pursuing a mission to 
provide the fastest, most efficient engine for therapeutic antibody 
discovery. Isogenica is developing LlamdA™ (single domain VHH) and 
Alexandria™ (human Fab) therapeutic antibodies based on its proprietary 
fully synthetic antibody libraries and leveraging its CIS Display and 
Colibra™ technologies to accelerate the discovery and development process.</v>
      </c>
      <c r="C30" s="6"/>
      <c r="D30" s="6"/>
      <c r="E30" s="6"/>
      <c r="F30" s="6"/>
      <c r="I30" s="6" t="str">
        <f>IFERROR(__xludf.DUMMYFUNCTION("""COMPUTED_VALUE"""),"Website:")</f>
        <v>Website:</v>
      </c>
      <c r="J30" s="7" t="str">
        <f>IFERROR(__xludf.DUMMYFUNCTION("""COMPUTED_VALUE"""),"www.isogenica.com")</f>
        <v>www.isogenica.com</v>
      </c>
      <c r="K30" s="6" t="str">
        <f>IFERROR(__xludf.DUMMYFUNCTION("""COMPUTED_VALUE"""),"@LSXLeaders")</f>
        <v>@LSXLeaders</v>
      </c>
    </row>
    <row r="31">
      <c r="A31" s="6" t="str">
        <f>IFERROR(__xludf.DUMMYFUNCTION("""COMPUTED_VALUE"""),"Lifescience Industry News ")</f>
        <v>Lifescience Industry News </v>
      </c>
      <c r="B31" s="6" t="str">
        <f>IFERROR(__xludf.DUMMYFUNCTION("""COMPUTED_VALUE"""),"Lifescience Industry magazine is a collaboration between regional, national 
and international life science partners including BioPartner UK.It includes the latest news and developments from the life science 
industry, with editorial covering the complete"&amp;" health technology spectrum, 
as well as funding, trade and collaboration opportunities. Currently circulated twice a year to over 40,000 named individuals, it is 
consistently distributed at key industry events around the world and is 
available online.B"&amp;"ioPartner members can submit articles free of charge, and receive 15% off 
all advertising packages.")</f>
        <v>Lifescience Industry magazine is a collaboration between regional, national 
and international life science partners including BioPartner UK.It includes the latest news and developments from the life science 
industry, with editorial covering the complete health technology spectrum, 
as well as funding, trade and collaboration opportunities. Currently circulated twice a year to over 40,000 named individuals, it is 
consistently distributed at key industry events around the world and is 
available online.BioPartner members can submit articles free of charge, and receive 15% off 
all advertising packages.</v>
      </c>
      <c r="C31" s="6"/>
      <c r="D31" s="6"/>
      <c r="E31" s="6"/>
      <c r="F31" s="6"/>
      <c r="I31" s="6" t="str">
        <f>IFERROR(__xludf.DUMMYFUNCTION("""COMPUTED_VALUE"""),"Website:")</f>
        <v>Website:</v>
      </c>
      <c r="J31" s="7" t="str">
        <f>IFERROR(__xludf.DUMMYFUNCTION("""COMPUTED_VALUE"""),"https://www.lifescienceindustrynews.com/mediapack/")</f>
        <v>https://www.lifescienceindustrynews.com/mediapack/</v>
      </c>
      <c r="K31" s="6" t="str">
        <f>IFERROR(__xludf.DUMMYFUNCTION("""COMPUTED_VALUE"""),"@MawdsleysUK")</f>
        <v>@MawdsleysUK</v>
      </c>
    </row>
    <row r="32">
      <c r="A32" s="6" t="str">
        <f>IFERROR(__xludf.DUMMYFUNCTION("""COMPUTED_VALUE"""),"LSX Leaders ")</f>
        <v>LSX Leaders </v>
      </c>
      <c r="B32" s="6" t="str">
        <f>IFERROR(__xludf.DUMMYFUNCTION("""COMPUTED_VALUE"""),"LSX is a growing influential community of senior life science decision 
makers, and are a catalyst for dialogue, debate and deal making to help 
lead growth in healthcare investment and the building of billion pound 
healthcare businesses. LSX is determin"&amp;"ed to forge a fundamentally better 
way to promote and facilitate investment, financing, partnerships and deal 
making in healthcare.")</f>
        <v>LSX is a growing influential community of senior life science decision 
makers, and are a catalyst for dialogue, debate and deal making to help 
lead growth in healthcare investment and the building of billion pound 
healthcare businesses. LSX is determined to forge a fundamentally better 
way to promote and facilitate investment, financing, partnerships and deal 
making in healthcare.</v>
      </c>
      <c r="C32" s="6" t="str">
        <f>IFERROR(__xludf.DUMMYFUNCTION("""COMPUTED_VALUE"""),"Their community helps catalyse early stage innovation through peer-to-peer 
education and knowledge sharing, networking, partnering and deal making to 
champion the most innovative and exciting ideas. LSX brings deals to life.")</f>
        <v>Their community helps catalyse early stage innovation through peer-to-peer 
education and knowledge sharing, networking, partnering and deal making to 
champion the most innovative and exciting ideas. LSX brings deals to life.</v>
      </c>
      <c r="D32" s="6"/>
      <c r="E32" s="6"/>
      <c r="F32" s="6"/>
      <c r="I32" s="6" t="str">
        <f>IFERROR(__xludf.DUMMYFUNCTION("""COMPUTED_VALUE"""),"Website:")</f>
        <v>Website:</v>
      </c>
      <c r="J32" s="7" t="str">
        <f>IFERROR(__xludf.DUMMYFUNCTION("""COMPUTED_VALUE"""),"www.lsxleaders.com/")</f>
        <v>www.lsxleaders.com/</v>
      </c>
    </row>
    <row r="33">
      <c r="A33" s="6" t="str">
        <f>IFERROR(__xludf.DUMMYFUNCTION("""COMPUTED_VALUE"""),"Mawdsleys ")</f>
        <v>Mawdsleys </v>
      </c>
      <c r="B33" s="6" t="str">
        <f>IFERROR(__xludf.DUMMYFUNCTION("""COMPUTED_VALUE"""),"Mawdsleys is the largest independent pharmaceutical wholesalers in the UK with a fast-growing international network supplying medicines to 
meet patient needs and providing a route to market for manufacturers.")</f>
        <v>Mawdsleys is the largest independent pharmaceutical wholesalers in the UK with a fast-growing international network supplying medicines to 
meet patient needs and providing a route to market for manufacturers.</v>
      </c>
      <c r="C33" s="6" t="str">
        <f>IFERROR(__xludf.DUMMYFUNCTION("""COMPUTED_VALUE"""),"With a history tracing back to 1825, Mawdsleys has the pedigree and 
resources to be the reliable and experienced supplier of choice to 
hospitals and pharmacies around the world.")</f>
        <v>With a history tracing back to 1825, Mawdsleys has the pedigree and 
resources to be the reliable and experienced supplier of choice to 
hospitals and pharmacies around the world.</v>
      </c>
      <c r="D33" s="6"/>
      <c r="E33" s="6"/>
      <c r="F33" s="6"/>
      <c r="I33" s="6" t="str">
        <f>IFERROR(__xludf.DUMMYFUNCTION("""COMPUTED_VALUE"""),"Website:")</f>
        <v>Website:</v>
      </c>
      <c r="J33" s="7" t="str">
        <f>IFERROR(__xludf.DUMMYFUNCTION("""COMPUTED_VALUE"""),"https://www.mawdsleys.co.uk/")</f>
        <v>https://www.mawdsleys.co.uk/</v>
      </c>
      <c r="K33" s="6" t="s">
        <v>85</v>
      </c>
    </row>
    <row r="34">
      <c r="A34" s="6" t="str">
        <f>IFERROR(__xludf.DUMMYFUNCTION("IMPORTXML(D1,A2)"),"MedCity ")</f>
        <v>MedCity </v>
      </c>
      <c r="B34" s="6" t="str">
        <f>IFERROR(__xludf.DUMMYFUNCTION("IMPORTXML(D1,B2)"),"MedCity is the life sciences cluster organisation for London and the 
greater south east of England, set up in 2014 by the Mayor of London and 
the region’s three Academic Health Science Centres. They are funded by the 
Greater London Authority and Resear"&amp;"ch England, and as a not-for-profit are 
able to act as a neutral and independent convener across industry, academia 
and the public sector. London and the greater south east is home to a rich life sciences cluster, 
with more than 3,400 life sciences com"&amp;"panies, four of the world’s top ten 
universities, 19 of the top 20 global pharmaceutical companies and world 
class research centres including The Francis Crick Institute, Harwell 
Oxford and The Sanger Institute.MedCity's ambition is for their region to"&amp;" be the unequivocal place of 
choice for world-leading health and life sciences innovation, R&amp;D, 
manufacture and commercialisation.")</f>
        <v>MedCity is the life sciences cluster organisation for London and the 
greater south east of England, set up in 2014 by the Mayor of London and 
the region’s three Academic Health Science Centres. They are funded by the 
Greater London Authority and Research England, and as a not-for-profit are 
able to act as a neutral and independent convener across industry, academia 
and the public sector. London and the greater south east is home to a rich life sciences cluster, 
with more than 3,400 life sciences companies, four of the world’s top ten 
universities, 19 of the top 20 global pharmaceutical companies and world 
class research centres including The Francis Crick Institute, Harwell 
Oxford and The Sanger Institute.MedCity's ambition is for their region to be the unequivocal place of 
choice for world-leading health and life sciences innovation, R&amp;D, 
manufacture and commercialisation.</v>
      </c>
      <c r="C34" s="6"/>
      <c r="D34" s="6"/>
      <c r="E34" s="6"/>
      <c r="F34" s="6"/>
      <c r="G34" s="6"/>
      <c r="I34" s="6" t="str">
        <f>IFERROR(__xludf.DUMMYFUNCTION("IMPORTXML(D1,C2)"),"Website:")</f>
        <v>Website:</v>
      </c>
      <c r="J34" s="7" t="str">
        <f>IFERROR(__xludf.DUMMYFUNCTION("""COMPUTED_VALUE"""),"https://www.medcityhq.com/")</f>
        <v>https://www.medcityhq.com/</v>
      </c>
      <c r="K34" s="6" t="str">
        <f>IFERROR(__xludf.DUMMYFUNCTION("IMPORTXML(D1,E2)"),"@medherant")</f>
        <v>@medherant</v>
      </c>
    </row>
    <row r="35">
      <c r="A35" s="6" t="str">
        <f>IFERROR(__xludf.DUMMYFUNCTION("""COMPUTED_VALUE"""),"Medherant ")</f>
        <v>Medherant </v>
      </c>
      <c r="B35" s="6" t="str">
        <f>IFERROR(__xludf.DUMMYFUNCTION("""COMPUTED_VALUE"""),"Medherant is developing a pipeline of products for pain and neurology 
indications, based on our next-generation TEPI-Patch® transdermal drug 
technology. Our first product – Ibuprofen TEPI Patch – entered the clinic 
in 2018.")</f>
        <v>Medherant is developing a pipeline of products for pain and neurology 
indications, based on our next-generation TEPI-Patch® transdermal drug 
technology. Our first product – Ibuprofen TEPI Patch – entered the clinic 
in 2018.</v>
      </c>
      <c r="C35" s="6" t="str">
        <f>IFERROR(__xludf.DUMMYFUNCTION("""COMPUTED_VALUE"""),"Key advantages of the TEPI Patch® technology over current technologies are 
the high payload and very efficient release of drug.  This enables lower 
potency drugs to be formulated as a patch and provides the opportunity to 
increase the dose of drugs alr"&amp;"eady administered via a patch whilst also 
minimising the residual drug after use.  ")</f>
        <v>Key advantages of the TEPI Patch® technology over current technologies are 
the high payload and very efficient release of drug.  This enables lower 
potency drugs to be formulated as a patch and provides the opportunity to 
increase the dose of drugs already administered via a patch whilst also 
minimising the residual drug after use.  </v>
      </c>
      <c r="D35" s="6" t="str">
        <f>IFERROR(__xludf.DUMMYFUNCTION("""COMPUTED_VALUE"""),"The TEPI Patch® also provides a better experience for the user as it does 
not leave a residue around the patch – referred to as ‘cold flow’ – and has 
excellent adhesion whilst still being easy and painless to remove. No 
organic solvents are involved in"&amp;" this drug-in-adhesive system.")</f>
        <v>The TEPI Patch® also provides a better experience for the user as it does 
not leave a residue around the patch – referred to as ‘cold flow’ – and has 
excellent adhesion whilst still being easy and painless to remove. No 
organic solvents are involved in this drug-in-adhesive system.</v>
      </c>
      <c r="E35" s="6" t="str">
        <f>IFERROR(__xludf.DUMMYFUNCTION("""COMPUTED_VALUE"""),"As well as developing our own products, Medherant offers pharma companies 
rapid feasibility studies using our proprietary high throughput permeation 
study system to develop transdermal formulations of their drugs of interest.")</f>
        <v>As well as developing our own products, Medherant offers pharma companies 
rapid feasibility studies using our proprietary high throughput permeation 
study system to develop transdermal formulations of their drugs of interest.</v>
      </c>
      <c r="F35" s="6"/>
      <c r="G35" s="6"/>
      <c r="I35" s="6" t="str">
        <f>IFERROR(__xludf.DUMMYFUNCTION("""COMPUTED_VALUE"""),"Website:")</f>
        <v>Website:</v>
      </c>
      <c r="J35" s="7" t="str">
        <f>IFERROR(__xludf.DUMMYFUNCTION("""COMPUTED_VALUE"""),"http://www.medherant.co.uk/")</f>
        <v>http://www.medherant.co.uk/</v>
      </c>
      <c r="K35" s="6" t="str">
        <f>IFERROR(__xludf.DUMMYFUNCTION("""COMPUTED_VALUE"""),"@mediwales")</f>
        <v>@mediwales</v>
      </c>
    </row>
    <row r="36">
      <c r="A36" s="6" t="str">
        <f>IFERROR(__xludf.DUMMYFUNCTION("""COMPUTED_VALUE"""),"MediWales ")</f>
        <v>MediWales </v>
      </c>
      <c r="B36" s="6" t="str">
        <f>IFERROR(__xludf.DUMMYFUNCTION("""COMPUTED_VALUE"""),"MediWales is the life science network and representative body for Wales. An 
independent, not-for-profit organisation that is owned by its members, 
MediWales provides advice, support, business opportunities and promotes 
collaborations for the life scien"&amp;"ce and health technology community in 
Wales. ")</f>
        <v>MediWales is the life science network and representative body for Wales. An 
independent, not-for-profit organisation that is owned by its members, 
MediWales provides advice, support, business opportunities and promotes 
collaborations for the life science and health technology community in 
Wales. </v>
      </c>
      <c r="C36" s="6" t="str">
        <f>IFERROR(__xludf.DUMMYFUNCTION("""COMPUTED_VALUE"""),"MediWales delivers an extensive events programme, including the UK 
HealthTech conference and the MediWales Innovation Awards and produces a 
number of publications including UK Lifescience Industry magazine, the 
Annual Directory and Review, and case stu"&amp;"dy magazine LifeStories. MediWales 
promotes and supports its members in Wales, across the UK and 
internationally. ")</f>
        <v>MediWales delivers an extensive events programme, including the UK 
HealthTech conference and the MediWales Innovation Awards and produces a 
number of publications including UK Lifescience Industry magazine, the 
Annual Directory and Review, and case study magazine LifeStories. MediWales 
promotes and supports its members in Wales, across the UK and 
internationally. </v>
      </c>
      <c r="D36" s="6"/>
      <c r="E36" s="6"/>
      <c r="F36" s="6"/>
      <c r="G36" s="6"/>
      <c r="I36" s="6" t="str">
        <f>IFERROR(__xludf.DUMMYFUNCTION("""COMPUTED_VALUE"""),"Website:")</f>
        <v>Website:</v>
      </c>
      <c r="J36" s="7" t="str">
        <f>IFERROR(__xludf.DUMMYFUNCTION("""COMPUTED_VALUE"""),"http://www.mediwales.com")</f>
        <v>http://www.mediwales.com</v>
      </c>
      <c r="K36" s="6" t="str">
        <f>IFERROR(__xludf.DUMMYFUNCTION("""COMPUTED_VALUE"""),"@mironidltd ")</f>
        <v>@mironidltd </v>
      </c>
    </row>
    <row r="37">
      <c r="A37" s="6" t="str">
        <f>IFERROR(__xludf.DUMMYFUNCTION("""COMPUTED_VALUE"""),"Mironid ")</f>
        <v>Mironid </v>
      </c>
      <c r="B37" s="6" t="str">
        <f>IFERROR(__xludf.DUMMYFUNCTION("""COMPUTED_VALUE"""),"Mironid is an innovative drug discovery company that develops proprietary 
drug candidate molecules by modulating the activity of key cell signaling 
proteins. ")</f>
        <v>Mironid is an innovative drug discovery company that develops proprietary 
drug candidate molecules by modulating the activity of key cell signaling 
proteins. </v>
      </c>
      <c r="C37" s="6"/>
      <c r="D37" s="6"/>
      <c r="E37" s="6"/>
      <c r="F37" s="6"/>
      <c r="G37" s="6"/>
      <c r="I37" s="6" t="str">
        <f>IFERROR(__xludf.DUMMYFUNCTION("""COMPUTED_VALUE"""),"Website:")</f>
        <v>Website:</v>
      </c>
      <c r="J37" s="7" t="str">
        <f>IFERROR(__xludf.DUMMYFUNCTION("""COMPUTED_VALUE"""),"http://www.mironid.com/")</f>
        <v>http://www.mironid.com/</v>
      </c>
      <c r="K37" s="6" t="str">
        <f>IFERROR(__xludf.DUMMYFUNCTION("""COMPUTED_VALUE"""),"@nevrargenics")</f>
        <v>@nevrargenics</v>
      </c>
    </row>
    <row r="38">
      <c r="A38" s="6" t="str">
        <f>IFERROR(__xludf.DUMMYFUNCTION("""COMPUTED_VALUE"""),"Nevrargenics ")</f>
        <v>Nevrargenics </v>
      </c>
      <c r="B38" s="6" t="str">
        <f>IFERROR(__xludf.DUMMYFUNCTION("""COMPUTED_VALUE"""),"Our vision is to employ new dual-acting retinoic acid receptor modulators 
(RAR-M) as the basis for developing a new rational effective treatment 
approach for ALS and meet that unmet need. In the longer term, we see a 
great opportunity to use our IP fro"&amp;"m the ALS arena to move on to target the 
wider range of neurodegenerative diseases. ")</f>
        <v>Our vision is to employ new dual-acting retinoic acid receptor modulators 
(RAR-M) as the basis for developing a new rational effective treatment 
approach for ALS and meet that unmet need. In the longer term, we see a 
great opportunity to use our IP from the ALS arena to move on to target the 
wider range of neurodegenerative diseases. </v>
      </c>
      <c r="C38" s="6"/>
      <c r="D38" s="6"/>
      <c r="E38" s="6"/>
      <c r="F38" s="6"/>
      <c r="G38" s="6"/>
      <c r="I38" s="6" t="str">
        <f>IFERROR(__xludf.DUMMYFUNCTION("""COMPUTED_VALUE"""),"Website:")</f>
        <v>Website:</v>
      </c>
      <c r="J38" s="7" t="str">
        <f>IFERROR(__xludf.DUMMYFUNCTION("""COMPUTED_VALUE"""),"https://nevrargenics.com/")</f>
        <v>https://nevrargenics.com/</v>
      </c>
      <c r="K38" s="6" t="str">
        <f>IFERROR(__xludf.DUMMYFUNCTION("""COMPUTED_VALUE"""),"@NIHRresearch")</f>
        <v>@NIHRresearch</v>
      </c>
    </row>
    <row r="39">
      <c r="A39" s="6" t="str">
        <f>IFERROR(__xludf.DUMMYFUNCTION("""COMPUTED_VALUE"""),"NIHR (National Institute for Health Research) ")</f>
        <v>NIHR (National Institute for Health Research) </v>
      </c>
      <c r="B39" s="6" t="str">
        <f>IFERROR(__xludf.DUMMYFUNCTION("""COMPUTED_VALUE"""),"The NIHR (National Institute for Health Research) funds, enables and 
delivers world-class health and care research that transforms people’s 
lives, advances science globally and benefits the UK economy.")</f>
        <v>The NIHR (National Institute for Health Research) funds, enables and 
delivers world-class health and care research that transforms people’s 
lives, advances science globally and benefits the UK economy.</v>
      </c>
      <c r="C39" s="6" t="str">
        <f>IFERROR(__xludf.DUMMYFUNCTION("""COMPUTED_VALUE"""),"The NIHR:")</f>
        <v>The NIHR:</v>
      </c>
      <c r="D39" s="6" t="str">
        <f>IFERROR(__xludf.DUMMYFUNCTION("""COMPUTED_VALUE"""),"- Engages and involves patients, carers and the public in order to improve 
the reach, quality and impact of research")</f>
        <v>- Engages and involves patients, carers and the public in order to improve 
the reach, quality and impact of research</v>
      </c>
      <c r="E39" s="6" t="str">
        <f>IFERROR(__xludf.DUMMYFUNCTION("""COMPUTED_VALUE"""),"- Attracts, trains and supports the best researchers to tackle the complex 
health and care challenges of the future")</f>
        <v>- Attracts, trains and supports the best researchers to tackle the complex 
health and care challenges of the future</v>
      </c>
      <c r="F39" s="6" t="str">
        <f>IFERROR(__xludf.DUMMYFUNCTION("""COMPUTED_VALUE"""),"- Invests in world-class infrastructure and a skilled delivery workforce to 
translate discoveries into improved treatments and services")</f>
        <v>- Invests in world-class infrastructure and a skilled delivery workforce to 
translate discoveries into improved treatments and services</v>
      </c>
      <c r="G39" s="6" t="str">
        <f>IFERROR(__xludf.DUMMYFUNCTION("""COMPUTED_VALUE"""),"- Partners with other public funders, charities and industry to maximise 
the value of research to patients and the economy")</f>
        <v>- Partners with other public funders, charities and industry to maximise 
the value of research to patients and the economy</v>
      </c>
      <c r="I39" s="6" t="str">
        <f>IFERROR(__xludf.DUMMYFUNCTION("""COMPUTED_VALUE"""),"Website:")</f>
        <v>Website:</v>
      </c>
      <c r="J39" s="7" t="str">
        <f>IFERROR(__xludf.DUMMYFUNCTION("""COMPUTED_VALUE"""),"https://www.nihr.ac.uk/")</f>
        <v>https://www.nihr.ac.uk/</v>
      </c>
      <c r="K39" s="6" t="str">
        <f>IFERROR(__xludf.DUMMYFUNCTION("""COMPUTED_VALUE"""),"‎@OBN_UK")</f>
        <v>‎@OBN_UK</v>
      </c>
    </row>
    <row r="40">
      <c r="A40" s="6" t="str">
        <f>IFERROR(__xludf.DUMMYFUNCTION("""COMPUTED_VALUE"""),"OBN (UK) Ltd ")</f>
        <v>OBN (UK) Ltd </v>
      </c>
      <c r="B40" s="6" t="str">
        <f>IFERROR(__xludf.DUMMYFUNCTION("""COMPUTED_VALUE"""),"OBN is the not-for-profit Membership organisation supporting and bringing 
together the UK’s life sciences companies, corporate 
partners and investors. Our 400-plus Member companies are located across 
the Golden Triangle and beyond to Manchester, Nottin"&amp;"gham, the Midlands, 
South Coast and Scotland, benefiting from 
our networking, partnering, purchasing, training, advising and advocacy activities.")</f>
        <v>OBN is the not-for-profit Membership organisation supporting and bringing 
together the UK’s life sciences companies, corporate 
partners and investors. Our 400-plus Member companies are located across 
the Golden Triangle and beyond to Manchester, Nottingham, the Midlands, 
South Coast and Scotland, benefiting from 
our networking, partnering, purchasing, training, advising and advocacy activities.</v>
      </c>
      <c r="C40" s="6"/>
      <c r="D40" s="6"/>
      <c r="E40" s="6"/>
      <c r="F40" s="6"/>
      <c r="G40" s="6"/>
      <c r="I40" s="6" t="str">
        <f>IFERROR(__xludf.DUMMYFUNCTION("""COMPUTED_VALUE"""),"Website:")</f>
        <v>Website:</v>
      </c>
      <c r="J40" s="7" t="str">
        <f>IFERROR(__xludf.DUMMYFUNCTION("""COMPUTED_VALUE"""),"https://obn.org.uk/")</f>
        <v>https://obn.org.uk/</v>
      </c>
      <c r="K40" s="6" t="str">
        <f>IFERROR(__xludf.DUMMYFUNCTION("""COMPUTED_VALUE"""),"@OFX")</f>
        <v>@OFX</v>
      </c>
    </row>
    <row r="41">
      <c r="A41" s="6" t="str">
        <f>IFERROR(__xludf.DUMMYFUNCTION("""COMPUTED_VALUE"""),"OFX ")</f>
        <v>OFX </v>
      </c>
      <c r="B41" s="6" t="str">
        <f>IFERROR(__xludf.DUMMYFUNCTION("""COMPUTED_VALUE"""),"OFX is a global company that provides international money transfers at 
competitive exchange rates for both businesses and consumers. It offers 
fee-free transactions, 24/7 customer service and rapid round-the-clock 
transfers thanks to its unique ‘follow"&amp;"-the-sun’ service model.")</f>
        <v>OFX is a global company that provides international money transfers at 
competitive exchange rates for both businesses and consumers. It offers 
fee-free transactions, 24/7 customer service and rapid round-the-clock 
transfers thanks to its unique ‘follow-the-sun’ service model.</v>
      </c>
      <c r="C41" s="6"/>
      <c r="D41" s="6"/>
      <c r="E41" s="6"/>
      <c r="F41" s="6"/>
      <c r="G41" s="6"/>
      <c r="I41" s="6" t="str">
        <f>IFERROR(__xludf.DUMMYFUNCTION("""COMPUTED_VALUE"""),"Website:")</f>
        <v>Website:</v>
      </c>
      <c r="J41" s="7" t="str">
        <f>IFERROR(__xludf.DUMMYFUNCTION("""COMPUTED_VALUE"""),"http://oncimmune.com/")</f>
        <v>http://oncimmune.com/</v>
      </c>
      <c r="K41" s="6" t="str">
        <f>IFERROR(__xludf.DUMMYFUNCTION("""COMPUTED_VALUE"""),"@OncimmuneECDT")</f>
        <v>@OncimmuneECDT</v>
      </c>
    </row>
    <row r="42">
      <c r="A42" s="6" t="str">
        <f>IFERROR(__xludf.DUMMYFUNCTION("""COMPUTED_VALUE"""),"Oncimmune ")</f>
        <v>Oncimmune </v>
      </c>
      <c r="B42" s="6" t="str">
        <f>IFERROR(__xludf.DUMMYFUNCTION("""COMPUTED_VALUE"""),"Oncimmune, a global leader in immunodiagnostics and (auto) antibody 
biomarker profiling &amp; discovery in immuno-oncology, autoimmune and 
infectious diseases. Through its ImmunoINSIGHTS™ technology platform, the 
company provides insights to discover and v"&amp;"alidate novel biomarkers, 
improve treatment responses and adverse event (irAE) prediction, patient 
screening and diagnostic accuracy. Oncimmune is headquartered in the UK 
with operations in Germany and USA.")</f>
        <v>Oncimmune, a global leader in immunodiagnostics and (auto) antibody 
biomarker profiling &amp; discovery in immuno-oncology, autoimmune and 
infectious diseases. Through its ImmunoINSIGHTS™ technology platform, the 
company provides insights to discover and validate novel biomarkers, 
improve treatment responses and adverse event (irAE) prediction, patient 
screening and diagnostic accuracy. Oncimmune is headquartered in the UK 
with operations in Germany and USA.</v>
      </c>
      <c r="C42" s="6"/>
      <c r="D42" s="6"/>
      <c r="E42" s="6"/>
      <c r="F42" s="6"/>
      <c r="G42" s="6"/>
      <c r="I42" s="6" t="str">
        <f>IFERROR(__xludf.DUMMYFUNCTION("""COMPUTED_VALUE"""),"Website:")</f>
        <v>Website:</v>
      </c>
      <c r="J42" s="7" t="str">
        <f>IFERROR(__xludf.DUMMYFUNCTION("""COMPUTED_VALUE"""),"https://onenucleus.com/")</f>
        <v>https://onenucleus.com/</v>
      </c>
      <c r="K42" s="6" t="str">
        <f>IFERROR(__xludf.DUMMYFUNCTION("""COMPUTED_VALUE"""),"@OneNucleus")</f>
        <v>@OneNucleus</v>
      </c>
    </row>
    <row r="43">
      <c r="A43" s="6" t="str">
        <f>IFERROR(__xludf.DUMMYFUNCTION("""COMPUTED_VALUE"""),"One Nucleus ")</f>
        <v>One Nucleus </v>
      </c>
      <c r="B43" s="6" t="str">
        <f>IFERROR(__xludf.DUMMYFUNCTION("""COMPUTED_VALUE"""),"One Nucleus is a Cambridge/London Life Science membership organisation. We 
support Europe’s largest Life Science cluster encompassing the 
London-Cambridge-East of England region via knowledge transfer, 
connectivity, inward investment and growth.")</f>
        <v>One Nucleus is a Cambridge/London Life Science membership organisation. We 
support Europe’s largest Life Science cluster encompassing the 
London-Cambridge-East of England region via knowledge transfer, 
connectivity, inward investment and growth.</v>
      </c>
      <c r="C43" s="6"/>
      <c r="D43" s="6"/>
      <c r="E43" s="6"/>
      <c r="F43" s="6"/>
      <c r="G43" s="6"/>
      <c r="I43" s="6" t="str">
        <f>IFERROR(__xludf.DUMMYFUNCTION("IMPORTXML(E1,C2)"),"Website:")</f>
        <v>Website:</v>
      </c>
      <c r="J43" s="7" t="str">
        <f>IFERROR(__xludf.DUMMYFUNCTION("""COMPUTED_VALUE"""),"https://onyxipca.com/")</f>
        <v>https://onyxipca.com/</v>
      </c>
    </row>
    <row r="44">
      <c r="A44" s="6" t="str">
        <f>IFERROR(__xludf.DUMMYFUNCTION("IMPORTXML(E1,A2)"),"Onyx Scientific ")</f>
        <v>Onyx Scientific </v>
      </c>
      <c r="B44" s="6" t="str">
        <f>IFERROR(__xludf.DUMMYFUNCTION("IMPORTXML(E1,B2)"),"Onyx Scientific is a small molecule CDMO specialising in process R&amp;D, 
non-GMP scale up and GMP manufacture for clinical trials and commercial. 
Good chemistry is at the core of everything we do. From our facilities in 
the UK and US, our teams of chemist"&amp;"s will guide your small molecule API 
through development and manufacturing from the moment a lead molecule is 
identified, taking it into Phase I studies and right through to commercial 
manufacture.")</f>
        <v>Onyx Scientific is a small molecule CDMO specialising in process R&amp;D, 
non-GMP scale up and GMP manufacture for clinical trials and commercial. 
Good chemistry is at the core of everything we do. From our facilities in 
the UK and US, our teams of chemists will guide your small molecule API 
through development and manufacturing from the moment a lead molecule is 
identified, taking it into Phase I studies and right through to commercial 
manufacture.</v>
      </c>
      <c r="C44" s="6"/>
      <c r="D44" s="6"/>
      <c r="E44" s="6"/>
      <c r="F44" s="6"/>
      <c r="G44" s="6"/>
      <c r="H44" s="6"/>
      <c r="I44" s="6" t="str">
        <f>IFERROR(__xludf.DUMMYFUNCTION("""COMPUTED_VALUE"""),"Website:")</f>
        <v>Website:</v>
      </c>
      <c r="J44" s="7" t="str">
        <f>IFERROR(__xludf.DUMMYFUNCTION("""COMPUTED_VALUE"""),"http://oppilotech.com/")</f>
        <v>http://oppilotech.com/</v>
      </c>
      <c r="K44" s="6" t="str">
        <f>IFERROR(__xludf.DUMMYFUNCTION("IMPORTXML(E1,E2)"),"@Oppilotech")</f>
        <v>@Oppilotech</v>
      </c>
    </row>
    <row r="45">
      <c r="A45" s="6" t="str">
        <f>IFERROR(__xludf.DUMMYFUNCTION("""COMPUTED_VALUE"""),"Oppilotech Ltd ")</f>
        <v>Oppilotech Ltd </v>
      </c>
      <c r="B45" s="6" t="str">
        <f>IFERROR(__xludf.DUMMYFUNCTION("""COMPUTED_VALUE"""),"Oppilotech develops first-in-class drugs. We believe that target selection 
is the most important decision we make in drug discovery – a selective 
high-quality molecule will never become a drug if it is modulating the 
wrong target. Oppilotech have devel"&amp;"oped a high-resolution platform based on 
systems biology and machine learning to model biological processes in 
cells. The platform is utilized to identify first-in-class drug targets and 
to develop novel modes of action drugs modulating the identified "&amp;"targets. 
We undertake both the target selection and develop the drugs against the 
identified target. We initially focused our modelling efforts on E.coli 
identifying several first-in-class antibacterial drug targets and generated 
active chemical matte"&amp;"r against them. The company intends to develop these 
programmes towards the clinic. We are now expanding into pathways in human 
cells allowing us to address a wider range of diseases including cancer 
(e.g. DNA Damage Response) and inflammation.")</f>
        <v>Oppilotech develops first-in-class drugs. We believe that target selection 
is the most important decision we make in drug discovery – a selective 
high-quality molecule will never become a drug if it is modulating the 
wrong target. Oppilotech have developed a high-resolution platform based on 
systems biology and machine learning to model biological processes in 
cells. The platform is utilized to identify first-in-class drug targets and 
to develop novel modes of action drugs modulating the identified targets. 
We undertake both the target selection and develop the drugs against the 
identified target. We initially focused our modelling efforts on E.coli 
identifying several first-in-class antibacterial drug targets and generated 
active chemical matter against them. The company intends to develop these 
programmes towards the clinic. We are now expanding into pathways in human 
cells allowing us to address a wider range of diseases including cancer 
(e.g. DNA Damage Response) and inflammation.</v>
      </c>
      <c r="C45" s="6"/>
      <c r="D45" s="6"/>
      <c r="E45" s="6"/>
      <c r="F45" s="6"/>
      <c r="G45" s="6"/>
      <c r="H45" s="6"/>
      <c r="I45" s="6" t="str">
        <f>IFERROR(__xludf.DUMMYFUNCTION("""COMPUTED_VALUE"""),"Website:")</f>
        <v>Website:</v>
      </c>
      <c r="J45" s="7" t="str">
        <f>IFERROR(__xludf.DUMMYFUNCTION("""COMPUTED_VALUE"""),"http://www.pebmondassociates.com/")</f>
        <v>http://www.pebmondassociates.com/</v>
      </c>
      <c r="K45" s="6" t="str">
        <f>IFERROR(__xludf.DUMMYFUNCTION("""COMPUTED_VALUE"""),"@PharmaLexGLOBAL")</f>
        <v>@PharmaLexGLOBAL</v>
      </c>
    </row>
    <row r="46">
      <c r="A46" s="6" t="str">
        <f>IFERROR(__xludf.DUMMYFUNCTION("""COMPUTED_VALUE"""),"Pebmond Associates ")</f>
        <v>Pebmond Associates </v>
      </c>
      <c r="B46" s="6" t="str">
        <f>IFERROR(__xludf.DUMMYFUNCTION("""COMPUTED_VALUE"""),"Pebmond Associates – whether you consider your project or company a Pebble 
or a Diamond – Our strategic advice and business services for life-science 
and healthcare organisations adds “Multifaceted Value®”")</f>
        <v>Pebmond Associates – whether you consider your project or company a Pebble 
or a Diamond – Our strategic advice and business services for life-science 
and healthcare organisations adds “Multifaceted Value®”</v>
      </c>
      <c r="C46" s="6" t="str">
        <f>IFERROR(__xludf.DUMMYFUNCTION("""COMPUTED_VALUE"""),"Strategy, Business Development and Licensing is our focus – whether it is 
support to acquire, divest or license a product or project -  independent 
eyes and ears on your company strategy, direction, future plans, project 
prioritisation or even just gen"&amp;"eral brainstorming – or building your team’s 
skills in these areas by coaching, face-to-face training, lectures, 
webinars or e-learning. We do all that - and more importantly, smile at the 
same time.")</f>
        <v>Strategy, Business Development and Licensing is our focus – whether it is 
support to acquire, divest or license a product or project -  independent 
eyes and ears on your company strategy, direction, future plans, project 
prioritisation or even just general brainstorming – or building your team’s 
skills in these areas by coaching, face-to-face training, lectures, 
webinars or e-learning. We do all that - and more importantly, smile at the 
same time.</v>
      </c>
      <c r="D46" s="6"/>
      <c r="E46" s="6"/>
      <c r="F46" s="6"/>
      <c r="G46" s="6"/>
      <c r="H46" s="6"/>
      <c r="I46" s="6" t="str">
        <f>IFERROR(__xludf.DUMMYFUNCTION("""COMPUTED_VALUE"""),"Website:")</f>
        <v>Website:</v>
      </c>
      <c r="J46" s="7" t="str">
        <f>IFERROR(__xludf.DUMMYFUNCTION("""COMPUTED_VALUE"""),"https://plg-group.com/")</f>
        <v>https://plg-group.com/</v>
      </c>
      <c r="K46" s="6" t="str">
        <f>IFERROR(__xludf.DUMMYFUNCTION("""COMPUTED_VALUE"""),"@precisionlifeAI")</f>
        <v>@precisionlifeAI</v>
      </c>
    </row>
    <row r="47">
      <c r="A47" s="6" t="str">
        <f>IFERROR(__xludf.DUMMYFUNCTION("""COMPUTED_VALUE"""),"Pharmaceutical Licensing Group ")</f>
        <v>Pharmaceutical Licensing Group </v>
      </c>
      <c r="B47" s="6" t="str">
        <f>IFERROR(__xludf.DUMMYFUNCTION("""COMPUTED_VALUE"""),"The Pharmaceutical Licensing Group, in the UK, has been established for 30 
years and is the professional association for those active in 
pharmaceutical and biotechnology business development and licensing. ")</f>
        <v>The Pharmaceutical Licensing Group, in the UK, has been established for 30 
years and is the professional association for those active in 
pharmaceutical and biotechnology business development and licensing. </v>
      </c>
      <c r="C47" s="6" t="str">
        <f>IFERROR(__xludf.DUMMYFUNCTION("""COMPUTED_VALUE"""),"There are around 200 members in the UK and over a 1000 in affiliated groups 
in Europe, Canada and Japan. All sectors of the industry are represented 
including multinationals, medium and small pharmaceutical companies, 
biotechnology, generic and consume"&amp;"r companies. ")</f>
        <v>There are around 200 members in the UK and over a 1000 in affiliated groups 
in Europe, Canada and Japan. All sectors of the industry are represented 
including multinationals, medium and small pharmaceutical companies, 
biotechnology, generic and consumer companies. </v>
      </c>
      <c r="D47" s="6" t="str">
        <f>IFERROR(__xludf.DUMMYFUNCTION("""COMPUTED_VALUE"""),"The PLG is a not-for-profit organisation and is managed by a committee of 
licensing and business development executives from member companies. 
Details of the Committee members and how to contact them can be found by 
following the Committee link. ")</f>
        <v>The PLG is a not-for-profit organisation and is managed by a committee of 
licensing and business development executives from member companies. 
Details of the Committee members and how to contact them can be found by 
following the Committee link. </v>
      </c>
      <c r="E47" s="6" t="str">
        <f>IFERROR(__xludf.DUMMYFUNCTION("""COMPUTED_VALUE"""),"The PLG organises meetings within local countries, a bi-annual European 
meeting and a bi-annual International meeting. Details of all meetings can 
be found on the Events page and by linking to other PLG sites on 
the European page. ")</f>
        <v>The PLG organises meetings within local countries, a bi-annual European 
meeting and a bi-annual International meeting. Details of all meetings can 
be found on the Events page and by linking to other PLG sites on 
the European page. </v>
      </c>
      <c r="F47" s="6"/>
      <c r="G47" s="6"/>
      <c r="H47" s="6"/>
      <c r="I47" s="6" t="str">
        <f>IFERROR(__xludf.DUMMYFUNCTION("""COMPUTED_VALUE"""),"Website:")</f>
        <v>Website:</v>
      </c>
      <c r="J47" s="7" t="str">
        <f>IFERROR(__xludf.DUMMYFUNCTION("""COMPUTED_VALUE"""),"https://www.pharmalex.com/")</f>
        <v>https://www.pharmalex.com/</v>
      </c>
      <c r="K47" s="6" t="str">
        <f>IFERROR(__xludf.DUMMYFUNCTION("""COMPUTED_VALUE"""),"@arcinovaUK &amp; @Quotient_Sci")</f>
        <v>@arcinovaUK &amp; @Quotient_Sci</v>
      </c>
    </row>
    <row r="48">
      <c r="A48" s="6" t="str">
        <f>IFERROR(__xludf.DUMMYFUNCTION("""COMPUTED_VALUE"""),"PharmaLex UK Services Limited ")</f>
        <v>PharmaLex UK Services Limited </v>
      </c>
      <c r="B48" s="6" t="str">
        <f>IFERROR(__xludf.DUMMYFUNCTION("""COMPUTED_VALUE"""),"Biopharma Excellence is a fusion of three scientific powerhouses, 
PharmaLex, ERA Consulting and Biopharma Excellence – all under the 
PharmaLex brand. This global team of scientific, regulatory and commercial 
professionals provide strategic product deve"&amp;"lopment and proactive 
regulatory services to developers of biopharmaceuticals, cell and gene 
therapies, monoclonal antibodies (MABs), vaccines and biosimilars.")</f>
        <v>Biopharma Excellence is a fusion of three scientific powerhouses, 
PharmaLex, ERA Consulting and Biopharma Excellence – all under the 
PharmaLex brand. This global team of scientific, regulatory and commercial 
professionals provide strategic product development and proactive 
regulatory services to developers of biopharmaceuticals, cell and gene 
therapies, monoclonal antibodies (MABs), vaccines and biosimilars.</v>
      </c>
      <c r="C48" s="6"/>
      <c r="D48" s="6"/>
      <c r="E48" s="6"/>
      <c r="F48" s="6"/>
      <c r="G48" s="6"/>
      <c r="H48" s="6"/>
      <c r="I48" s="6" t="str">
        <f>IFERROR(__xludf.DUMMYFUNCTION("""COMPUTED_VALUE"""),"Website:")</f>
        <v>Website:</v>
      </c>
      <c r="J48" s="7" t="str">
        <f>IFERROR(__xludf.DUMMYFUNCTION("""COMPUTED_VALUE"""),"https://precisionlife.com/contact/")</f>
        <v>https://precisionlife.com/contact/</v>
      </c>
      <c r="K48" s="6" t="str">
        <f>IFERROR(__xludf.DUMMYFUNCTION("""COMPUTED_VALUE"""),"@ResearchDonors")</f>
        <v>@ResearchDonors</v>
      </c>
    </row>
    <row r="49">
      <c r="A49" s="6" t="str">
        <f>IFERROR(__xludf.DUMMYFUNCTION("""COMPUTED_VALUE"""),"PrecisionLife ")</f>
        <v>PrecisionLife </v>
      </c>
      <c r="B49" s="6" t="str">
        <f>IFERROR(__xludf.DUMMYFUNCTION("""COMPUTED_VALUE"""),"PrecisionLife is built upon a collective ambition to improve our 
understanding of complex diseases and create better, more personalized 
therapy options so that we can help patients to live longer, healthier 
lives.")</f>
        <v>PrecisionLife is built upon a collective ambition to improve our 
understanding of complex diseases and create better, more personalized 
therapy options so that we can help patients to live longer, healthier 
lives.</v>
      </c>
      <c r="C49" s="6"/>
      <c r="D49" s="6" t="str">
        <f>IFERROR(__xludf.DUMMYFUNCTION("""COMPUTED_VALUE""")," The PrecisionLife® platform takes a radical new approach to analysis of 
complex disease biology based on a wide range of patients’ genomic, 
clinical, and epidemiological data, enabling the discovery of richer and 
more useful links between patients, di"&amp;"sease sub-groups, targets and drugs.")</f>
        <v> The PrecisionLife® platform takes a radical new approach to analysis of 
complex disease biology based on a wide range of patients’ genomic, 
clinical, and epidemiological data, enabling the discovery of richer and 
more useful links between patients, disease sub-groups, targets and drugs.</v>
      </c>
      <c r="E49" s="6"/>
      <c r="F49" s="6" t="str">
        <f>IFERROR(__xludf.DUMMYFUNCTION("""COMPUTED_VALUE""")," Our powerful patented data analytics and decision support platforms are 
built on a unique mathematical framework and deep experience in delivering 
innovative new technologies and products.")</f>
        <v> Our powerful patented data analytics and decision support platforms are 
built on a unique mathematical framework and deep experience in delivering 
innovative new technologies and products.</v>
      </c>
      <c r="G49" s="6"/>
      <c r="H49" s="6" t="str">
        <f>IFERROR(__xludf.DUMMYFUNCTION("""COMPUTED_VALUE""")," Headquartered near Oxford in the UK, we also have offices in the USA, 
Denmark and Poland.")</f>
        <v> Headquartered near Oxford in the UK, we also have offices in the USA, 
Denmark and Poland.</v>
      </c>
      <c r="I49" s="6" t="str">
        <f>IFERROR(__xludf.DUMMYFUNCTION("""COMPUTED_VALUE"""),"Website:")</f>
        <v>Website:</v>
      </c>
      <c r="J49" s="7" t="str">
        <f>IFERROR(__xludf.DUMMYFUNCTION("""COMPUTED_VALUE"""),"www.quotientsciences.com/")</f>
        <v>www.quotientsciences.com/</v>
      </c>
      <c r="K49" s="6" t="str">
        <f>IFERROR(__xludf.DUMMYFUNCTION("""COMPUTED_VALUE"""),"@SapioSciences")</f>
        <v>@SapioSciences</v>
      </c>
    </row>
    <row r="50">
      <c r="A50" s="6" t="str">
        <f>IFERROR(__xludf.DUMMYFUNCTION("""COMPUTED_VALUE"""),"Quotient Sciences ")</f>
        <v>Quotient Sciences </v>
      </c>
      <c r="B50" s="6" t="str">
        <f>IFERROR(__xludf.DUMMYFUNCTION("""COMPUTED_VALUE"""),"Quotient Sciences is a drug development and manufacturing accelerator 
providing integrated services across the entire development pathway. 
Everything we do is driven by an unswerving belief that ideas need to 
become solutions, molecules need to become "&amp;"cures, fast.")</f>
        <v>Quotient Sciences is a drug development and manufacturing accelerator 
providing integrated services across the entire development pathway. 
Everything we do is driven by an unswerving belief that ideas need to 
become solutions, molecules need to become cures, fast.</v>
      </c>
      <c r="C50" s="6"/>
      <c r="D50" s="6"/>
      <c r="E50" s="6"/>
      <c r="F50" s="6"/>
      <c r="G50" s="6"/>
      <c r="H50" s="6"/>
      <c r="I50" s="6" t="str">
        <f>IFERROR(__xludf.DUMMYFUNCTION("""COMPUTED_VALUE"""),"Website:")</f>
        <v>Website:</v>
      </c>
      <c r="J50" s="7" t="str">
        <f>IFERROR(__xludf.DUMMYFUNCTION("""COMPUTED_VALUE"""),"https://researchdonors.co.uk/")</f>
        <v>https://researchdonors.co.uk/</v>
      </c>
    </row>
    <row r="51">
      <c r="A51" s="6" t="str">
        <f>IFERROR(__xludf.DUMMYFUNCTION("""COMPUTED_VALUE"""),"Research Donors ")</f>
        <v>Research Donors </v>
      </c>
      <c r="B51" s="6" t="str">
        <f>IFERROR(__xludf.DUMMYFUNCTION("""COMPUTED_VALUE"""),"Research Donors collects, processes and delivers human blood biospecimens 
that meet the most demanding research requirements. With a diverse 
community of  over 2500 donors, we can meet any donor specification as 
required by your project. Fresh HLA type"&amp;"d human leukopaks, PBMCs, whole 
blood and blood derivatives, all consented for commercial and genetic 
research, can be delivered within 24 hours of collection across Europe.")</f>
        <v>Research Donors collects, processes and delivers human blood biospecimens 
that meet the most demanding research requirements. With a diverse 
community of  over 2500 donors, we can meet any donor specification as 
required by your project. Fresh HLA typed human leukopaks, PBMCs, whole 
blood and blood derivatives, all consented for commercial and genetic 
research, can be delivered within 24 hours of collection across Europe.</v>
      </c>
      <c r="C51" s="6"/>
      <c r="D51" s="6"/>
      <c r="E51" s="6"/>
      <c r="F51" s="6"/>
      <c r="G51" s="6"/>
      <c r="H51" s="6"/>
      <c r="I51" s="6" t="str">
        <f>IFERROR(__xludf.DUMMYFUNCTION("""COMPUTED_VALUE"""),"Website:")</f>
        <v>Website:</v>
      </c>
      <c r="J51" s="7" t="str">
        <f>IFERROR(__xludf.DUMMYFUNCTION("""COMPUTED_VALUE"""),"https://www.rosemontpharma.com")</f>
        <v>https://www.rosemontpharma.com</v>
      </c>
    </row>
    <row r="52">
      <c r="A52" s="6" t="str">
        <f>IFERROR(__xludf.DUMMYFUNCTION("""COMPUTED_VALUE"""),"Rosemont Pharmaceuticals ")</f>
        <v>Rosemont Pharmaceuticals </v>
      </c>
      <c r="B52" s="6" t="str">
        <f>IFERROR(__xludf.DUMMYFUNCTION("""COMPUTED_VALUE"""),"Our ambition has always been to support both patients with swallowing 
difficulties and the healthcare professionals who care for them. We are 
highly respected in the industry and have been instrumental in establishing 
best practice for the care of pati"&amp;"ents with swallowing difficulties. 
Rosemont advocate the use of liquid medication over manipulating solid dose 
medications and we have a range of educational materials designed for 
healthcare professionals which focuses on key patient groups and their "&amp;"
medication management challenges. ")</f>
        <v>Our ambition has always been to support both patients with swallowing 
difficulties and the healthcare professionals who care for them. We are 
highly respected in the industry and have been instrumental in establishing 
best practice for the care of patients with swallowing difficulties. 
Rosemont advocate the use of liquid medication over manipulating solid dose 
medications and we have a range of educational materials designed for 
healthcare professionals which focuses on key patient groups and their 
medication management challenges. </v>
      </c>
      <c r="C52" s="6"/>
      <c r="D52" s="6"/>
      <c r="E52" s="6"/>
      <c r="F52" s="6"/>
      <c r="G52" s="6"/>
      <c r="H52" s="6"/>
      <c r="I52" s="6" t="str">
        <f>IFERROR(__xludf.DUMMYFUNCTION("""COMPUTED_VALUE"""),"Website:")</f>
        <v>Website:</v>
      </c>
      <c r="J52" s="7" t="str">
        <f>IFERROR(__xludf.DUMMYFUNCTION("""COMPUTED_VALUE"""),"www.sapiosciences.com")</f>
        <v>www.sapiosciences.com</v>
      </c>
    </row>
    <row r="53">
      <c r="A53" s="6" t="str">
        <f>IFERROR(__xludf.DUMMYFUNCTION("""COMPUTED_VALUE"""),"Sapio Sciences ")</f>
        <v>Sapio Sciences </v>
      </c>
      <c r="B53" s="6" t="str">
        <f>IFERROR(__xludf.DUMMYFUNCTION("""COMPUTED_VALUE"""),"Sapio Sciences' Seamless Informatics Platform provides Lab Management 
(LIMS), Electronic Lab Notebooks (ELN) and Scientific Data Management 
(SDMS) software. Manage your laboratories, notebooks, and scientific data 
from one centralized hub.")</f>
        <v>Sapio Sciences' Seamless Informatics Platform provides Lab Management 
(LIMS), Electronic Lab Notebooks (ELN) and Scientific Data Management 
(SDMS) software. Manage your laboratories, notebooks, and scientific data 
from one centralized hub.</v>
      </c>
      <c r="C53" s="6" t="str">
        <f>IFERROR(__xludf.DUMMYFUNCTION("""COMPUTED_VALUE"""),"Lab Information Management System (LIMS): Effortless Workflow TrackingLaboratories that want to track their lab processes effectively will 
benefit from our cutting-edge web-based Laboratory Information Management 
System (also known as a LIMS system). Th"&amp;"is software was built specifically 
to enable easy configuration of easy to use workflows to accurately track 
all your materials, instrument and other pertinent workflow data. Because 
it is web-based LIMS software, you can access it anywhere without hel"&amp;"p from 
your IT department.")</f>
        <v>Lab Information Management System (LIMS): Effortless Workflow TrackingLaboratories that want to track their lab processes effectively will 
benefit from our cutting-edge web-based Laboratory Information Management 
System (also known as a LIMS system). This software was built specifically 
to enable easy configuration of easy to use workflows to accurately track 
all your materials, instrument and other pertinent workflow data. Because 
it is web-based LIMS software, you can access it anywhere without help from 
your IT department.</v>
      </c>
      <c r="D53" s="6" t="str">
        <f>IFERROR(__xludf.DUMMYFUNCTION("""COMPUTED_VALUE"""),"Sapio supports quick creation of any workflow while also offering 6 
specialized workflows on its LIMS system:")</f>
        <v>Sapio supports quick creation of any workflow while also offering 6 
specialized workflows on its LIMS system:</v>
      </c>
      <c r="E53" s="6" t="str">
        <f>IFERROR(__xludf.DUMMYFUNCTION("""COMPUTED_VALUE"""),"Research LIMSNGS LIMSClinical LIMSHistopathology LIMSBioanalytical LIMSStability LIMS")</f>
        <v>Research LIMSNGS LIMSClinical LIMSHistopathology LIMSBioanalytical LIMSStability LIMS</v>
      </c>
      <c r="F53" s="6" t="str">
        <f>IFERROR(__xludf.DUMMYFUNCTION("""COMPUTED_VALUE"""),"Electronic Lab Notebook (ELN): Evolving Lab CollaborationScientists can effortlessly build their experiments in an intuitive 
interface that allows them to track their experimental data, including 
supporting efficiency with its science-based widgets. Exe"&amp;"mplar’s Electronic 
Lab Notebook Software breaks new ground in supporting effective 
collaboration, enabling numerous scientists to ideate and work on the same 
experiment at the same time while also supporting chat and discussions 
threads.")</f>
        <v>Electronic Lab Notebook (ELN): Evolving Lab CollaborationScientists can effortlessly build their experiments in an intuitive 
interface that allows them to track their experimental data, including 
supporting efficiency with its science-based widgets. Exemplar’s Electronic 
Lab Notebook Software breaks new ground in supporting effective 
collaboration, enabling numerous scientists to ideate and work on the same 
experiment at the same time while also supporting chat and discussions 
threads.</v>
      </c>
      <c r="G53" s="6" t="str">
        <f>IFERROR(__xludf.DUMMYFUNCTION("""COMPUTED_VALUE"""),"Exemplar Seamless: Driving Lab EfficiencyExemplar Seamless is the informatics foundation of our ELN and LIMS 
software. A fully cloud-hosted platform, it breaks new ground in its 
breadth of functionality and ease of data and process configuration. 
Exemp"&amp;"lar also includes best in class searching, data visualizations and 
analytics in a single integrated platform all reachable through its 
intuitive, responsive, web-based user interface.")</f>
        <v>Exemplar Seamless: Driving Lab EfficiencyExemplar Seamless is the informatics foundation of our ELN and LIMS 
software. A fully cloud-hosted platform, it breaks new ground in its 
breadth of functionality and ease of data and process configuration. 
Exemplar also includes best in class searching, data visualizations and 
analytics in a single integrated platform all reachable through its 
intuitive, responsive, web-based user interface.</v>
      </c>
      <c r="H53" s="6"/>
      <c r="I53" s="6" t="str">
        <f>IFERROR(__xludf.DUMMYFUNCTION("IMPORTXML(F1,C2)"),"Website:")</f>
        <v>Website:</v>
      </c>
      <c r="J53" s="7" t="str">
        <f>IFERROR(__xludf.DUMMYFUNCTION("""COMPUTED_VALUE"""),"www.sareum.co.uk")</f>
        <v>www.sareum.co.uk</v>
      </c>
    </row>
    <row r="54">
      <c r="A54" s="6" t="str">
        <f>IFERROR(__xludf.DUMMYFUNCTION("IMPORTXML(F1,A2)"),"Sareum ")</f>
        <v>Sareum </v>
      </c>
      <c r="B54" s="6" t="str">
        <f>IFERROR(__xludf.DUMMYFUNCTION("IMPORTXML(F1,B2)"),"Sareum is a specialist drug development company delivering targeted small 
molecule therapeutics to improve the treatment of cancer and autoimmune 
diseases. The Company aims to generate value through licensing its 
candidates to international pharmaceuti"&amp;"cal and biotechnology companies at 
the preclinical or early clinical trials stage.")</f>
        <v>Sareum is a specialist drug development company delivering targeted small 
molecule therapeutics to improve the treatment of cancer and autoimmune 
diseases. The Company aims to generate value through licensing its 
candidates to international pharmaceutical and biotechnology companies at 
the preclinical or early clinical trials stage.</v>
      </c>
      <c r="C54" s="6"/>
      <c r="D54" s="6" t="str">
        <f>IFERROR(__xludf.DUMMYFUNCTION("""COMPUTED_VALUE"""),"Sareum is advancing internal programmes focused on distinct dual tyrosine 
kinase 2 (TYK2) / Janus kinase 1 (JAK1) inhibitors through preclinical 
development as therapies for autoimmune diseases, including the ‘cytokine 
storm’ immune system overreaction"&amp;" to Covid-19 and other viral infections, 
(SDC-1801) and cancer immunotherapy (SDC-1802).")</f>
        <v>Sareum is advancing internal programmes focused on distinct dual tyrosine 
kinase 2 (TYK2) / Janus kinase 1 (JAK1) inhibitors through preclinical 
development as therapies for autoimmune diseases, including the ‘cytokine 
storm’ immune system overreaction to Covid-19 and other viral infections, 
(SDC-1801) and cancer immunotherapy (SDC-1802).</v>
      </c>
      <c r="E54" s="6" t="str">
        <f>IFERROR(__xludf.DUMMYFUNCTION("""COMPUTED_VALUE"""),"Sareum is based in Cambridge, UK and listed on the AIM market of the London 
Stock Exchange, trading under the ticker SAR.")</f>
        <v>Sareum is based in Cambridge, UK and listed on the AIM market of the London 
Stock Exchange, trading under the ticker SAR.</v>
      </c>
      <c r="I54" s="6" t="str">
        <f>IFERROR(__xludf.DUMMYFUNCTION("""COMPUTED_VALUE"""),"Website:")</f>
        <v>Website:</v>
      </c>
      <c r="J54" s="7" t="str">
        <f>IFERROR(__xludf.DUMMYFUNCTION("""COMPUTED_VALUE"""),"https://www.scendea.com/")</f>
        <v>https://www.scendea.com/</v>
      </c>
    </row>
    <row r="55">
      <c r="A55" s="6" t="str">
        <f>IFERROR(__xludf.DUMMYFUNCTION("""COMPUTED_VALUE"""),"Scendea ")</f>
        <v>Scendea </v>
      </c>
      <c r="B55" s="6" t="str">
        <f>IFERROR(__xludf.DUMMYFUNCTION("""COMPUTED_VALUE"""),"Scendea is a leading product development and regulatory consulting practice 
serving the pharmaceutical and biotechnology industry. We are adept at 
solving complex issues associated with medicinal product development and 
offer strategic and operational "&amp;"support in the fields of quality/CMC, 
non-clinical/toxicology, clinical/medical and regulatory. Our industry 
experience is demonstrable, having been involved in over 1,000 development 
programmes in the US and Europe over the last twenty years. As is ou"&amp;"r 
scientific excellence, with a team that includes ex-regulators, 
high-calibre academics and clinician scientists. Our technical regulatory 
expertise spans the entire product development spectrum from pre-clinical 
to marketing authorisation.")</f>
        <v>Scendea is a leading product development and regulatory consulting practice 
serving the pharmaceutical and biotechnology industry. We are adept at 
solving complex issues associated with medicinal product development and 
offer strategic and operational support in the fields of quality/CMC, 
non-clinical/toxicology, clinical/medical and regulatory. Our industry 
experience is demonstrable, having been involved in over 1,000 development 
programmes in the US and Europe over the last twenty years. As is our 
scientific excellence, with a team that includes ex-regulators, 
high-calibre academics and clinician scientists. Our technical regulatory 
expertise spans the entire product development spectrum from pre-clinical 
to marketing authorisation.</v>
      </c>
      <c r="C55" s="6"/>
      <c r="D55" s="6"/>
      <c r="E55" s="6"/>
      <c r="I55" s="6" t="str">
        <f>IFERROR(__xludf.DUMMYFUNCTION("""COMPUTED_VALUE"""),"Website:")</f>
        <v>Website:</v>
      </c>
      <c r="J55" s="7" t="str">
        <f>IFERROR(__xludf.DUMMYFUNCTION("""COMPUTED_VALUE"""),"https://www.science-entrepreneur.com/")</f>
        <v>https://www.science-entrepreneur.com/</v>
      </c>
      <c r="K55" s="6" t="str">
        <f>IFERROR(__xludf.DUMMYFUNCTION("IMPORTXML(F1,E2)"),"#REF!")</f>
        <v>#REF!</v>
      </c>
    </row>
    <row r="56">
      <c r="A56" s="6" t="str">
        <f>IFERROR(__xludf.DUMMYFUNCTION("""COMPUTED_VALUE"""),"Science Entrepreneur Club ")</f>
        <v>Science Entrepreneur Club </v>
      </c>
      <c r="B56" s="6" t="str">
        <f>IFERROR(__xludf.DUMMYFUNCTION("""COMPUTED_VALUE"""),"The Science Entrepreneur Club (SEC) is a London based non-profit 
organisation of curious minds that aims to explore and unite the life science ecosystem by educating, 
inspiring and connecting. We give scientists, innovators and startups, with 
a focus o"&amp;"n biotech, pharma, medtech, bioengineering, biosustainability or 
related, a network and a unique platform to showcase their innovative 
technologies, find investors, meet like-minded people and accelerate their 
company.")</f>
        <v>The Science Entrepreneur Club (SEC) is a London based non-profit 
organisation of curious minds that aims to explore and unite the life science ecosystem by educating, 
inspiring and connecting. We give scientists, innovators and startups, with 
a focus on biotech, pharma, medtech, bioengineering, biosustainability or 
related, a network and a unique platform to showcase their innovative 
technologies, find investors, meet like-minded people and accelerate their 
company.</v>
      </c>
      <c r="C56" s="6"/>
      <c r="D56" s="6"/>
      <c r="E56" s="6"/>
      <c r="I56" s="6" t="str">
        <f>IFERROR(__xludf.DUMMYFUNCTION("""COMPUTED_VALUE"""),"Website:")</f>
        <v>Website:</v>
      </c>
      <c r="J56" s="7" t="str">
        <f>IFERROR(__xludf.DUMMYFUNCTION("""COMPUTED_VALUE"""),"https://www.scitribe.life/")</f>
        <v>https://www.scitribe.life/</v>
      </c>
      <c r="K56" s="6"/>
    </row>
    <row r="57">
      <c r="A57" s="6" t="str">
        <f>IFERROR(__xludf.DUMMYFUNCTION("""COMPUTED_VALUE"""),"SciTribe ")</f>
        <v>SciTribe </v>
      </c>
      <c r="B57" s="6" t="str">
        <f>IFERROR(__xludf.DUMMYFUNCTION("""COMPUTED_VALUE"""),"Scitribe is a boutique strategic communications consultancy focused on 
science and technology, including profile-raising, writing and research. It 
combines professional corporate and scientific communications expertise 
with lab-based research experienc"&amp;"e.")</f>
        <v>Scitribe is a boutique strategic communications consultancy focused on 
science and technology, including profile-raising, writing and research. It 
combines professional corporate and scientific communications expertise 
with lab-based research experience.</v>
      </c>
      <c r="C57" s="6" t="str">
        <f>IFERROR(__xludf.DUMMYFUNCTION("""COMPUTED_VALUE"""),"Driven by deep understanding and enthusiasm, it applies strategic thinking 
and listening, combined with a roll-up-your-sleeves &amp; ""get it done"" 
know-how, to deliver real value-add output that helps organisations achieve 
their business and communicatio"&amp;"ns objectives.")</f>
        <v>Driven by deep understanding and enthusiasm, it applies strategic thinking 
and listening, combined with a roll-up-your-sleeves &amp; "get it done" 
know-how, to deliver real value-add output that helps organisations achieve 
their business and communications objectives.</v>
      </c>
      <c r="D57" s="6" t="str">
        <f>IFERROR(__xludf.DUMMYFUNCTION("""COMPUTED_VALUE"""),"We apply big-picture thinking and specialist insights to develop strategies 
that effectively communicate organisations’ impact while ensuring the 
accurate translation of science for all target audiences and stakeholders. 
Scitribe provides bespoke, focu"&amp;"sed and flexible support to provide the 
clarity, focus, and style that effectively tells our clients’ story through 
the right channels, to the right audiences.")</f>
        <v>We apply big-picture thinking and specialist insights to develop strategies 
that effectively communicate organisations’ impact while ensuring the 
accurate translation of science for all target audiences and stakeholders. 
Scitribe provides bespoke, focused and flexible support to provide the 
clarity, focus, and style that effectively tells our clients’ story through 
the right channels, to the right audiences.</v>
      </c>
      <c r="E57" s="6"/>
      <c r="I57" s="6" t="str">
        <f>IFERROR(__xludf.DUMMYFUNCTION("""COMPUTED_VALUE"""),"Website:")</f>
        <v>Website:</v>
      </c>
      <c r="J57" s="7" t="str">
        <f>IFERROR(__xludf.DUMMYFUNCTION("""COMPUTED_VALUE"""),"https://www.bioproduction-sekisui.com/")</f>
        <v>https://www.bioproduction-sekisui.com/</v>
      </c>
      <c r="K57" s="6"/>
    </row>
    <row r="58">
      <c r="A58" s="6" t="str">
        <f>IFERROR(__xludf.DUMMYFUNCTION("""COMPUTED_VALUE"""),"Sekisui ")</f>
        <v>Sekisui </v>
      </c>
      <c r="B58" s="6" t="str">
        <f>IFERROR(__xludf.DUMMYFUNCTION("""COMPUTED_VALUE"""),"BioProduction by Sekisui offers contract development and manufacturing 
services for the biopharmaceutical industry.  Our facility in the UK has 
over 40 years of fermentation and purification experience with enzymes and 
proteins as our focus.  We offer "&amp;"expertise in bioprocess development, scale 
up and manufacturing of enzymes, plasmids, antibody fragments and other 
proteins.  We offer ISO 9001, ISO 13485 and GMP manufacturing quality 
standards for your custom production.  We are in the process of a $"&amp;"19M 
expansion of our GMP facility for drug substance manufacturing which will 
complete in 2023.")</f>
        <v>BioProduction by Sekisui offers contract development and manufacturing 
services for the biopharmaceutical industry.  Our facility in the UK has 
over 40 years of fermentation and purification experience with enzymes and 
proteins as our focus.  We offer expertise in bioprocess development, scale 
up and manufacturing of enzymes, plasmids, antibody fragments and other 
proteins.  We offer ISO 9001, ISO 13485 and GMP manufacturing quality 
standards for your custom production.  We are in the process of a $19M 
expansion of our GMP facility for drug substance manufacturing which will 
complete in 2023.</v>
      </c>
      <c r="C58" s="6"/>
      <c r="D58" s="6"/>
      <c r="E58" s="6"/>
      <c r="I58" s="6" t="str">
        <f>IFERROR(__xludf.DUMMYFUNCTION("""COMPUTED_VALUE"""),"Website:")</f>
        <v>Website:</v>
      </c>
      <c r="J58" s="7" t="str">
        <f>IFERROR(__xludf.DUMMYFUNCTION("""COMPUTED_VALUE"""),"https://www.silence-therapeutics.com/")</f>
        <v>https://www.silence-therapeutics.com/</v>
      </c>
      <c r="K58" s="6"/>
    </row>
    <row r="59">
      <c r="A59" s="6" t="str">
        <f>IFERROR(__xludf.DUMMYFUNCTION("""COMPUTED_VALUE"""),"Silence Therapeutics ")</f>
        <v>Silence Therapeutics </v>
      </c>
      <c r="B59" s="6" t="str">
        <f>IFERROR(__xludf.DUMMYFUNCTION("""COMPUTED_VALUE"""),"Silence Therapeutics develops a new generation of medicines by harnessing 
the body’s natural mechanism of RNA interference, or RNAi, within its cells. Our proprietary technology can selectively inhibit any gene in the genome, 
specifically silencing the "&amp;"production of disease-causing proteins. Using 
our enabling delivery systems, we have achieved an additional level of 
specificity by delivering our therapeutic RNA molecules exclusively to 
target cells. Silence’s proprietary RNA chemistries and delivery"&amp;" systems 
are designed to improve the stability of our molecules and enhance 
effective delivery to target cells, providing a powerful modular technology 
well suited to tackle life-threatening diseases.")</f>
        <v>Silence Therapeutics develops a new generation of medicines by harnessing 
the body’s natural mechanism of RNA interference, or RNAi, within its cells. Our proprietary technology can selectively inhibit any gene in the genome, 
specifically silencing the production of disease-causing proteins. Using 
our enabling delivery systems, we have achieved an additional level of 
specificity by delivering our therapeutic RNA molecules exclusively to 
target cells. Silence’s proprietary RNA chemistries and delivery systems 
are designed to improve the stability of our molecules and enhance 
effective delivery to target cells, providing a powerful modular technology 
well suited to tackle life-threatening diseases.</v>
      </c>
      <c r="C59" s="6"/>
      <c r="D59" s="6"/>
      <c r="E59" s="6"/>
      <c r="I59" s="6" t="str">
        <f>IFERROR(__xludf.DUMMYFUNCTION("""COMPUTED_VALUE"""),"Website:")</f>
        <v>Website:</v>
      </c>
      <c r="J59" s="7" t="str">
        <f>IFERROR(__xludf.DUMMYFUNCTION("""COMPUTED_VALUE"""),"https://somaserve.com/")</f>
        <v>https://somaserve.com/</v>
      </c>
      <c r="K59" s="6"/>
    </row>
    <row r="60">
      <c r="A60" s="6" t="str">
        <f>IFERROR(__xludf.DUMMYFUNCTION("""COMPUTED_VALUE"""),"SomaServe ")</f>
        <v>SomaServe </v>
      </c>
      <c r="B60" s="6" t="str">
        <f>IFERROR(__xludf.DUMMYFUNCTION("""COMPUTED_VALUE"""),"SomaServe was spun out of UCL from the laboratories of Prof. Giueseppe Battaglia in 2018. ")</f>
        <v>SomaServe was spun out of UCL from the laboratories of Prof. Giueseppe Battaglia in 2018. </v>
      </c>
      <c r="C60" s="6" t="str">
        <f>IFERROR(__xludf.DUMMYFUNCTION("""COMPUTED_VALUE"""),"Following a successful, oversubscribed late seed funding, the company now 
works from labs at the Babraham Research Campus. The company’s proprietary technology, PolyNaut® can be applied to both 
clinical and non clinical/ex vivo products.")</f>
        <v>Following a successful, oversubscribed late seed funding, the company now 
works from labs at the Babraham Research Campus. The company’s proprietary technology, PolyNaut® can be applied to both 
clinical and non clinical/ex vivo products.</v>
      </c>
      <c r="D60" s="6" t="str">
        <f>IFERROR(__xludf.DUMMYFUNCTION("""COMPUTED_VALUE"""),"SomaServe works with pharma and biotech partners for innovation and problem 
solving in neurology, oncology and immune diseases. Our partners Abcam PLC market and develop non-clinical products.")</f>
        <v>SomaServe works with pharma and biotech partners for innovation and problem 
solving in neurology, oncology and immune diseases. Our partners Abcam PLC market and develop non-clinical products.</v>
      </c>
      <c r="E60" s="6"/>
      <c r="I60" s="6" t="str">
        <f>IFERROR(__xludf.DUMMYFUNCTION("""COMPUTED_VALUE"""),"Website:")</f>
        <v>Website:</v>
      </c>
      <c r="J60" s="7" t="str">
        <f>IFERROR(__xludf.DUMMYFUNCTION("""COMPUTED_VALUE"""),"http://www.spherefluidics.com")</f>
        <v>http://www.spherefluidics.com</v>
      </c>
      <c r="K60" s="6"/>
    </row>
    <row r="61">
      <c r="A61" s="6" t="str">
        <f>IFERROR(__xludf.DUMMYFUNCTION("""COMPUTED_VALUE"""),"Sphere Fluidics ")</f>
        <v>Sphere Fluidics </v>
      </c>
      <c r="B61" s="6" t="str">
        <f>IFERROR(__xludf.DUMMYFUNCTION("""COMPUTED_VALUE"""),"Sphere Fluidics is developing picodroplets and single cell analysis systems 
and services for therapeutic discovery.  Specialities  Biopharmaceutical, lab-on-a-chip, cells, antibodies, microfluidics, 
enzymes, cancer, biologics, biotechnology, pharmaceuti"&amp;"cal, life sciences, 
immunology, oncology, cell therapies, and stem cells")</f>
        <v>Sphere Fluidics is developing picodroplets and single cell analysis systems 
and services for therapeutic discovery.  Specialities  Biopharmaceutical, lab-on-a-chip, cells, antibodies, microfluidics, 
enzymes, cancer, biologics, biotechnology, pharmaceutical, life sciences, 
immunology, oncology, cell therapies, and stem cells</v>
      </c>
      <c r="C61" s="6"/>
      <c r="D61" s="6"/>
      <c r="E61" s="6"/>
      <c r="I61" s="6" t="str">
        <f>IFERROR(__xludf.DUMMYFUNCTION("""COMPUTED_VALUE"""),"Website:")</f>
        <v>Website:</v>
      </c>
      <c r="J61" s="7" t="str">
        <f>IFERROR(__xludf.DUMMYFUNCTION("""COMPUTED_VALUE"""),"https://www.standigm.com/main")</f>
        <v>https://www.standigm.com/main</v>
      </c>
      <c r="K61" s="6"/>
    </row>
    <row r="62">
      <c r="A62" s="6" t="str">
        <f>IFERROR(__xludf.DUMMYFUNCTION("""COMPUTED_VALUE"""),"Standigm UK ")</f>
        <v>Standigm UK </v>
      </c>
      <c r="B62" s="6" t="str">
        <f>IFERROR(__xludf.DUMMYFUNCTION("""COMPUTED_VALUE"""),"Standigm is a workflow AI-driven drug discovery company. Standigm has 
proprietary AI platforms encompassing novel target identification to lead 
generation to generate commercially valuable drug pipelines. Founded in 
2015, the company has established an"&amp;" early-stage drug discovery workflow AI 
to generate First-in-Class lead compounds within seven months. Pursuing 
full-stack, AI-driven industrializing drug discovery, Standigm has achieved 
the automation of molecular design workflow through DarkMolFacto"&amp;"ry™, and 
the automation effort has been expanding to the whole drug discovery 
process on the basis of Standigm AI platforms, including Standigm ASK™ for 
target discovery, Standigm BEST™ for lead design, and Standigm Insight™ for 
drug repurposing.")</f>
        <v>Standigm is a workflow AI-driven drug discovery company. Standigm has 
proprietary AI platforms encompassing novel target identification to lead 
generation to generate commercially valuable drug pipelines. Founded in 
2015, the company has established an early-stage drug discovery workflow AI 
to generate First-in-Class lead compounds within seven months. Pursuing 
full-stack, AI-driven industrializing drug discovery, Standigm has achieved 
the automation of molecular design workflow through DarkMolFactory™, and 
the automation effort has been expanding to the whole drug discovery 
process on the basis of Standigm AI platforms, including Standigm ASK™ for 
target discovery, Standigm BEST™ for lead design, and Standigm Insight™ for 
drug repurposing.</v>
      </c>
      <c r="C62" s="6"/>
      <c r="D62" s="6"/>
      <c r="E62" s="6"/>
      <c r="I62" s="6" t="str">
        <f>IFERROR(__xludf.DUMMYFUNCTION("""COMPUTED_VALUE"""),"Website:")</f>
        <v>Website:</v>
      </c>
      <c r="J62" s="7" t="str">
        <f>IFERROR(__xludf.DUMMYFUNCTION("""COMPUTED_VALUE"""),"https://www.sygnaturediscovery.com/")</f>
        <v>https://www.sygnaturediscovery.com/</v>
      </c>
      <c r="K62" s="6"/>
    </row>
    <row r="63">
      <c r="A63" s="6" t="str">
        <f>IFERROR(__xludf.DUMMYFUNCTION("""COMPUTED_VALUE"""),"Sygnature Discovery ")</f>
        <v>Sygnature Discovery </v>
      </c>
      <c r="B63" s="6" t="str">
        <f>IFERROR(__xludf.DUMMYFUNCTION("""COMPUTED_VALUE"""),"Sygnature Discovery is a leading independent integrated drug discovery and 
pre-clinical services CRO. Founded in 2004 and private equity-backed since 
2017, we operate a fully-enabled research facilities in Nottingham and 
Alderley Park, UK housing over "&amp;"500 staff (80% of our scientists have PhDs). 
Our experienced R&amp;D scientists possess all the professional skills and 
know-how required to undertake the most demanding of drug discovery and/or 
pre-clinical development projects and drive them from target "&amp;"validation, 
through hit identification, hit-to-lead and lead optimization to 
development candidate. Sygnature collaborates with its partners via risk 
share and FTE-based collaborations.")</f>
        <v>Sygnature Discovery is a leading independent integrated drug discovery and 
pre-clinical services CRO. Founded in 2004 and private equity-backed since 
2017, we operate a fully-enabled research facilities in Nottingham and 
Alderley Park, UK housing over 500 staff (80% of our scientists have PhDs). 
Our experienced R&amp;D scientists possess all the professional skills and 
know-how required to undertake the most demanding of drug discovery and/or 
pre-clinical development projects and drive them from target validation, 
through hit identification, hit-to-lead and lead optimization to 
development candidate. Sygnature collaborates with its partners via risk 
share and FTE-based collaborations.</v>
      </c>
      <c r="C63" s="6"/>
      <c r="D63" s="6"/>
      <c r="E63" s="6"/>
      <c r="I63" s="6" t="str">
        <f>IFERROR(__xludf.DUMMYFUNCTION("IMPORTXML(G1,C2)"),"Website:")</f>
        <v>Website:</v>
      </c>
      <c r="J63" s="7" t="str">
        <f>IFERROR(__xludf.DUMMYFUNCTION("""COMPUTED_VALUE"""),"http://www.bioindustry.org")</f>
        <v>http://www.bioindustry.org</v>
      </c>
      <c r="K63" s="6"/>
    </row>
    <row r="64">
      <c r="A64" s="6" t="str">
        <f>IFERROR(__xludf.DUMMYFUNCTION("IMPORTXML(G1,A2)"),"UK BioIndustry Association (BIA) ")</f>
        <v>UK BioIndustry Association (BIA) </v>
      </c>
      <c r="B64" s="6" t="str">
        <f>IFERROR(__xludf.DUMMYFUNCTION("IMPORTXML(G1,B2)"),"Established in 1989, the BIA (BioIndustry Association) exists to encourage 
and promote a financially sound and thriving bioscience sector within the 
UK economy and concentrates its efforts on emerging enterprise and the 
related interests of companies F"&amp;"ounded over 20 years ago at the infancy of 
biotechnology, the BIA is the trade association for innovative enterprises 
involved in UK bioscience. Members include emerging and more established 
bioscience companies; pharmaceutical companies; academic, res"&amp;"earch and 
philanthropic organisations; and service providers to the bioscience 
sector. The BIA represents the interests of its members to a broad section 
of stakeholders, from government and regulators to patient groups and the 
media. Our goal is to s"&amp;"ecure the UK's position as a global hub and as the 
best location for innovative research and commercialisation, enabling our 
world-leading research base to deliver healthcare solutions that can truly 
make a difference to people's lives. For further inf"&amp;"ormation, please go to 
www.bioindustry.org")</f>
        <v>Established in 1989, the BIA (BioIndustry Association) exists to encourage 
and promote a financially sound and thriving bioscience sector within the 
UK economy and concentrates its efforts on emerging enterprise and the 
related interests of companies Founded over 20 years ago at the infancy of 
biotechnology, the BIA is the trade association for innovative enterprises 
involved in UK bioscience. Members include emerging and more established 
bioscience companies; pharmaceutical companies; academic, research and 
philanthropic organisations; and service providers to the bioscience 
sector. The BIA represents the interests of its members to a broad section 
of stakeholders, from government and regulators to patient groups and the 
media. Our goal is to secure the UK's position as a global hub and as the 
best location for innovative research and commercialisation, enabling our 
world-leading research base to deliver healthcare solutions that can truly 
make a difference to people's lives. For further information, please go to 
www.bioindustry.org</v>
      </c>
      <c r="C64" s="6"/>
      <c r="I64" s="6" t="str">
        <f>IFERROR(__xludf.DUMMYFUNCTION("""COMPUTED_VALUE"""),"Website:")</f>
        <v>Website:</v>
      </c>
      <c r="J64" s="7" t="str">
        <f>IFERROR(__xludf.DUMMYFUNCTION("""COMPUTED_VALUE"""),"https://viramal.com/")</f>
        <v>https://viramal.com/</v>
      </c>
      <c r="K64" s="6" t="str">
        <f>IFERROR(__xludf.DUMMYFUNCTION("IMPORTXML(G1,E2)"),"@BIA_UK")</f>
        <v>@BIA_UK</v>
      </c>
    </row>
    <row r="65">
      <c r="A65" s="6" t="str">
        <f>IFERROR(__xludf.DUMMYFUNCTION("""COMPUTED_VALUE"""),"Viramal ")</f>
        <v>Viramal </v>
      </c>
      <c r="B65" s="6" t="str">
        <f>IFERROR(__xludf.DUMMYFUNCTION("""COMPUTED_VALUE"""),"Viramal is a Specialty Pharmaceutical Company developing a portfolio of 
therapies in the fields of male &amp; female sexual health focussing on the 
utilisation and application of sex steroid hormones.")</f>
        <v>Viramal is a Specialty Pharmaceutical Company developing a portfolio of 
therapies in the fields of male &amp; female sexual health focussing on the 
utilisation and application of sex steroid hormones.</v>
      </c>
      <c r="C65" s="6" t="str">
        <f>IFERROR(__xludf.DUMMYFUNCTION("""COMPUTED_VALUE"""),"Viramal’s patent protected technology platform facilitates superior drug 
delivery both transdermally and to sensitive female reproductive areas with 
an outstanding safety profile. Similar to cosmetic creams, Viramal’s 
products have excellent patient ac"&amp;"ceptability, and unlike competitors does 
not require alcohol for API solubility or absorption enhancement. All of 
the Company’s products benefit from the avoidance of the First Hepatic 
Pass, and the safety/ metabolite concerns that result other markete"&amp;"d 
products, particularly in Menopausal Hormone Therapy.")</f>
        <v>Viramal’s patent protected technology platform facilitates superior drug 
delivery both transdermally and to sensitive female reproductive areas with 
an outstanding safety profile. Similar to cosmetic creams, Viramal’s 
products have excellent patient acceptability, and unlike competitors does 
not require alcohol for API solubility or absorption enhancement. All of 
the Company’s products benefit from the avoidance of the First Hepatic 
Pass, and the safety/ metabolite concerns that result other marketed 
products, particularly in Menopausal Hormone Therapy.</v>
      </c>
      <c r="I65" s="6" t="str">
        <f>IFERROR(__xludf.DUMMYFUNCTION("""COMPUTED_VALUE"""),"Website:")</f>
        <v>Website:</v>
      </c>
      <c r="J65" s="7" t="str">
        <f>IFERROR(__xludf.DUMMYFUNCTION("""COMPUTED_VALUE"""),"https://www.worldwide.com/")</f>
        <v>https://www.worldwide.com/</v>
      </c>
      <c r="K65" s="6" t="str">
        <f>IFERROR(__xludf.DUMMYFUNCTION("""COMPUTED_VALUE"""),"@worldwidetrials")</f>
        <v>@worldwidetrials</v>
      </c>
    </row>
    <row r="66">
      <c r="A66" s="6" t="str">
        <f>IFERROR(__xludf.DUMMYFUNCTION("""COMPUTED_VALUE"""),"Worldwide Clinical Trials ")</f>
        <v>Worldwide Clinical Trials </v>
      </c>
      <c r="B66" s="6" t="str">
        <f>IFERROR(__xludf.DUMMYFUNCTION("""COMPUTED_VALUE"""),"Worldwide Clinical Trials provides drug development services from Early 
Phase &amp; Bioanalytical Sciences, through Phase II, III &amp; IV")</f>
        <v>Worldwide Clinical Trials provides drug development services from Early 
Phase &amp; Bioanalytical Sciences, through Phase II, III &amp; IV</v>
      </c>
      <c r="C66" s="6"/>
    </row>
  </sheetData>
  <hyperlinks>
    <hyperlink r:id="rId1" ref="A1"/>
    <hyperlink r:id="rId2" ref="B1"/>
    <hyperlink r:id="rId3" ref="C1"/>
    <hyperlink r:id="rId4" ref="D1"/>
    <hyperlink r:id="rId5" ref="E1"/>
    <hyperlink r:id="rId6" ref="F1"/>
    <hyperlink r:id="rId7" ref="G1"/>
    <hyperlink r:id="rId8" ref="J4"/>
    <hyperlink r:id="rId9" ref="J5"/>
    <hyperlink r:id="rId10" ref="J6"/>
    <hyperlink r:id="rId11" ref="J7"/>
    <hyperlink r:id="rId12" ref="J8"/>
    <hyperlink r:id="rId13" ref="J9"/>
    <hyperlink r:id="rId14" ref="J10"/>
    <hyperlink r:id="rId15" ref="J11"/>
    <hyperlink r:id="rId16" ref="J12"/>
    <hyperlink r:id="rId17" ref="J13"/>
    <hyperlink r:id="rId18" ref="J14"/>
    <hyperlink r:id="rId19" ref="J15"/>
    <hyperlink r:id="rId20" ref="J16"/>
    <hyperlink r:id="rId21" ref="J17"/>
    <hyperlink r:id="rId22" ref="J18"/>
    <hyperlink r:id="rId23" ref="J19"/>
    <hyperlink r:id="rId24" ref="J20"/>
    <hyperlink r:id="rId25" ref="J21"/>
    <hyperlink r:id="rId26" ref="J22"/>
    <hyperlink r:id="rId27" ref="J23"/>
    <hyperlink r:id="rId28" ref="J24"/>
    <hyperlink r:id="rId29" ref="J25"/>
    <hyperlink r:id="rId30" ref="J26"/>
    <hyperlink r:id="rId31" ref="J27"/>
    <hyperlink r:id="rId32" ref="J28"/>
    <hyperlink r:id="rId33" ref="J29"/>
    <hyperlink r:id="rId34" ref="J30"/>
    <hyperlink r:id="rId35" ref="J31"/>
    <hyperlink r:id="rId36" ref="J32"/>
    <hyperlink r:id="rId37" ref="J33"/>
    <hyperlink r:id="rId38" ref="J34"/>
    <hyperlink r:id="rId39" ref="J35"/>
    <hyperlink r:id="rId40" ref="J36"/>
    <hyperlink r:id="rId41" ref="J37"/>
    <hyperlink r:id="rId42" ref="J38"/>
    <hyperlink r:id="rId43" ref="J39"/>
    <hyperlink r:id="rId44" ref="J40"/>
    <hyperlink r:id="rId45" ref="J41"/>
    <hyperlink r:id="rId46" ref="J42"/>
    <hyperlink r:id="rId47" ref="J43"/>
    <hyperlink r:id="rId48" ref="J44"/>
    <hyperlink r:id="rId49" ref="J45"/>
    <hyperlink r:id="rId50" ref="J46"/>
    <hyperlink r:id="rId51" ref="J47"/>
    <hyperlink r:id="rId52" ref="J48"/>
    <hyperlink r:id="rId53" ref="J49"/>
    <hyperlink r:id="rId54" ref="J50"/>
    <hyperlink r:id="rId55" ref="J51"/>
    <hyperlink r:id="rId56" ref="J52"/>
    <hyperlink r:id="rId57" ref="J53"/>
    <hyperlink r:id="rId58" ref="J54"/>
    <hyperlink r:id="rId59" ref="J55"/>
    <hyperlink r:id="rId60" ref="J56"/>
    <hyperlink r:id="rId61" ref="J57"/>
    <hyperlink r:id="rId62" ref="J58"/>
    <hyperlink r:id="rId63" ref="J59"/>
    <hyperlink r:id="rId64" ref="J60"/>
    <hyperlink r:id="rId65" ref="J61"/>
    <hyperlink r:id="rId66" ref="J62"/>
    <hyperlink r:id="rId67" ref="J63"/>
    <hyperlink r:id="rId68" ref="J64"/>
    <hyperlink r:id="rId69" ref="J65"/>
  </hyperlinks>
  <drawing r:id="rId70"/>
</worksheet>
</file>