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ELLONA HOSPITALITY\FINANCE\MIS\TB  folder\"/>
    </mc:Choice>
  </mc:AlternateContent>
  <xr:revisionPtr revIDLastSave="0" documentId="13_ncr:1_{7EB7D092-51AF-406B-B3A3-F0F95485B6B7}" xr6:coauthVersionLast="47" xr6:coauthVersionMax="47" xr10:uidLastSave="{00000000-0000-0000-0000-000000000000}"/>
  <bookViews>
    <workbookView xWindow="-110" yWindow="-110" windowWidth="19420" windowHeight="10300" tabRatio="742" firstSheet="9" activeTab="9" xr2:uid="{00000000-000D-0000-FFFF-FFFF00000000}"/>
  </bookViews>
  <sheets>
    <sheet name="List of Outlets" sheetId="4" state="hidden" r:id="rId1"/>
    <sheet name="Budget" sheetId="5" state="hidden" r:id="rId2"/>
    <sheet name="MIS Linked TB" sheetId="11" state="hidden" r:id="rId3"/>
    <sheet name="unadjusted tb" sheetId="18" state="hidden" r:id="rId4"/>
    <sheet name="Reco Vs Books" sheetId="22" state="hidden" r:id="rId5"/>
    <sheet name="Bellona Profitability Apr24" sheetId="24" state="hidden" r:id="rId6"/>
    <sheet name="Outlet wise Summary Apr24" sheetId="23" state="hidden" r:id="rId7"/>
    <sheet name="MIS Apr24" sheetId="12" state="hidden" r:id="rId8"/>
    <sheet name="TB Apr 24" sheetId="10" state="hidden" r:id="rId9"/>
    <sheet name="TB May 24" sheetId="28" r:id="rId10"/>
    <sheet name="TB 17.05.24" sheetId="19" state="hidden" r:id="rId11"/>
    <sheet name="MIS" sheetId="3" state="hidden" r:id="rId12"/>
    <sheet name="TB 18.05.24" sheetId="21" state="hidden" r:id="rId13"/>
    <sheet name="Sales summary" sheetId="17" state="hidden" r:id="rId14"/>
    <sheet name="REV &amp; COGS" sheetId="13" state="hidden" r:id="rId15"/>
    <sheet name="Occupational Cost-Mall Expe May" sheetId="29" state="hidden" r:id="rId16"/>
    <sheet name="Occupational Cost-Mall Expenses" sheetId="6" state="hidden" r:id="rId17"/>
    <sheet name="Manpower Cost" sheetId="14" state="hidden" r:id="rId18"/>
    <sheet name="Staff Room Rent" sheetId="15" state="hidden" r:id="rId19"/>
    <sheet name="Provisions April -Expenses" sheetId="16" state="hidden" r:id="rId20"/>
    <sheet name="Marketing &amp; Business Promotion " sheetId="8" state="hidden" r:id="rId21"/>
    <sheet name="Other Operating Costs" sheetId="9" state="hidden" r:id="rId22"/>
  </sheets>
  <externalReferences>
    <externalReference r:id="rId23"/>
    <externalReference r:id="rId24"/>
    <externalReference r:id="rId25"/>
    <externalReference r:id="rId26"/>
  </externalReferences>
  <definedNames>
    <definedName name="_xlnm._FilterDatabase" localSheetId="17" hidden="1">'Manpower Cost'!$A$3:$S$79</definedName>
    <definedName name="_xlnm._FilterDatabase" localSheetId="2" hidden="1">'MIS Linked TB'!$B$6:$H$3204</definedName>
    <definedName name="_xlnm._FilterDatabase" localSheetId="10" hidden="1">'TB 17.05.24'!$A$6:$BD$96</definedName>
    <definedName name="_xlnm._FilterDatabase" localSheetId="12" hidden="1">'TB 18.05.24'!$A$6:$BF$102</definedName>
    <definedName name="_xlnm._FilterDatabase" localSheetId="8" hidden="1">'TB Apr 24'!$A$7:$BH$106</definedName>
    <definedName name="_xlnm._FilterDatabase" localSheetId="9" hidden="1">'TB May 24'!$A$7:$BH$121</definedName>
    <definedName name="_xlnm.Print_Area" localSheetId="7">'MIS Apr24'!$B$2:$B$57</definedName>
    <definedName name="_xlnm.Print_Area" localSheetId="18">'Staff Room Rent'!$A$1:$I$100</definedName>
    <definedName name="_xlnm.Print_Titles" localSheetId="18">'Staff Room Rent'!$1:$1</definedName>
    <definedName name="_xlnm.Print_Titles" localSheetId="3">'unadjusted tb'!$1:$7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8" i="10" l="1"/>
  <c r="S68" i="10"/>
  <c r="U80" i="28"/>
  <c r="S80" i="28"/>
  <c r="R91" i="28"/>
  <c r="R78" i="10"/>
  <c r="AQ38" i="28"/>
  <c r="AN38" i="28"/>
  <c r="O75" i="28"/>
  <c r="AR75" i="28"/>
  <c r="AO75" i="28"/>
  <c r="AN75" i="28"/>
  <c r="AZ75" i="28" l="1"/>
  <c r="BD75" i="28"/>
  <c r="BC75" i="28"/>
  <c r="BB75" i="28"/>
  <c r="BA75" i="28"/>
  <c r="AX75" i="28"/>
  <c r="AZ62" i="28"/>
  <c r="BD62" i="28"/>
  <c r="BC62" i="28"/>
  <c r="BB62" i="28"/>
  <c r="BA62" i="28"/>
  <c r="AX62" i="28"/>
  <c r="AU75" i="28"/>
  <c r="AW75" i="28"/>
  <c r="AV75" i="28"/>
  <c r="AT75" i="28"/>
  <c r="AS75" i="28"/>
  <c r="AM98" i="28"/>
  <c r="AR98" i="28"/>
  <c r="AQ98" i="28"/>
  <c r="AP98" i="28"/>
  <c r="AO98" i="28"/>
  <c r="AN98" i="28"/>
  <c r="AJ98" i="28"/>
  <c r="AI98" i="28"/>
  <c r="AM96" i="28"/>
  <c r="AR96" i="28"/>
  <c r="AQ96" i="28"/>
  <c r="AP96" i="28"/>
  <c r="AO96" i="28"/>
  <c r="AN96" i="28"/>
  <c r="AJ96" i="28"/>
  <c r="AI96" i="28"/>
  <c r="AM88" i="28"/>
  <c r="AR88" i="28"/>
  <c r="AQ88" i="28"/>
  <c r="AP88" i="28"/>
  <c r="AO88" i="28"/>
  <c r="AN88" i="28"/>
  <c r="AJ88" i="28"/>
  <c r="AI88" i="28"/>
  <c r="AM75" i="28"/>
  <c r="AQ75" i="28"/>
  <c r="AP75" i="28"/>
  <c r="AJ75" i="28"/>
  <c r="AI75" i="28"/>
  <c r="AM68" i="28"/>
  <c r="AR68" i="28"/>
  <c r="AQ68" i="28"/>
  <c r="AP68" i="28"/>
  <c r="AO68" i="28"/>
  <c r="AN68" i="28"/>
  <c r="AJ68" i="28"/>
  <c r="AI68" i="28"/>
  <c r="AM65" i="28"/>
  <c r="AJ65" i="28"/>
  <c r="AI65" i="28"/>
  <c r="AR65" i="28"/>
  <c r="AQ65" i="28"/>
  <c r="AP65" i="28"/>
  <c r="AO65" i="28"/>
  <c r="AN65" i="28"/>
  <c r="AM62" i="28"/>
  <c r="AR62" i="28"/>
  <c r="AQ62" i="28"/>
  <c r="AP62" i="28"/>
  <c r="AO62" i="28"/>
  <c r="AN62" i="28"/>
  <c r="AJ62" i="28"/>
  <c r="AI62" i="28"/>
  <c r="AL119" i="28"/>
  <c r="AK119" i="28"/>
  <c r="AL98" i="28"/>
  <c r="AL96" i="28"/>
  <c r="AL88" i="28"/>
  <c r="AB98" i="28"/>
  <c r="AH98" i="28"/>
  <c r="AG98" i="28"/>
  <c r="AF98" i="28"/>
  <c r="AE98" i="28"/>
  <c r="AD98" i="28"/>
  <c r="AC98" i="28"/>
  <c r="AA98" i="28"/>
  <c r="Z98" i="28"/>
  <c r="AB96" i="28"/>
  <c r="AH96" i="28"/>
  <c r="AG96" i="28"/>
  <c r="AF96" i="28"/>
  <c r="AE96" i="28"/>
  <c r="AD96" i="28"/>
  <c r="AC96" i="28"/>
  <c r="AA96" i="28"/>
  <c r="Z96" i="28"/>
  <c r="AB75" i="28"/>
  <c r="AH75" i="28"/>
  <c r="AG75" i="28"/>
  <c r="AF75" i="28"/>
  <c r="AE75" i="28"/>
  <c r="AD75" i="28"/>
  <c r="AC75" i="28"/>
  <c r="AA75" i="28"/>
  <c r="Z75" i="28"/>
  <c r="AB68" i="28"/>
  <c r="AH68" i="28"/>
  <c r="AG68" i="28"/>
  <c r="AF68" i="28"/>
  <c r="AE68" i="28"/>
  <c r="AD68" i="28"/>
  <c r="AC68" i="28"/>
  <c r="AA68" i="28"/>
  <c r="Z68" i="28"/>
  <c r="AB65" i="28"/>
  <c r="AH65" i="28"/>
  <c r="AG65" i="28"/>
  <c r="AF65" i="28"/>
  <c r="AE65" i="28"/>
  <c r="AD65" i="28"/>
  <c r="AC65" i="28"/>
  <c r="AA65" i="28"/>
  <c r="Z65" i="28"/>
  <c r="AB62" i="28"/>
  <c r="AH62" i="28"/>
  <c r="AG62" i="28"/>
  <c r="AF62" i="28"/>
  <c r="AE62" i="28"/>
  <c r="AD62" i="28"/>
  <c r="AC62" i="28"/>
  <c r="AA62" i="28"/>
  <c r="Z62" i="28"/>
  <c r="V102" i="28"/>
  <c r="Y102" i="28"/>
  <c r="X102" i="28"/>
  <c r="W102" i="28"/>
  <c r="V98" i="28"/>
  <c r="Y98" i="28"/>
  <c r="X98" i="28"/>
  <c r="W98" i="28"/>
  <c r="V96" i="28"/>
  <c r="Y96" i="28"/>
  <c r="X96" i="28"/>
  <c r="W96" i="28"/>
  <c r="V75" i="28"/>
  <c r="Y75" i="28"/>
  <c r="X75" i="28"/>
  <c r="W75" i="28"/>
  <c r="V68" i="28"/>
  <c r="Y68" i="28"/>
  <c r="X68" i="28"/>
  <c r="W68" i="28"/>
  <c r="V65" i="28"/>
  <c r="Y65" i="28"/>
  <c r="X65" i="28"/>
  <c r="W65" i="28"/>
  <c r="V62" i="28"/>
  <c r="Y62" i="28"/>
  <c r="X62" i="28"/>
  <c r="W62" i="28"/>
  <c r="T119" i="28"/>
  <c r="T94" i="28"/>
  <c r="R94" i="28"/>
  <c r="T24" i="28"/>
  <c r="S24" i="28"/>
  <c r="R16" i="28"/>
  <c r="T16" i="28"/>
  <c r="Q75" i="28"/>
  <c r="Q119" i="28" s="1"/>
  <c r="U75" i="28"/>
  <c r="S75" i="28"/>
  <c r="R75" i="28"/>
  <c r="P119" i="28"/>
  <c r="O119" i="28"/>
  <c r="G119" i="28"/>
  <c r="L119" i="28"/>
  <c r="L98" i="28"/>
  <c r="N98" i="28"/>
  <c r="M98" i="28"/>
  <c r="K98" i="28"/>
  <c r="J98" i="28"/>
  <c r="L96" i="28"/>
  <c r="N96" i="28"/>
  <c r="M96" i="28"/>
  <c r="K96" i="28"/>
  <c r="J96" i="28"/>
  <c r="L75" i="28"/>
  <c r="K75" i="28"/>
  <c r="J75" i="28"/>
  <c r="N75" i="28"/>
  <c r="M75" i="28"/>
  <c r="L68" i="28"/>
  <c r="K68" i="28"/>
  <c r="J68" i="28"/>
  <c r="N68" i="28"/>
  <c r="M68" i="28"/>
  <c r="L65" i="28"/>
  <c r="N65" i="28"/>
  <c r="K65" i="28"/>
  <c r="M65" i="28"/>
  <c r="J65" i="28"/>
  <c r="AC95" i="28"/>
  <c r="O95" i="28"/>
  <c r="O94" i="28"/>
  <c r="O67" i="28"/>
  <c r="G75" i="28"/>
  <c r="I75" i="28"/>
  <c r="H75" i="28"/>
  <c r="F75" i="28"/>
  <c r="E75" i="28"/>
  <c r="G69" i="28"/>
  <c r="I69" i="28"/>
  <c r="H69" i="28"/>
  <c r="F69" i="28"/>
  <c r="E69" i="28"/>
  <c r="AM119" i="28" l="1"/>
  <c r="AB119" i="28"/>
  <c r="V119" i="28"/>
  <c r="T96" i="28" l="1"/>
  <c r="R96" i="28"/>
  <c r="R65" i="28"/>
  <c r="T65" i="28"/>
  <c r="G62" i="28"/>
  <c r="I62" i="28"/>
  <c r="H62" i="28"/>
  <c r="F62" i="28"/>
  <c r="E62" i="28"/>
  <c r="G30" i="28"/>
  <c r="I30" i="28"/>
  <c r="H30" i="28"/>
  <c r="F30" i="28"/>
  <c r="E30" i="28"/>
  <c r="V30" i="28"/>
  <c r="Y30" i="28"/>
  <c r="X30" i="28"/>
  <c r="W30" i="28"/>
  <c r="AB30" i="28"/>
  <c r="AH30" i="28"/>
  <c r="AG30" i="28"/>
  <c r="AF30" i="28"/>
  <c r="AE30" i="28"/>
  <c r="AD30" i="28"/>
  <c r="AC30" i="28"/>
  <c r="AA30" i="28"/>
  <c r="Z30" i="28"/>
  <c r="AZ44" i="28"/>
  <c r="BD44" i="28"/>
  <c r="BC44" i="28"/>
  <c r="BB44" i="28"/>
  <c r="BA44" i="28"/>
  <c r="AX44" i="28"/>
  <c r="AZ43" i="28"/>
  <c r="BD43" i="28"/>
  <c r="BC43" i="28"/>
  <c r="BB43" i="28"/>
  <c r="BA43" i="28"/>
  <c r="AX43" i="28"/>
  <c r="AZ42" i="28"/>
  <c r="BD42" i="28"/>
  <c r="BC42" i="28"/>
  <c r="BB42" i="28"/>
  <c r="BA42" i="28"/>
  <c r="AX42" i="28"/>
  <c r="AU44" i="28"/>
  <c r="AW44" i="28"/>
  <c r="AV44" i="28"/>
  <c r="AT44" i="28"/>
  <c r="AS44" i="28"/>
  <c r="AU42" i="28"/>
  <c r="AW42" i="28"/>
  <c r="AV42" i="28"/>
  <c r="AT42" i="28"/>
  <c r="AS42" i="28"/>
  <c r="AM44" i="28"/>
  <c r="AR44" i="28"/>
  <c r="AQ44" i="28"/>
  <c r="AP44" i="28"/>
  <c r="AO44" i="28"/>
  <c r="AN44" i="28"/>
  <c r="AJ44" i="28"/>
  <c r="AI44" i="28"/>
  <c r="AM42" i="28"/>
  <c r="AR42" i="28"/>
  <c r="AQ42" i="28"/>
  <c r="AP42" i="28"/>
  <c r="AO42" i="28"/>
  <c r="AN42" i="28"/>
  <c r="AJ42" i="28"/>
  <c r="AI42" i="28"/>
  <c r="AB44" i="28"/>
  <c r="AH44" i="28"/>
  <c r="AG44" i="28"/>
  <c r="AF44" i="28"/>
  <c r="AE44" i="28"/>
  <c r="AD44" i="28"/>
  <c r="AC44" i="28"/>
  <c r="AA44" i="28"/>
  <c r="Z44" i="28"/>
  <c r="AB42" i="28"/>
  <c r="AH42" i="28"/>
  <c r="AG42" i="28"/>
  <c r="AF42" i="28"/>
  <c r="AE42" i="28"/>
  <c r="AD42" i="28"/>
  <c r="AC42" i="28"/>
  <c r="AA42" i="28"/>
  <c r="Z42" i="28"/>
  <c r="V44" i="28"/>
  <c r="Y44" i="28"/>
  <c r="X44" i="28"/>
  <c r="W44" i="28"/>
  <c r="V43" i="28"/>
  <c r="Y43" i="28"/>
  <c r="X43" i="28"/>
  <c r="W43" i="28"/>
  <c r="V42" i="28"/>
  <c r="Y42" i="28"/>
  <c r="X42" i="28"/>
  <c r="W42" i="28"/>
  <c r="Q44" i="28"/>
  <c r="T44" i="28"/>
  <c r="R44" i="28"/>
  <c r="U44" i="28"/>
  <c r="S44" i="28"/>
  <c r="T43" i="28"/>
  <c r="R43" i="28"/>
  <c r="Q42" i="28"/>
  <c r="U42" i="28"/>
  <c r="S42" i="28"/>
  <c r="R42" i="28"/>
  <c r="T42" i="28"/>
  <c r="L44" i="28"/>
  <c r="N44" i="28"/>
  <c r="M44" i="28"/>
  <c r="K44" i="28"/>
  <c r="J44" i="28"/>
  <c r="L42" i="28"/>
  <c r="N42" i="28"/>
  <c r="M42" i="28"/>
  <c r="K42" i="28"/>
  <c r="J42" i="28"/>
  <c r="G44" i="28"/>
  <c r="I44" i="28"/>
  <c r="H44" i="28"/>
  <c r="F44" i="28"/>
  <c r="E44" i="28"/>
  <c r="G43" i="28"/>
  <c r="I43" i="28"/>
  <c r="H43" i="28"/>
  <c r="E43" i="28"/>
  <c r="F43" i="28"/>
  <c r="G42" i="28"/>
  <c r="I42" i="28"/>
  <c r="H42" i="28"/>
  <c r="F42" i="28"/>
  <c r="E42" i="28"/>
  <c r="AZ38" i="28"/>
  <c r="BD38" i="28"/>
  <c r="BC38" i="28"/>
  <c r="BB38" i="28"/>
  <c r="BA38" i="28"/>
  <c r="AX38" i="28"/>
  <c r="AU38" i="28"/>
  <c r="AW38" i="28"/>
  <c r="AV38" i="28"/>
  <c r="AT38" i="28"/>
  <c r="AS38" i="28"/>
  <c r="AM38" i="28"/>
  <c r="AR38" i="28"/>
  <c r="AP38" i="28"/>
  <c r="AO38" i="28"/>
  <c r="AJ38" i="28"/>
  <c r="AI38" i="28"/>
  <c r="AB38" i="28"/>
  <c r="AH38" i="28"/>
  <c r="AG38" i="28"/>
  <c r="AF38" i="28"/>
  <c r="AE38" i="28"/>
  <c r="AD38" i="28"/>
  <c r="AC38" i="28"/>
  <c r="AA38" i="28"/>
  <c r="Z38" i="28"/>
  <c r="V38" i="28"/>
  <c r="Y38" i="28"/>
  <c r="X38" i="28"/>
  <c r="W38" i="28"/>
  <c r="T38" i="28"/>
  <c r="R38" i="28"/>
  <c r="Q38" i="28"/>
  <c r="U38" i="28"/>
  <c r="S38" i="28"/>
  <c r="L38" i="28"/>
  <c r="N38" i="28"/>
  <c r="M38" i="28"/>
  <c r="K38" i="28"/>
  <c r="J38" i="28"/>
  <c r="G38" i="28"/>
  <c r="I38" i="28"/>
  <c r="H38" i="28"/>
  <c r="F38" i="28"/>
  <c r="E38" i="28"/>
  <c r="BA41" i="28"/>
  <c r="BB41" i="28"/>
  <c r="BC41" i="28"/>
  <c r="BC60" i="28"/>
  <c r="BB60" i="28"/>
  <c r="BA60" i="28"/>
  <c r="BD84" i="28" l="1"/>
  <c r="BC84" i="28"/>
  <c r="BA84" i="28"/>
  <c r="AZ84" i="28"/>
  <c r="AY84" i="28"/>
  <c r="AX84" i="28"/>
  <c r="AW84" i="28"/>
  <c r="AV84" i="28"/>
  <c r="AU84" i="28"/>
  <c r="AQ84" i="28"/>
  <c r="AM84" i="28"/>
  <c r="AL84" i="28"/>
  <c r="AK84" i="28"/>
  <c r="AB84" i="28"/>
  <c r="Y84" i="28"/>
  <c r="W84" i="28"/>
  <c r="V84" i="28"/>
  <c r="T84" i="28"/>
  <c r="Q84" i="28"/>
  <c r="P84" i="28"/>
  <c r="O84" i="28"/>
  <c r="L84" i="28"/>
  <c r="G84" i="28"/>
  <c r="BD83" i="28"/>
  <c r="BC83" i="28"/>
  <c r="BB83" i="28"/>
  <c r="BA83" i="28"/>
  <c r="AZ83" i="28"/>
  <c r="AY83" i="28"/>
  <c r="AX83" i="28"/>
  <c r="AW83" i="28"/>
  <c r="AV83" i="28"/>
  <c r="AU83" i="28"/>
  <c r="AT83" i="28"/>
  <c r="AS83" i="28"/>
  <c r="AR83" i="28"/>
  <c r="AQ83" i="28"/>
  <c r="AP83" i="28"/>
  <c r="AO83" i="28"/>
  <c r="AN83" i="28"/>
  <c r="AM83" i="28"/>
  <c r="AL83" i="28"/>
  <c r="AK83" i="28"/>
  <c r="AJ83" i="28"/>
  <c r="AI83" i="28"/>
  <c r="AH83" i="28"/>
  <c r="AG83" i="28"/>
  <c r="AF83" i="28"/>
  <c r="AE83" i="28"/>
  <c r="AD83" i="28"/>
  <c r="AC83" i="28"/>
  <c r="AB83" i="28"/>
  <c r="AA83" i="28"/>
  <c r="Z83" i="28"/>
  <c r="Y83" i="28"/>
  <c r="X83" i="28"/>
  <c r="W83" i="28"/>
  <c r="V83" i="28"/>
  <c r="U83" i="28"/>
  <c r="T83" i="28"/>
  <c r="S83" i="28"/>
  <c r="R83" i="28"/>
  <c r="Q83" i="28"/>
  <c r="P83" i="28"/>
  <c r="O83" i="28"/>
  <c r="N83" i="28"/>
  <c r="M83" i="28"/>
  <c r="L83" i="28"/>
  <c r="K83" i="28"/>
  <c r="J83" i="28"/>
  <c r="I83" i="28"/>
  <c r="H83" i="28"/>
  <c r="G83" i="28"/>
  <c r="F83" i="28"/>
  <c r="BD82" i="28"/>
  <c r="BC82" i="28"/>
  <c r="BB82" i="28"/>
  <c r="BA82" i="28"/>
  <c r="AZ82" i="28"/>
  <c r="AY82" i="28"/>
  <c r="AX82" i="28"/>
  <c r="AW82" i="28"/>
  <c r="AV82" i="28"/>
  <c r="AU82" i="28"/>
  <c r="AT82" i="28"/>
  <c r="AS82" i="28"/>
  <c r="AR82" i="28"/>
  <c r="AQ82" i="28"/>
  <c r="AP82" i="28"/>
  <c r="AO82" i="28"/>
  <c r="AN82" i="28"/>
  <c r="AM82" i="28"/>
  <c r="AL82" i="28"/>
  <c r="AK82" i="28"/>
  <c r="AJ82" i="28"/>
  <c r="AI82" i="28"/>
  <c r="AH82" i="28"/>
  <c r="AG82" i="28"/>
  <c r="AF82" i="28"/>
  <c r="AE82" i="28"/>
  <c r="AD82" i="28"/>
  <c r="AC82" i="28"/>
  <c r="AB82" i="28"/>
  <c r="AA82" i="28"/>
  <c r="Z82" i="28"/>
  <c r="Y82" i="28"/>
  <c r="X82" i="28"/>
  <c r="W82" i="28"/>
  <c r="V82" i="28"/>
  <c r="U82" i="28"/>
  <c r="T82" i="28"/>
  <c r="S82" i="28"/>
  <c r="R82" i="28"/>
  <c r="Q82" i="28"/>
  <c r="P82" i="28"/>
  <c r="O82" i="28"/>
  <c r="N82" i="28"/>
  <c r="M82" i="28"/>
  <c r="L82" i="28"/>
  <c r="K82" i="28"/>
  <c r="J82" i="28"/>
  <c r="I82" i="28"/>
  <c r="H82" i="28"/>
  <c r="G82" i="28"/>
  <c r="F82" i="28"/>
  <c r="BD81" i="28"/>
  <c r="BC81" i="28"/>
  <c r="BB81" i="28"/>
  <c r="BA81" i="28"/>
  <c r="AZ81" i="28"/>
  <c r="AY81" i="28"/>
  <c r="AX81" i="28"/>
  <c r="AW81" i="28"/>
  <c r="AV81" i="28"/>
  <c r="AU81" i="28"/>
  <c r="AT81" i="28"/>
  <c r="AS81" i="28"/>
  <c r="AR81" i="28"/>
  <c r="AQ81" i="28"/>
  <c r="AP81" i="28"/>
  <c r="AO81" i="28"/>
  <c r="AN81" i="28"/>
  <c r="AM81" i="28"/>
  <c r="AL81" i="28"/>
  <c r="AK81" i="28"/>
  <c r="AJ81" i="28"/>
  <c r="AI81" i="28"/>
  <c r="AH81" i="28"/>
  <c r="AG81" i="28"/>
  <c r="AF81" i="28"/>
  <c r="AE81" i="28"/>
  <c r="AD81" i="28"/>
  <c r="AC81" i="28"/>
  <c r="AB81" i="28"/>
  <c r="AA81" i="28"/>
  <c r="Z81" i="28"/>
  <c r="Y81" i="28"/>
  <c r="X81" i="28"/>
  <c r="W81" i="28"/>
  <c r="V81" i="28"/>
  <c r="U81" i="28"/>
  <c r="T81" i="28"/>
  <c r="S81" i="28"/>
  <c r="R81" i="28"/>
  <c r="Q81" i="28"/>
  <c r="P81" i="28"/>
  <c r="O81" i="28"/>
  <c r="N81" i="28"/>
  <c r="M81" i="28"/>
  <c r="L81" i="28"/>
  <c r="K81" i="28"/>
  <c r="J81" i="28"/>
  <c r="I81" i="28"/>
  <c r="H81" i="28"/>
  <c r="G81" i="28"/>
  <c r="F81" i="28"/>
  <c r="BD80" i="28"/>
  <c r="BC80" i="28"/>
  <c r="BB80" i="28"/>
  <c r="BA80" i="28"/>
  <c r="AZ80" i="28"/>
  <c r="AY80" i="28"/>
  <c r="AX80" i="28"/>
  <c r="AW80" i="28"/>
  <c r="AV80" i="28"/>
  <c r="AU80" i="28"/>
  <c r="AT80" i="28"/>
  <c r="AS80" i="28"/>
  <c r="AR80" i="28"/>
  <c r="AQ80" i="28"/>
  <c r="AP80" i="28"/>
  <c r="AO80" i="28"/>
  <c r="AN80" i="28"/>
  <c r="AM80" i="28"/>
  <c r="AL80" i="28"/>
  <c r="AK80" i="28"/>
  <c r="AJ80" i="28"/>
  <c r="AI80" i="28"/>
  <c r="AH80" i="28"/>
  <c r="AB80" i="28"/>
  <c r="AA80" i="28"/>
  <c r="Z80" i="28"/>
  <c r="Y80" i="28"/>
  <c r="X80" i="28"/>
  <c r="W80" i="28"/>
  <c r="V80" i="28"/>
  <c r="T80" i="28"/>
  <c r="R80" i="28"/>
  <c r="Q80" i="28"/>
  <c r="P80" i="28"/>
  <c r="O80" i="28"/>
  <c r="L80" i="28"/>
  <c r="I80" i="28"/>
  <c r="H80" i="28"/>
  <c r="G80" i="28"/>
  <c r="F80" i="28"/>
  <c r="BD79" i="28"/>
  <c r="BC79" i="28"/>
  <c r="BB79" i="28"/>
  <c r="BA79" i="28"/>
  <c r="AZ79" i="28"/>
  <c r="AY79" i="28"/>
  <c r="AX79" i="28"/>
  <c r="AW79" i="28"/>
  <c r="AV79" i="28"/>
  <c r="AU79" i="28"/>
  <c r="AT79" i="28"/>
  <c r="AS79" i="28"/>
  <c r="AR79" i="28"/>
  <c r="AQ79" i="28"/>
  <c r="AP79" i="28"/>
  <c r="AO79" i="28"/>
  <c r="AN79" i="28"/>
  <c r="AM79" i="28"/>
  <c r="AL79" i="28"/>
  <c r="AK79" i="28"/>
  <c r="AJ79" i="28"/>
  <c r="AI79" i="28"/>
  <c r="AH79" i="28"/>
  <c r="AG79" i="28"/>
  <c r="AF79" i="28"/>
  <c r="AE79" i="28"/>
  <c r="AD79" i="28"/>
  <c r="AC79" i="28"/>
  <c r="AB79" i="28"/>
  <c r="AA79" i="28"/>
  <c r="Z79" i="28"/>
  <c r="Y79" i="28"/>
  <c r="X79" i="28"/>
  <c r="W79" i="28"/>
  <c r="V79" i="28"/>
  <c r="U79" i="28"/>
  <c r="T79" i="28"/>
  <c r="S79" i="28"/>
  <c r="R79" i="28"/>
  <c r="Q79" i="28"/>
  <c r="P79" i="28"/>
  <c r="O79" i="28"/>
  <c r="N79" i="28"/>
  <c r="M79" i="28"/>
  <c r="L79" i="28"/>
  <c r="K79" i="28"/>
  <c r="J79" i="28"/>
  <c r="I79" i="28"/>
  <c r="H79" i="28"/>
  <c r="G79" i="28"/>
  <c r="F79" i="28"/>
  <c r="BD78" i="28"/>
  <c r="BC78" i="28"/>
  <c r="BB78" i="28"/>
  <c r="BA78" i="28"/>
  <c r="AZ78" i="28"/>
  <c r="AY78" i="28"/>
  <c r="AX78" i="28"/>
  <c r="AW78" i="28"/>
  <c r="AV78" i="28"/>
  <c r="AU78" i="28"/>
  <c r="AT78" i="28"/>
  <c r="AS78" i="28"/>
  <c r="AR78" i="28"/>
  <c r="AQ78" i="28"/>
  <c r="AP78" i="28"/>
  <c r="AO78" i="28"/>
  <c r="AN78" i="28"/>
  <c r="AM78" i="28"/>
  <c r="AL78" i="28"/>
  <c r="AK78" i="28"/>
  <c r="AJ78" i="28"/>
  <c r="AI78" i="28"/>
  <c r="AH78" i="28"/>
  <c r="AG78" i="28"/>
  <c r="AF78" i="28"/>
  <c r="AE78" i="28"/>
  <c r="AD78" i="28"/>
  <c r="AC78" i="28"/>
  <c r="AB78" i="28"/>
  <c r="AA78" i="28"/>
  <c r="Z78" i="28"/>
  <c r="Y78" i="28"/>
  <c r="X78" i="28"/>
  <c r="W78" i="28"/>
  <c r="V78" i="28"/>
  <c r="T78" i="28"/>
  <c r="Q78" i="28"/>
  <c r="P78" i="28"/>
  <c r="O78" i="28"/>
  <c r="L78" i="28"/>
  <c r="I78" i="28"/>
  <c r="H78" i="28"/>
  <c r="G78" i="28"/>
  <c r="F78" i="28"/>
  <c r="BD77" i="28"/>
  <c r="BC77" i="28"/>
  <c r="BB77" i="28"/>
  <c r="BA77" i="28"/>
  <c r="AZ77" i="28"/>
  <c r="AY77" i="28"/>
  <c r="AX77" i="28"/>
  <c r="AW77" i="28"/>
  <c r="AV77" i="28"/>
  <c r="AU77" i="28"/>
  <c r="AT77" i="28"/>
  <c r="AS77" i="28"/>
  <c r="AR77" i="28"/>
  <c r="AQ77" i="28"/>
  <c r="AP77" i="28"/>
  <c r="AO77" i="28"/>
  <c r="AN77" i="28"/>
  <c r="AM77" i="28"/>
  <c r="AL77" i="28"/>
  <c r="AK77" i="28"/>
  <c r="AJ77" i="28"/>
  <c r="AI77" i="28"/>
  <c r="AH77" i="28"/>
  <c r="AG77" i="28"/>
  <c r="AF77" i="28"/>
  <c r="AE77" i="28"/>
  <c r="AD77" i="28"/>
  <c r="AC77" i="28"/>
  <c r="AB77" i="28"/>
  <c r="AA77" i="28"/>
  <c r="Z77" i="28"/>
  <c r="Y77" i="28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T76" i="28"/>
  <c r="E83" i="28"/>
  <c r="E82" i="28"/>
  <c r="E81" i="28"/>
  <c r="E80" i="28"/>
  <c r="E79" i="28"/>
  <c r="E77" i="28"/>
  <c r="R64" i="29"/>
  <c r="R63" i="29"/>
  <c r="R62" i="29"/>
  <c r="R61" i="29"/>
  <c r="R60" i="29"/>
  <c r="R59" i="29"/>
  <c r="R58" i="29"/>
  <c r="R57" i="29"/>
  <c r="R56" i="29"/>
  <c r="N54" i="29"/>
  <c r="M54" i="29"/>
  <c r="BP53" i="29"/>
  <c r="BO53" i="29"/>
  <c r="BN53" i="29"/>
  <c r="BM53" i="29"/>
  <c r="BL53" i="29"/>
  <c r="BK53" i="29"/>
  <c r="BJ53" i="29"/>
  <c r="BI53" i="29"/>
  <c r="BH53" i="29"/>
  <c r="BG53" i="29"/>
  <c r="BF53" i="29"/>
  <c r="BE53" i="29"/>
  <c r="BD53" i="29"/>
  <c r="BC53" i="29"/>
  <c r="BB53" i="29"/>
  <c r="BA53" i="29"/>
  <c r="AZ53" i="29"/>
  <c r="AY53" i="29"/>
  <c r="AX53" i="29"/>
  <c r="AW53" i="29"/>
  <c r="AV53" i="29"/>
  <c r="AU53" i="29"/>
  <c r="AT53" i="29"/>
  <c r="AS53" i="29"/>
  <c r="AR53" i="29"/>
  <c r="AQ53" i="29"/>
  <c r="AP53" i="29"/>
  <c r="AO53" i="29"/>
  <c r="AN53" i="29"/>
  <c r="AM53" i="29"/>
  <c r="AL53" i="29"/>
  <c r="AK53" i="29"/>
  <c r="AJ53" i="29"/>
  <c r="AI53" i="29"/>
  <c r="AH53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E53" i="29" s="1"/>
  <c r="P53" i="29"/>
  <c r="BP52" i="29"/>
  <c r="BO52" i="29"/>
  <c r="BN52" i="29"/>
  <c r="BM52" i="29"/>
  <c r="BL52" i="29"/>
  <c r="BK52" i="29"/>
  <c r="BJ52" i="29"/>
  <c r="BI52" i="29"/>
  <c r="BH52" i="29"/>
  <c r="BG52" i="29"/>
  <c r="BF52" i="29"/>
  <c r="BE52" i="29"/>
  <c r="BD52" i="29"/>
  <c r="BC52" i="29"/>
  <c r="BB52" i="29"/>
  <c r="BA52" i="29"/>
  <c r="AZ52" i="29"/>
  <c r="AY52" i="29"/>
  <c r="AX52" i="29"/>
  <c r="AW52" i="29"/>
  <c r="AV52" i="29"/>
  <c r="AU52" i="29"/>
  <c r="AT52" i="29"/>
  <c r="AS52" i="29"/>
  <c r="AR52" i="29"/>
  <c r="AQ52" i="29"/>
  <c r="AP52" i="29"/>
  <c r="AO52" i="29"/>
  <c r="AN52" i="29"/>
  <c r="AM52" i="29"/>
  <c r="AL52" i="29"/>
  <c r="AK52" i="29"/>
  <c r="AJ52" i="29"/>
  <c r="AI52" i="29"/>
  <c r="AH52" i="29"/>
  <c r="AG52" i="29"/>
  <c r="AF52" i="29"/>
  <c r="AE52" i="29"/>
  <c r="AD52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E52" i="29"/>
  <c r="BP51" i="29"/>
  <c r="BO51" i="29"/>
  <c r="BM51" i="29"/>
  <c r="BL51" i="29"/>
  <c r="BK51" i="29"/>
  <c r="BJ51" i="29"/>
  <c r="BI51" i="29"/>
  <c r="BH51" i="29"/>
  <c r="BG51" i="29"/>
  <c r="BC51" i="29"/>
  <c r="AY51" i="29"/>
  <c r="AX51" i="29"/>
  <c r="AW51" i="29"/>
  <c r="AN51" i="29"/>
  <c r="AK51" i="29"/>
  <c r="AI51" i="29"/>
  <c r="AH51" i="29"/>
  <c r="AF51" i="29"/>
  <c r="AC51" i="29"/>
  <c r="AB51" i="29"/>
  <c r="AA51" i="29"/>
  <c r="X51" i="29"/>
  <c r="S51" i="29"/>
  <c r="P51" i="29"/>
  <c r="BP50" i="29"/>
  <c r="BO50" i="29"/>
  <c r="BN50" i="29"/>
  <c r="BM50" i="29"/>
  <c r="BL50" i="29"/>
  <c r="BK50" i="29"/>
  <c r="BJ50" i="29"/>
  <c r="BI50" i="29"/>
  <c r="BH50" i="29"/>
  <c r="BG50" i="29"/>
  <c r="BF50" i="29"/>
  <c r="BE50" i="29"/>
  <c r="BD50" i="29"/>
  <c r="BC50" i="29"/>
  <c r="BB50" i="29"/>
  <c r="BA50" i="29"/>
  <c r="AZ50" i="29"/>
  <c r="AY50" i="29"/>
  <c r="AX50" i="29"/>
  <c r="AW50" i="29"/>
  <c r="AV50" i="29"/>
  <c r="AU50" i="29"/>
  <c r="AT50" i="29"/>
  <c r="AS50" i="29"/>
  <c r="AR50" i="29"/>
  <c r="AQ50" i="29"/>
  <c r="AP50" i="29"/>
  <c r="AO50" i="29"/>
  <c r="AN50" i="29"/>
  <c r="AM50" i="29"/>
  <c r="AL50" i="29"/>
  <c r="AK50" i="29"/>
  <c r="AJ50" i="29"/>
  <c r="AI50" i="29"/>
  <c r="AH50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BP49" i="29"/>
  <c r="BO49" i="29"/>
  <c r="BN49" i="29"/>
  <c r="BM49" i="29"/>
  <c r="BL49" i="29"/>
  <c r="BK49" i="29"/>
  <c r="BJ49" i="29"/>
  <c r="BI49" i="29"/>
  <c r="BH49" i="29"/>
  <c r="BG49" i="29"/>
  <c r="BF49" i="29"/>
  <c r="BE49" i="29"/>
  <c r="BD49" i="29"/>
  <c r="BC49" i="29"/>
  <c r="BB49" i="29"/>
  <c r="BA49" i="29"/>
  <c r="AZ49" i="29"/>
  <c r="AY49" i="29"/>
  <c r="AX49" i="29"/>
  <c r="AW49" i="29"/>
  <c r="AV49" i="29"/>
  <c r="AU49" i="29"/>
  <c r="AT49" i="29"/>
  <c r="AS49" i="29"/>
  <c r="AR49" i="29"/>
  <c r="AQ49" i="29"/>
  <c r="AP49" i="29"/>
  <c r="AO49" i="29"/>
  <c r="AN49" i="29"/>
  <c r="AM49" i="29"/>
  <c r="AL49" i="29"/>
  <c r="AK49" i="29"/>
  <c r="AJ49" i="29"/>
  <c r="AI49" i="29"/>
  <c r="AH49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BP48" i="29"/>
  <c r="BO48" i="29"/>
  <c r="BN48" i="29"/>
  <c r="BM48" i="29"/>
  <c r="BL48" i="29"/>
  <c r="BK48" i="29"/>
  <c r="BJ48" i="29"/>
  <c r="BI48" i="29"/>
  <c r="BH48" i="29"/>
  <c r="BG48" i="29"/>
  <c r="BF48" i="29"/>
  <c r="BE48" i="29"/>
  <c r="BD48" i="29"/>
  <c r="BC48" i="29"/>
  <c r="BB48" i="29"/>
  <c r="BA48" i="29"/>
  <c r="AZ48" i="29"/>
  <c r="AY48" i="29"/>
  <c r="AX48" i="29"/>
  <c r="AW48" i="29"/>
  <c r="AV48" i="29"/>
  <c r="AU48" i="29"/>
  <c r="AT48" i="29"/>
  <c r="AS48" i="29"/>
  <c r="AR48" i="29"/>
  <c r="AQ48" i="29"/>
  <c r="AP48" i="29"/>
  <c r="AO48" i="29"/>
  <c r="AN48" i="29"/>
  <c r="AM48" i="29"/>
  <c r="AL48" i="29"/>
  <c r="AK48" i="29"/>
  <c r="AJ48" i="29"/>
  <c r="AI48" i="29"/>
  <c r="AH48" i="29"/>
  <c r="AG48" i="29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E48" i="29" s="1"/>
  <c r="P48" i="29"/>
  <c r="BP47" i="29"/>
  <c r="BO47" i="29"/>
  <c r="BN47" i="29"/>
  <c r="BM47" i="29"/>
  <c r="BL47" i="29"/>
  <c r="BK47" i="29"/>
  <c r="BJ47" i="29"/>
  <c r="BI47" i="29"/>
  <c r="BH47" i="29"/>
  <c r="BG47" i="29"/>
  <c r="BF47" i="29"/>
  <c r="BE47" i="29"/>
  <c r="BD47" i="29"/>
  <c r="BC47" i="29"/>
  <c r="BB47" i="29"/>
  <c r="BA47" i="29"/>
  <c r="AZ47" i="29"/>
  <c r="AY47" i="29"/>
  <c r="AX47" i="29"/>
  <c r="AW47" i="29"/>
  <c r="AV47" i="29"/>
  <c r="AU47" i="29"/>
  <c r="AT47" i="29"/>
  <c r="AS47" i="29"/>
  <c r="AR47" i="29"/>
  <c r="AQ47" i="29"/>
  <c r="AP47" i="29"/>
  <c r="AO47" i="29"/>
  <c r="AN47" i="29"/>
  <c r="AM47" i="29"/>
  <c r="AL47" i="29"/>
  <c r="AK47" i="29"/>
  <c r="AJ47" i="29"/>
  <c r="AI47" i="29"/>
  <c r="AH47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BP46" i="29"/>
  <c r="BO46" i="29"/>
  <c r="BN46" i="29"/>
  <c r="BM46" i="29"/>
  <c r="BL46" i="29"/>
  <c r="BK46" i="29"/>
  <c r="BJ46" i="29"/>
  <c r="BI46" i="29"/>
  <c r="BH46" i="29"/>
  <c r="BG46" i="29"/>
  <c r="BF46" i="29"/>
  <c r="BE46" i="29"/>
  <c r="BD46" i="29"/>
  <c r="BC46" i="29"/>
  <c r="BB46" i="29"/>
  <c r="BA46" i="29"/>
  <c r="AZ46" i="29"/>
  <c r="AY46" i="29"/>
  <c r="AX46" i="29"/>
  <c r="AW46" i="29"/>
  <c r="AV46" i="29"/>
  <c r="AU46" i="29"/>
  <c r="AT46" i="29"/>
  <c r="AS46" i="29"/>
  <c r="AR46" i="29"/>
  <c r="AQ46" i="29"/>
  <c r="AP46" i="29"/>
  <c r="AO46" i="29"/>
  <c r="AN46" i="29"/>
  <c r="AM46" i="29"/>
  <c r="AL46" i="29"/>
  <c r="AK46" i="29"/>
  <c r="AJ46" i="29"/>
  <c r="AI46" i="29"/>
  <c r="AH46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O46" i="29"/>
  <c r="L46" i="29"/>
  <c r="K46" i="29"/>
  <c r="J46" i="29"/>
  <c r="I46" i="29"/>
  <c r="H46" i="29"/>
  <c r="G46" i="29"/>
  <c r="F46" i="29"/>
  <c r="F54" i="29" s="1"/>
  <c r="BL45" i="29"/>
  <c r="BL54" i="29" s="1"/>
  <c r="AF45" i="29"/>
  <c r="O45" i="29"/>
  <c r="L45" i="29"/>
  <c r="K45" i="29"/>
  <c r="J45" i="29"/>
  <c r="I45" i="29"/>
  <c r="H45" i="29"/>
  <c r="G45" i="29"/>
  <c r="F45" i="29"/>
  <c r="BP37" i="29"/>
  <c r="BO37" i="29"/>
  <c r="BN37" i="29"/>
  <c r="BM37" i="29"/>
  <c r="BL37" i="29"/>
  <c r="BK37" i="29"/>
  <c r="BJ37" i="29"/>
  <c r="BI37" i="29"/>
  <c r="BH37" i="29"/>
  <c r="BG37" i="29"/>
  <c r="BF37" i="29"/>
  <c r="BE37" i="29"/>
  <c r="BD37" i="29"/>
  <c r="BC37" i="29"/>
  <c r="BB37" i="29"/>
  <c r="BA37" i="29"/>
  <c r="AZ37" i="29"/>
  <c r="AY37" i="29"/>
  <c r="AX37" i="29"/>
  <c r="AW37" i="29"/>
  <c r="AV37" i="29"/>
  <c r="AU37" i="29"/>
  <c r="AT37" i="29"/>
  <c r="AS37" i="29"/>
  <c r="AR37" i="29"/>
  <c r="AQ37" i="29"/>
  <c r="AP37" i="29"/>
  <c r="AO37" i="29"/>
  <c r="AN37" i="29"/>
  <c r="AM37" i="29"/>
  <c r="AL37" i="29"/>
  <c r="AK37" i="29"/>
  <c r="AJ37" i="29"/>
  <c r="AI37" i="29"/>
  <c r="AG37" i="29"/>
  <c r="AF37" i="29"/>
  <c r="AE37" i="29"/>
  <c r="AD37" i="29"/>
  <c r="Z37" i="29"/>
  <c r="Y37" i="29"/>
  <c r="W37" i="29"/>
  <c r="V37" i="29"/>
  <c r="U37" i="29"/>
  <c r="T37" i="29"/>
  <c r="S37" i="29"/>
  <c r="R37" i="29"/>
  <c r="Q37" i="29"/>
  <c r="N37" i="29"/>
  <c r="M37" i="29"/>
  <c r="P36" i="29"/>
  <c r="E36" i="29"/>
  <c r="P35" i="29"/>
  <c r="E35" i="29"/>
  <c r="P34" i="29"/>
  <c r="E34" i="29"/>
  <c r="P33" i="29"/>
  <c r="E33" i="29"/>
  <c r="P32" i="29"/>
  <c r="E32" i="29"/>
  <c r="P31" i="29"/>
  <c r="E31" i="29"/>
  <c r="P30" i="29"/>
  <c r="E30" i="29"/>
  <c r="O29" i="29"/>
  <c r="L29" i="29"/>
  <c r="K29" i="29"/>
  <c r="J29" i="29"/>
  <c r="I29" i="29"/>
  <c r="H29" i="29"/>
  <c r="G29" i="29"/>
  <c r="F29" i="29"/>
  <c r="F37" i="29" s="1"/>
  <c r="E29" i="29"/>
  <c r="O28" i="29"/>
  <c r="L28" i="29"/>
  <c r="K28" i="29"/>
  <c r="J28" i="29"/>
  <c r="I28" i="29"/>
  <c r="H28" i="29"/>
  <c r="G28" i="29"/>
  <c r="F28" i="29"/>
  <c r="E28" i="29"/>
  <c r="V20" i="29"/>
  <c r="BP18" i="29"/>
  <c r="BO18" i="29"/>
  <c r="BN18" i="29"/>
  <c r="BM18" i="29"/>
  <c r="BL18" i="29"/>
  <c r="BK18" i="29"/>
  <c r="BJ18" i="29"/>
  <c r="BI18" i="29"/>
  <c r="BH18" i="29"/>
  <c r="BG18" i="29"/>
  <c r="BF18" i="29"/>
  <c r="BE18" i="29"/>
  <c r="BD18" i="29"/>
  <c r="BC18" i="29"/>
  <c r="BB18" i="29"/>
  <c r="BA18" i="29"/>
  <c r="AZ18" i="29"/>
  <c r="AY18" i="29"/>
  <c r="AX18" i="29"/>
  <c r="AW18" i="29"/>
  <c r="AV18" i="29"/>
  <c r="AU18" i="29"/>
  <c r="AT18" i="29"/>
  <c r="AS18" i="29"/>
  <c r="AR18" i="29"/>
  <c r="AQ18" i="29"/>
  <c r="AP18" i="29"/>
  <c r="AO18" i="29"/>
  <c r="AN18" i="29"/>
  <c r="AM18" i="29"/>
  <c r="AL18" i="29"/>
  <c r="AK18" i="29"/>
  <c r="AJ18" i="29"/>
  <c r="AI18" i="29"/>
  <c r="AH18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BC17" i="29"/>
  <c r="BB17" i="29"/>
  <c r="BO16" i="29"/>
  <c r="BJ16" i="29"/>
  <c r="BM20" i="29" s="1"/>
  <c r="BI16" i="29"/>
  <c r="BI20" i="29" s="1"/>
  <c r="AK16" i="29"/>
  <c r="Z16" i="29"/>
  <c r="Y20" i="29" s="1"/>
  <c r="BP15" i="29"/>
  <c r="BO15" i="29"/>
  <c r="BM15" i="29"/>
  <c r="BL15" i="29"/>
  <c r="AZ15" i="29"/>
  <c r="AY15" i="29"/>
  <c r="AN15" i="29"/>
  <c r="AF15" i="29"/>
  <c r="U15" i="29"/>
  <c r="S15" i="29"/>
  <c r="N15" i="29"/>
  <c r="M15" i="29"/>
  <c r="P14" i="29"/>
  <c r="E14" i="29"/>
  <c r="BN13" i="29"/>
  <c r="BN51" i="29" s="1"/>
  <c r="BF13" i="29"/>
  <c r="BF51" i="29" s="1"/>
  <c r="BE13" i="29"/>
  <c r="BE51" i="29" s="1"/>
  <c r="BD13" i="29"/>
  <c r="AR84" i="28" s="1"/>
  <c r="BB13" i="29"/>
  <c r="AP84" i="28" s="1"/>
  <c r="BA13" i="29"/>
  <c r="BA15" i="29" s="1"/>
  <c r="AZ13" i="29"/>
  <c r="AZ51" i="29" s="1"/>
  <c r="AV13" i="29"/>
  <c r="AV51" i="29" s="1"/>
  <c r="AU13" i="29"/>
  <c r="AU51" i="29" s="1"/>
  <c r="AT13" i="29"/>
  <c r="AT51" i="29" s="1"/>
  <c r="AS13" i="29"/>
  <c r="AS51" i="29" s="1"/>
  <c r="AR13" i="29"/>
  <c r="AF84" i="28" s="1"/>
  <c r="AQ13" i="29"/>
  <c r="AE84" i="28" s="1"/>
  <c r="AP13" i="29"/>
  <c r="AD84" i="28" s="1"/>
  <c r="AO13" i="29"/>
  <c r="AC84" i="28" s="1"/>
  <c r="AM13" i="29"/>
  <c r="AM51" i="29" s="1"/>
  <c r="AL13" i="29"/>
  <c r="AL51" i="29" s="1"/>
  <c r="AJ13" i="29"/>
  <c r="AJ51" i="29" s="1"/>
  <c r="AG13" i="29"/>
  <c r="AG51" i="29" s="1"/>
  <c r="AE13" i="29"/>
  <c r="AE51" i="29" s="1"/>
  <c r="AD13" i="29"/>
  <c r="AD51" i="29" s="1"/>
  <c r="Z13" i="29"/>
  <c r="Z51" i="29" s="1"/>
  <c r="Y13" i="29"/>
  <c r="Y51" i="29" s="1"/>
  <c r="W13" i="29"/>
  <c r="W51" i="29" s="1"/>
  <c r="V13" i="29"/>
  <c r="V51" i="29" s="1"/>
  <c r="U13" i="29"/>
  <c r="U51" i="29" s="1"/>
  <c r="T13" i="29"/>
  <c r="H84" i="28" s="1"/>
  <c r="R13" i="29"/>
  <c r="F84" i="28" s="1"/>
  <c r="Q13" i="29"/>
  <c r="E84" i="28" s="1"/>
  <c r="P13" i="29"/>
  <c r="P12" i="29"/>
  <c r="E12" i="29"/>
  <c r="P11" i="29"/>
  <c r="E11" i="29"/>
  <c r="P10" i="29"/>
  <c r="E10" i="29"/>
  <c r="AS9" i="29"/>
  <c r="AG80" i="28" s="1"/>
  <c r="AR9" i="29"/>
  <c r="AR15" i="29" s="1"/>
  <c r="AQ9" i="29"/>
  <c r="AP9" i="29"/>
  <c r="AO9" i="29"/>
  <c r="AO15" i="29" s="1"/>
  <c r="Z9" i="29"/>
  <c r="N80" i="28" s="1"/>
  <c r="Y9" i="29"/>
  <c r="M80" i="28" s="1"/>
  <c r="W9" i="29"/>
  <c r="K80" i="28" s="1"/>
  <c r="V9" i="29"/>
  <c r="J80" i="28" s="1"/>
  <c r="P9" i="29"/>
  <c r="P8" i="29"/>
  <c r="E8" i="29"/>
  <c r="AG7" i="29"/>
  <c r="U78" i="28" s="1"/>
  <c r="AE7" i="29"/>
  <c r="AE15" i="29" s="1"/>
  <c r="AD7" i="29"/>
  <c r="Z7" i="29"/>
  <c r="N78" i="28" s="1"/>
  <c r="Y7" i="29"/>
  <c r="M78" i="28" s="1"/>
  <c r="W7" i="29"/>
  <c r="K78" i="28" s="1"/>
  <c r="V7" i="29"/>
  <c r="J78" i="28" s="1"/>
  <c r="Q7" i="29"/>
  <c r="E78" i="28" s="1"/>
  <c r="P7" i="29"/>
  <c r="O6" i="29"/>
  <c r="L6" i="29"/>
  <c r="K6" i="29"/>
  <c r="J6" i="29"/>
  <c r="I6" i="29"/>
  <c r="H6" i="29"/>
  <c r="G6" i="29"/>
  <c r="F6" i="29"/>
  <c r="F15" i="29" s="1"/>
  <c r="E6" i="29"/>
  <c r="BP5" i="29"/>
  <c r="BD76" i="28" s="1"/>
  <c r="BO5" i="29"/>
  <c r="BO45" i="29" s="1"/>
  <c r="BN5" i="29"/>
  <c r="BB76" i="28" s="1"/>
  <c r="BM5" i="29"/>
  <c r="BA76" i="28" s="1"/>
  <c r="BL5" i="29"/>
  <c r="AZ76" i="28" s="1"/>
  <c r="BK5" i="29"/>
  <c r="BK15" i="29" s="1"/>
  <c r="BJ5" i="29"/>
  <c r="AX76" i="28" s="1"/>
  <c r="BI5" i="29"/>
  <c r="BI15" i="29" s="1"/>
  <c r="BH5" i="29"/>
  <c r="AV76" i="28" s="1"/>
  <c r="BG5" i="29"/>
  <c r="AU76" i="28" s="1"/>
  <c r="BF5" i="29"/>
  <c r="BF45" i="29" s="1"/>
  <c r="BE5" i="29"/>
  <c r="AS76" i="28" s="1"/>
  <c r="BD5" i="29"/>
  <c r="BD45" i="29" s="1"/>
  <c r="BC5" i="29"/>
  <c r="BC15" i="29" s="1"/>
  <c r="BB5" i="29"/>
  <c r="AP76" i="28" s="1"/>
  <c r="BA5" i="29"/>
  <c r="AO76" i="28" s="1"/>
  <c r="AZ5" i="29"/>
  <c r="AN76" i="28" s="1"/>
  <c r="AY5" i="29"/>
  <c r="AY45" i="29" s="1"/>
  <c r="AY54" i="29" s="1"/>
  <c r="AX5" i="29"/>
  <c r="AL76" i="28" s="1"/>
  <c r="AW5" i="29"/>
  <c r="AK76" i="28" s="1"/>
  <c r="AV5" i="29"/>
  <c r="AJ76" i="28" s="1"/>
  <c r="AU5" i="29"/>
  <c r="AI76" i="28" s="1"/>
  <c r="AT5" i="29"/>
  <c r="AT45" i="29" s="1"/>
  <c r="AT54" i="29" s="1"/>
  <c r="AS5" i="29"/>
  <c r="AG76" i="28" s="1"/>
  <c r="AR5" i="29"/>
  <c r="AF76" i="28" s="1"/>
  <c r="AQ5" i="29"/>
  <c r="AE76" i="28" s="1"/>
  <c r="AP5" i="29"/>
  <c r="AP45" i="29" s="1"/>
  <c r="AO5" i="29"/>
  <c r="AC76" i="28" s="1"/>
  <c r="AN5" i="29"/>
  <c r="AB76" i="28" s="1"/>
  <c r="AM5" i="29"/>
  <c r="AA76" i="28" s="1"/>
  <c r="AL5" i="29"/>
  <c r="Z76" i="28" s="1"/>
  <c r="AK5" i="29"/>
  <c r="AK45" i="29" s="1"/>
  <c r="AJ5" i="29"/>
  <c r="AJ45" i="29" s="1"/>
  <c r="AI5" i="29"/>
  <c r="AI45" i="29" s="1"/>
  <c r="AH5" i="29"/>
  <c r="AH45" i="29" s="1"/>
  <c r="AG5" i="29"/>
  <c r="AG45" i="29" s="1"/>
  <c r="AE5" i="29"/>
  <c r="AE45" i="29" s="1"/>
  <c r="AD5" i="29"/>
  <c r="AD45" i="29" s="1"/>
  <c r="AC5" i="29"/>
  <c r="Q76" i="28" s="1"/>
  <c r="AB5" i="29"/>
  <c r="P76" i="28" s="1"/>
  <c r="AA5" i="29"/>
  <c r="O76" i="28" s="1"/>
  <c r="Z5" i="29"/>
  <c r="N76" i="28" s="1"/>
  <c r="Y5" i="29"/>
  <c r="Y15" i="29" s="1"/>
  <c r="X5" i="29"/>
  <c r="X45" i="29" s="1"/>
  <c r="W5" i="29"/>
  <c r="K76" i="28" s="1"/>
  <c r="V5" i="29"/>
  <c r="J76" i="28" s="1"/>
  <c r="U5" i="29"/>
  <c r="U45" i="29" s="1"/>
  <c r="T5" i="29"/>
  <c r="T45" i="29" s="1"/>
  <c r="S5" i="29"/>
  <c r="G76" i="28" s="1"/>
  <c r="R5" i="29"/>
  <c r="R45" i="29" s="1"/>
  <c r="Q5" i="29"/>
  <c r="Q45" i="29" s="1"/>
  <c r="O5" i="29"/>
  <c r="O15" i="29" s="1"/>
  <c r="L5" i="29"/>
  <c r="L15" i="29" s="1"/>
  <c r="K5" i="29"/>
  <c r="K15" i="29" s="1"/>
  <c r="J5" i="29"/>
  <c r="J15" i="29" s="1"/>
  <c r="I5" i="29"/>
  <c r="I15" i="29" s="1"/>
  <c r="H5" i="29"/>
  <c r="H15" i="29" s="1"/>
  <c r="G5" i="29"/>
  <c r="G15" i="29" s="1"/>
  <c r="F5" i="29"/>
  <c r="S45" i="29" l="1"/>
  <c r="AQ45" i="29"/>
  <c r="AQ54" i="29" s="1"/>
  <c r="BP45" i="29"/>
  <c r="BP54" i="29" s="1"/>
  <c r="T51" i="29"/>
  <c r="BA51" i="29"/>
  <c r="F76" i="28"/>
  <c r="R76" i="28"/>
  <c r="AD76" i="28"/>
  <c r="AQ76" i="28"/>
  <c r="BC76" i="28"/>
  <c r="I84" i="28"/>
  <c r="U84" i="28"/>
  <c r="AG84" i="28"/>
  <c r="AS84" i="28"/>
  <c r="T15" i="29"/>
  <c r="BN15" i="29"/>
  <c r="Z45" i="29"/>
  <c r="Z54" i="29" s="1"/>
  <c r="AR45" i="29"/>
  <c r="AR54" i="29" s="1"/>
  <c r="E50" i="29"/>
  <c r="S76" i="28"/>
  <c r="AR76" i="28"/>
  <c r="J84" i="28"/>
  <c r="AH84" i="28"/>
  <c r="AT84" i="28"/>
  <c r="AA45" i="29"/>
  <c r="AZ45" i="29"/>
  <c r="H76" i="28"/>
  <c r="K84" i="28"/>
  <c r="AI84" i="28"/>
  <c r="AB45" i="29"/>
  <c r="BA45" i="29"/>
  <c r="BA54" i="29" s="1"/>
  <c r="AD54" i="29"/>
  <c r="AO51" i="29"/>
  <c r="E76" i="28"/>
  <c r="I76" i="28"/>
  <c r="U76" i="28"/>
  <c r="AT76" i="28"/>
  <c r="X84" i="28"/>
  <c r="AJ84" i="28"/>
  <c r="AP15" i="29"/>
  <c r="AG15" i="29"/>
  <c r="Z20" i="29"/>
  <c r="AC45" i="29"/>
  <c r="BB45" i="29"/>
  <c r="BB54" i="29" s="1"/>
  <c r="AE54" i="29"/>
  <c r="BO54" i="29"/>
  <c r="AP51" i="29"/>
  <c r="V76" i="28"/>
  <c r="AH76" i="28"/>
  <c r="M84" i="28"/>
  <c r="AD15" i="29"/>
  <c r="AQ15" i="29"/>
  <c r="AK15" i="29"/>
  <c r="BC45" i="29"/>
  <c r="AF54" i="29"/>
  <c r="BD54" i="29"/>
  <c r="AQ51" i="29"/>
  <c r="W76" i="28"/>
  <c r="R78" i="28"/>
  <c r="N84" i="28"/>
  <c r="Z84" i="28"/>
  <c r="AG54" i="29"/>
  <c r="AR51" i="29"/>
  <c r="L76" i="28"/>
  <c r="X76" i="28"/>
  <c r="AW76" i="28"/>
  <c r="S78" i="28"/>
  <c r="AA84" i="28"/>
  <c r="BI45" i="29"/>
  <c r="BF54" i="29"/>
  <c r="M76" i="28"/>
  <c r="Y76" i="28"/>
  <c r="AN84" i="28"/>
  <c r="AM45" i="29"/>
  <c r="AM54" i="29" s="1"/>
  <c r="AM76" i="28"/>
  <c r="AY76" i="28"/>
  <c r="AC80" i="28"/>
  <c r="AO84" i="28"/>
  <c r="AN45" i="29"/>
  <c r="AN54" i="29" s="1"/>
  <c r="BM45" i="29"/>
  <c r="AD80" i="28"/>
  <c r="R84" i="28"/>
  <c r="BB84" i="28"/>
  <c r="BF15" i="29"/>
  <c r="AO45" i="29"/>
  <c r="AO54" i="29" s="1"/>
  <c r="BN45" i="29"/>
  <c r="BN54" i="29" s="1"/>
  <c r="AE80" i="28"/>
  <c r="S84" i="28"/>
  <c r="AF80" i="28"/>
  <c r="O54" i="29"/>
  <c r="O37" i="29"/>
  <c r="H54" i="29"/>
  <c r="I37" i="29"/>
  <c r="P29" i="29"/>
  <c r="G54" i="29"/>
  <c r="G37" i="29"/>
  <c r="J54" i="29"/>
  <c r="AK20" i="29"/>
  <c r="AI20" i="29"/>
  <c r="E47" i="29"/>
  <c r="Q54" i="29"/>
  <c r="H37" i="29"/>
  <c r="P28" i="29"/>
  <c r="I54" i="29"/>
  <c r="P46" i="29"/>
  <c r="BC54" i="29"/>
  <c r="Q51" i="29"/>
  <c r="E13" i="29"/>
  <c r="Q15" i="29"/>
  <c r="BB15" i="29"/>
  <c r="BB51" i="29"/>
  <c r="J37" i="29"/>
  <c r="V45" i="29"/>
  <c r="V54" i="29" s="1"/>
  <c r="V15" i="29"/>
  <c r="AI54" i="29"/>
  <c r="AU45" i="29"/>
  <c r="AU54" i="29" s="1"/>
  <c r="AU15" i="29"/>
  <c r="BG45" i="29"/>
  <c r="BG54" i="29" s="1"/>
  <c r="BG15" i="29"/>
  <c r="R51" i="29"/>
  <c r="R15" i="29"/>
  <c r="BD15" i="29"/>
  <c r="BD51" i="29"/>
  <c r="K37" i="29"/>
  <c r="BI54" i="29"/>
  <c r="W45" i="29"/>
  <c r="W54" i="29" s="1"/>
  <c r="W15" i="29"/>
  <c r="AJ54" i="29"/>
  <c r="AV45" i="29"/>
  <c r="AV54" i="29" s="1"/>
  <c r="AV15" i="29"/>
  <c r="BH45" i="29"/>
  <c r="BH54" i="29" s="1"/>
  <c r="BH15" i="29"/>
  <c r="L37" i="29"/>
  <c r="AK54" i="29"/>
  <c r="AW15" i="29"/>
  <c r="AW45" i="29"/>
  <c r="AW54" i="29" s="1"/>
  <c r="AL45" i="29"/>
  <c r="AL54" i="29" s="1"/>
  <c r="AL15" i="29"/>
  <c r="AX15" i="29"/>
  <c r="AX45" i="29"/>
  <c r="AX54" i="29" s="1"/>
  <c r="BJ15" i="29"/>
  <c r="BJ45" i="29"/>
  <c r="BJ54" i="29" s="1"/>
  <c r="R54" i="29"/>
  <c r="AM15" i="29"/>
  <c r="AI15" i="29"/>
  <c r="S54" i="29"/>
  <c r="AP54" i="29"/>
  <c r="AJ15" i="29"/>
  <c r="Y45" i="29"/>
  <c r="Y54" i="29" s="1"/>
  <c r="Z15" i="29"/>
  <c r="BK45" i="29"/>
  <c r="BK54" i="29" s="1"/>
  <c r="BH20" i="29"/>
  <c r="BP20" i="29"/>
  <c r="BO20" i="29"/>
  <c r="BM54" i="29"/>
  <c r="E5" i="29"/>
  <c r="E9" i="29"/>
  <c r="AT15" i="29"/>
  <c r="BJ20" i="29"/>
  <c r="E37" i="29"/>
  <c r="K54" i="29"/>
  <c r="E46" i="29"/>
  <c r="E7" i="29"/>
  <c r="P15" i="29"/>
  <c r="L54" i="29"/>
  <c r="AZ54" i="29"/>
  <c r="T54" i="29"/>
  <c r="AS15" i="29"/>
  <c r="AS45" i="29"/>
  <c r="AS54" i="29" s="1"/>
  <c r="BE15" i="29"/>
  <c r="BE45" i="29"/>
  <c r="BE54" i="29" s="1"/>
  <c r="P45" i="29"/>
  <c r="P5" i="29"/>
  <c r="U54" i="29"/>
  <c r="P6" i="29"/>
  <c r="E49" i="29"/>
  <c r="E51" i="29" l="1"/>
  <c r="P37" i="29"/>
  <c r="P54" i="29"/>
  <c r="E45" i="29"/>
  <c r="E54" i="29" s="1"/>
  <c r="E15" i="29"/>
  <c r="K12" i="9" l="1"/>
  <c r="J12" i="9"/>
  <c r="I12" i="9"/>
  <c r="H12" i="9"/>
  <c r="G12" i="9"/>
  <c r="F12" i="9"/>
  <c r="E12" i="9"/>
  <c r="D12" i="9"/>
  <c r="C12" i="9"/>
  <c r="K8" i="8"/>
  <c r="J8" i="8"/>
  <c r="I8" i="8"/>
  <c r="H8" i="8"/>
  <c r="G8" i="8"/>
  <c r="F8" i="8"/>
  <c r="E8" i="8"/>
  <c r="D8" i="8"/>
  <c r="C8" i="8"/>
  <c r="J23" i="16"/>
  <c r="J22" i="16"/>
  <c r="J21" i="16"/>
  <c r="J20" i="16"/>
  <c r="J19" i="16"/>
  <c r="J18" i="16"/>
  <c r="J17" i="16"/>
  <c r="J16" i="16"/>
  <c r="H15" i="16"/>
  <c r="J15" i="16" s="1"/>
  <c r="G14" i="16"/>
  <c r="J14" i="16" s="1"/>
  <c r="J13" i="16"/>
  <c r="G13" i="16"/>
  <c r="G12" i="16"/>
  <c r="J12" i="16" s="1"/>
  <c r="J11" i="16"/>
  <c r="H11" i="16"/>
  <c r="G11" i="16"/>
  <c r="H10" i="16"/>
  <c r="G10" i="16"/>
  <c r="J10" i="16" s="1"/>
  <c r="H9" i="16"/>
  <c r="G9" i="16"/>
  <c r="J8" i="16"/>
  <c r="H8" i="16"/>
  <c r="G8" i="16"/>
  <c r="H7" i="16"/>
  <c r="G7" i="16"/>
  <c r="J7" i="16" s="1"/>
  <c r="H6" i="16"/>
  <c r="G6" i="16"/>
  <c r="J6" i="16" s="1"/>
  <c r="H5" i="16"/>
  <c r="G5" i="16"/>
  <c r="H4" i="16"/>
  <c r="J4" i="16" s="1"/>
  <c r="J3" i="16"/>
  <c r="H3" i="16"/>
  <c r="I1" i="16"/>
  <c r="T108" i="15"/>
  <c r="T107" i="15"/>
  <c r="T106" i="15"/>
  <c r="T105" i="15"/>
  <c r="T104" i="15"/>
  <c r="T103" i="15"/>
  <c r="C101" i="15"/>
  <c r="H98" i="15"/>
  <c r="I97" i="15"/>
  <c r="H97" i="15"/>
  <c r="I96" i="15"/>
  <c r="H96" i="15"/>
  <c r="C96" i="15"/>
  <c r="H94" i="15"/>
  <c r="T94" i="15" s="1"/>
  <c r="H93" i="15"/>
  <c r="T93" i="15" s="1"/>
  <c r="H92" i="15"/>
  <c r="T92" i="15" s="1"/>
  <c r="D92" i="15"/>
  <c r="D93" i="15" s="1"/>
  <c r="V91" i="15"/>
  <c r="H91" i="15"/>
  <c r="T91" i="15" s="1"/>
  <c r="E91" i="15"/>
  <c r="T89" i="15"/>
  <c r="H89" i="15"/>
  <c r="H88" i="15"/>
  <c r="T88" i="15" s="1"/>
  <c r="H87" i="15"/>
  <c r="T87" i="15" s="1"/>
  <c r="D87" i="15"/>
  <c r="D88" i="15" s="1"/>
  <c r="H86" i="15"/>
  <c r="T86" i="15" s="1"/>
  <c r="E86" i="15"/>
  <c r="V86" i="15" s="1"/>
  <c r="T83" i="15"/>
  <c r="H83" i="15"/>
  <c r="V82" i="15"/>
  <c r="H82" i="15"/>
  <c r="T82" i="15" s="1"/>
  <c r="T81" i="15"/>
  <c r="H81" i="15"/>
  <c r="D81" i="15"/>
  <c r="D82" i="15" s="1"/>
  <c r="H80" i="15"/>
  <c r="T80" i="15" s="1"/>
  <c r="E80" i="15"/>
  <c r="V80" i="15" s="1"/>
  <c r="T78" i="15"/>
  <c r="H78" i="15"/>
  <c r="H77" i="15"/>
  <c r="T77" i="15" s="1"/>
  <c r="H76" i="15"/>
  <c r="T76" i="15" s="1"/>
  <c r="H75" i="15"/>
  <c r="T75" i="15" s="1"/>
  <c r="E75" i="15"/>
  <c r="V75" i="15" s="1"/>
  <c r="T73" i="15"/>
  <c r="T72" i="15"/>
  <c r="T71" i="15"/>
  <c r="D71" i="15"/>
  <c r="D72" i="15" s="1"/>
  <c r="T70" i="15"/>
  <c r="E70" i="15"/>
  <c r="V70" i="15" s="1"/>
  <c r="I68" i="15"/>
  <c r="T68" i="15" s="1"/>
  <c r="H68" i="15"/>
  <c r="I67" i="15"/>
  <c r="H67" i="15"/>
  <c r="T67" i="15" s="1"/>
  <c r="T66" i="15"/>
  <c r="I66" i="15"/>
  <c r="H66" i="15"/>
  <c r="I65" i="15"/>
  <c r="H65" i="15"/>
  <c r="T65" i="15" s="1"/>
  <c r="I64" i="15"/>
  <c r="H64" i="15"/>
  <c r="V63" i="15"/>
  <c r="I63" i="15"/>
  <c r="T63" i="15" s="1"/>
  <c r="H63" i="15"/>
  <c r="V62" i="15"/>
  <c r="I62" i="15"/>
  <c r="T62" i="15" s="1"/>
  <c r="H62" i="15"/>
  <c r="D62" i="15"/>
  <c r="D63" i="15" s="1"/>
  <c r="I61" i="15"/>
  <c r="H61" i="15"/>
  <c r="T61" i="15" s="1"/>
  <c r="E61" i="15"/>
  <c r="V61" i="15" s="1"/>
  <c r="H59" i="15"/>
  <c r="T59" i="15" s="1"/>
  <c r="H58" i="15"/>
  <c r="T58" i="15" s="1"/>
  <c r="H57" i="15"/>
  <c r="T57" i="15" s="1"/>
  <c r="H56" i="15"/>
  <c r="T56" i="15" s="1"/>
  <c r="H55" i="15"/>
  <c r="T55" i="15" s="1"/>
  <c r="H54" i="15"/>
  <c r="T54" i="15" s="1"/>
  <c r="H53" i="15"/>
  <c r="T53" i="15" s="1"/>
  <c r="D53" i="15"/>
  <c r="D54" i="15" s="1"/>
  <c r="H52" i="15"/>
  <c r="T52" i="15" s="1"/>
  <c r="E52" i="15"/>
  <c r="H50" i="15"/>
  <c r="T50" i="15" s="1"/>
  <c r="T49" i="15"/>
  <c r="H49" i="15"/>
  <c r="H48" i="15"/>
  <c r="T48" i="15" s="1"/>
  <c r="H47" i="15"/>
  <c r="T47" i="15" s="1"/>
  <c r="H46" i="15"/>
  <c r="T46" i="15" s="1"/>
  <c r="H45" i="15"/>
  <c r="T45" i="15" s="1"/>
  <c r="H44" i="15"/>
  <c r="T44" i="15" s="1"/>
  <c r="D44" i="15"/>
  <c r="D45" i="15" s="1"/>
  <c r="T43" i="15"/>
  <c r="H43" i="15"/>
  <c r="E43" i="15"/>
  <c r="T41" i="15"/>
  <c r="T40" i="15"/>
  <c r="T39" i="15"/>
  <c r="T38" i="15"/>
  <c r="D38" i="15"/>
  <c r="H36" i="15"/>
  <c r="T36" i="15" s="1"/>
  <c r="H35" i="15"/>
  <c r="T35" i="15" s="1"/>
  <c r="D35" i="15"/>
  <c r="D36" i="15" s="1"/>
  <c r="H34" i="15"/>
  <c r="T34" i="15" s="1"/>
  <c r="E34" i="15"/>
  <c r="T32" i="15"/>
  <c r="T31" i="15"/>
  <c r="T30" i="15"/>
  <c r="D30" i="15"/>
  <c r="E30" i="15" s="1"/>
  <c r="T28" i="15"/>
  <c r="T27" i="15"/>
  <c r="T26" i="15"/>
  <c r="E26" i="15"/>
  <c r="T24" i="15"/>
  <c r="T23" i="15"/>
  <c r="T22" i="15"/>
  <c r="T21" i="15"/>
  <c r="T20" i="15"/>
  <c r="E20" i="15"/>
  <c r="D20" i="15"/>
  <c r="C20" i="15"/>
  <c r="D17" i="15"/>
  <c r="D18" i="15" s="1"/>
  <c r="T16" i="15"/>
  <c r="E16" i="15"/>
  <c r="H13" i="15"/>
  <c r="T13" i="15" s="1"/>
  <c r="H12" i="15"/>
  <c r="D12" i="15"/>
  <c r="D13" i="15" s="1"/>
  <c r="D14" i="15" s="1"/>
  <c r="D9" i="15"/>
  <c r="T8" i="15"/>
  <c r="E8" i="15"/>
  <c r="T5" i="15"/>
  <c r="E5" i="15"/>
  <c r="T2" i="15"/>
  <c r="E2" i="15"/>
  <c r="E106" i="14"/>
  <c r="CA105" i="14"/>
  <c r="E103" i="14"/>
  <c r="I102" i="14"/>
  <c r="G102" i="14"/>
  <c r="D102" i="14"/>
  <c r="C102" i="14"/>
  <c r="BU99" i="14"/>
  <c r="BW87" i="14" s="1"/>
  <c r="BN99" i="14"/>
  <c r="BK87" i="14" s="1"/>
  <c r="BJ99" i="14"/>
  <c r="AY87" i="14" s="1"/>
  <c r="AJ99" i="14"/>
  <c r="AK99" i="14" s="1"/>
  <c r="AB99" i="14"/>
  <c r="Y99" i="14"/>
  <c r="X99" i="14"/>
  <c r="R87" i="14" s="1"/>
  <c r="R91" i="14" s="1"/>
  <c r="O99" i="14"/>
  <c r="E99" i="14"/>
  <c r="BV98" i="14"/>
  <c r="BO98" i="14"/>
  <c r="AW98" i="14"/>
  <c r="AK98" i="14"/>
  <c r="AC98" i="14"/>
  <c r="Y98" i="14"/>
  <c r="O98" i="14"/>
  <c r="F98" i="14"/>
  <c r="BU96" i="14"/>
  <c r="BN96" i="14"/>
  <c r="BI96" i="14"/>
  <c r="AJ96" i="14"/>
  <c r="AB96" i="14"/>
  <c r="X96" i="14"/>
  <c r="N96" i="14"/>
  <c r="E96" i="14"/>
  <c r="BO94" i="14"/>
  <c r="AG94" i="14"/>
  <c r="F94" i="14"/>
  <c r="CA93" i="14"/>
  <c r="BN94" i="14" s="1"/>
  <c r="BU91" i="14"/>
  <c r="BR91" i="14"/>
  <c r="AW91" i="14"/>
  <c r="AV91" i="14"/>
  <c r="AU91" i="14"/>
  <c r="AT91" i="14"/>
  <c r="AS91" i="14"/>
  <c r="AR91" i="14"/>
  <c r="AQ91" i="14"/>
  <c r="AP91" i="14"/>
  <c r="AO91" i="14"/>
  <c r="AL91" i="14"/>
  <c r="AK91" i="14"/>
  <c r="AJ91" i="14"/>
  <c r="AI91" i="14"/>
  <c r="AF91" i="14"/>
  <c r="AE91" i="14"/>
  <c r="K91" i="14"/>
  <c r="G91" i="14"/>
  <c r="F91" i="14"/>
  <c r="CA89" i="14"/>
  <c r="BZ87" i="14"/>
  <c r="BX87" i="14"/>
  <c r="BX91" i="14" s="1"/>
  <c r="BU87" i="14"/>
  <c r="BQ87" i="14"/>
  <c r="BQ91" i="14" s="1"/>
  <c r="BO87" i="14"/>
  <c r="BO91" i="14" s="1"/>
  <c r="BN87" i="14"/>
  <c r="BM87" i="14"/>
  <c r="BM91" i="14" s="1"/>
  <c r="BJ87" i="14"/>
  <c r="BI87" i="14"/>
  <c r="BI91" i="14" s="1"/>
  <c r="BH87" i="14"/>
  <c r="BH91" i="14" s="1"/>
  <c r="BG87" i="14"/>
  <c r="BG91" i="14" s="1"/>
  <c r="BD87" i="14"/>
  <c r="BD91" i="14" s="1"/>
  <c r="BB87" i="14"/>
  <c r="BB91" i="14" s="1"/>
  <c r="AZ87" i="14"/>
  <c r="AZ91" i="14" s="1"/>
  <c r="AN87" i="14"/>
  <c r="AM87" i="14"/>
  <c r="AM91" i="14" s="1"/>
  <c r="AK87" i="14"/>
  <c r="AJ87" i="14"/>
  <c r="AI87" i="14"/>
  <c r="AH87" i="14"/>
  <c r="AH91" i="14" s="1"/>
  <c r="AG87" i="14"/>
  <c r="AG91" i="14" s="1"/>
  <c r="AF87" i="14"/>
  <c r="AE87" i="14"/>
  <c r="AC87" i="14"/>
  <c r="AC91" i="14" s="1"/>
  <c r="AB87" i="14"/>
  <c r="AB91" i="14" s="1"/>
  <c r="AA87" i="14"/>
  <c r="AA91" i="14" s="1"/>
  <c r="Y87" i="14"/>
  <c r="Y91" i="14" s="1"/>
  <c r="X87" i="14"/>
  <c r="X91" i="14" s="1"/>
  <c r="W87" i="14"/>
  <c r="W91" i="14" s="1"/>
  <c r="T87" i="14"/>
  <c r="T91" i="14" s="1"/>
  <c r="S87" i="14"/>
  <c r="S91" i="14" s="1"/>
  <c r="Q87" i="14"/>
  <c r="Q91" i="14" s="1"/>
  <c r="P87" i="14"/>
  <c r="P91" i="14" s="1"/>
  <c r="O87" i="14"/>
  <c r="O91" i="14" s="1"/>
  <c r="N87" i="14"/>
  <c r="N98" i="14" s="1"/>
  <c r="M87" i="14"/>
  <c r="M91" i="14" s="1"/>
  <c r="L87" i="14"/>
  <c r="L91" i="14" s="1"/>
  <c r="K87" i="14"/>
  <c r="J87" i="14"/>
  <c r="J91" i="14" s="1"/>
  <c r="I87" i="14"/>
  <c r="I91" i="14" s="1"/>
  <c r="H87" i="14"/>
  <c r="H91" i="14" s="1"/>
  <c r="G87" i="14"/>
  <c r="F87" i="14"/>
  <c r="E87" i="14"/>
  <c r="D87" i="14"/>
  <c r="D91" i="14" s="1"/>
  <c r="C87" i="14"/>
  <c r="Q80" i="14"/>
  <c r="P80" i="14"/>
  <c r="O80" i="14"/>
  <c r="N80" i="14"/>
  <c r="M80" i="14"/>
  <c r="K80" i="14"/>
  <c r="J80" i="14"/>
  <c r="I80" i="14"/>
  <c r="H80" i="14"/>
  <c r="G80" i="14"/>
  <c r="F80" i="14"/>
  <c r="E80" i="14"/>
  <c r="D80" i="14"/>
  <c r="C80" i="14"/>
  <c r="R79" i="14"/>
  <c r="S79" i="14" s="1"/>
  <c r="L79" i="14"/>
  <c r="T79" i="14" s="1"/>
  <c r="R78" i="14"/>
  <c r="L78" i="14"/>
  <c r="R77" i="14"/>
  <c r="S77" i="14" s="1"/>
  <c r="L77" i="14"/>
  <c r="T77" i="14" s="1"/>
  <c r="R76" i="14"/>
  <c r="L76" i="14"/>
  <c r="T76" i="14" s="1"/>
  <c r="R75" i="14"/>
  <c r="L75" i="14"/>
  <c r="T74" i="14"/>
  <c r="R74" i="14"/>
  <c r="S74" i="14" s="1"/>
  <c r="L74" i="14"/>
  <c r="R73" i="14"/>
  <c r="L73" i="14"/>
  <c r="T73" i="14" s="1"/>
  <c r="R72" i="14"/>
  <c r="L72" i="14"/>
  <c r="R71" i="14"/>
  <c r="S71" i="14" s="1"/>
  <c r="L71" i="14"/>
  <c r="T71" i="14" s="1"/>
  <c r="R70" i="14"/>
  <c r="S70" i="14" s="1"/>
  <c r="L70" i="14"/>
  <c r="T70" i="14" s="1"/>
  <c r="R69" i="14"/>
  <c r="L69" i="14"/>
  <c r="R68" i="14"/>
  <c r="S68" i="14" s="1"/>
  <c r="L68" i="14"/>
  <c r="T68" i="14" s="1"/>
  <c r="R67" i="14"/>
  <c r="L67" i="14"/>
  <c r="T67" i="14" s="1"/>
  <c r="R66" i="14"/>
  <c r="L66" i="14"/>
  <c r="T65" i="14"/>
  <c r="S65" i="14"/>
  <c r="R65" i="14"/>
  <c r="L65" i="14"/>
  <c r="R64" i="14"/>
  <c r="S64" i="14" s="1"/>
  <c r="L64" i="14"/>
  <c r="T64" i="14" s="1"/>
  <c r="R63" i="14"/>
  <c r="L63" i="14"/>
  <c r="T62" i="14"/>
  <c r="R62" i="14"/>
  <c r="S62" i="14" s="1"/>
  <c r="L62" i="14"/>
  <c r="T61" i="14"/>
  <c r="S61" i="14"/>
  <c r="R61" i="14"/>
  <c r="L61" i="14"/>
  <c r="R60" i="14"/>
  <c r="L60" i="14"/>
  <c r="R59" i="14"/>
  <c r="L59" i="14"/>
  <c r="T59" i="14" s="1"/>
  <c r="T58" i="14"/>
  <c r="R58" i="14"/>
  <c r="L58" i="14"/>
  <c r="S58" i="14" s="1"/>
  <c r="R57" i="14"/>
  <c r="L57" i="14"/>
  <c r="R56" i="14"/>
  <c r="L56" i="14"/>
  <c r="T56" i="14" s="1"/>
  <c r="R55" i="14"/>
  <c r="L55" i="14"/>
  <c r="T55" i="14" s="1"/>
  <c r="R54" i="14"/>
  <c r="L54" i="14"/>
  <c r="R53" i="14"/>
  <c r="S53" i="14" s="1"/>
  <c r="L53" i="14"/>
  <c r="T53" i="14" s="1"/>
  <c r="T52" i="14"/>
  <c r="R52" i="14"/>
  <c r="L52" i="14"/>
  <c r="R51" i="14"/>
  <c r="L51" i="14"/>
  <c r="R50" i="14"/>
  <c r="L50" i="14"/>
  <c r="T50" i="14" s="1"/>
  <c r="R49" i="14"/>
  <c r="S49" i="14" s="1"/>
  <c r="L49" i="14"/>
  <c r="T49" i="14" s="1"/>
  <c r="R48" i="14"/>
  <c r="L48" i="14"/>
  <c r="R47" i="14"/>
  <c r="S47" i="14" s="1"/>
  <c r="L47" i="14"/>
  <c r="T47" i="14" s="1"/>
  <c r="R46" i="14"/>
  <c r="L46" i="14"/>
  <c r="T46" i="14" s="1"/>
  <c r="R45" i="14"/>
  <c r="L45" i="14"/>
  <c r="T44" i="14"/>
  <c r="R44" i="14"/>
  <c r="S44" i="14" s="1"/>
  <c r="L44" i="14"/>
  <c r="R43" i="14"/>
  <c r="L43" i="14"/>
  <c r="T43" i="14" s="1"/>
  <c r="R42" i="14"/>
  <c r="L42" i="14"/>
  <c r="R41" i="14"/>
  <c r="S41" i="14" s="1"/>
  <c r="L41" i="14"/>
  <c r="T41" i="14" s="1"/>
  <c r="S40" i="14"/>
  <c r="R40" i="14"/>
  <c r="L40" i="14"/>
  <c r="T40" i="14" s="1"/>
  <c r="R39" i="14"/>
  <c r="L39" i="14"/>
  <c r="T38" i="14"/>
  <c r="R38" i="14"/>
  <c r="L38" i="14"/>
  <c r="S38" i="14" s="1"/>
  <c r="T37" i="14"/>
  <c r="R37" i="14"/>
  <c r="S37" i="14" s="1"/>
  <c r="L37" i="14"/>
  <c r="R36" i="14"/>
  <c r="L36" i="14"/>
  <c r="T35" i="14"/>
  <c r="R35" i="14"/>
  <c r="L35" i="14"/>
  <c r="T34" i="14"/>
  <c r="R34" i="14"/>
  <c r="L34" i="14"/>
  <c r="S34" i="14" s="1"/>
  <c r="R33" i="14"/>
  <c r="L33" i="14"/>
  <c r="S32" i="14"/>
  <c r="R32" i="14"/>
  <c r="L32" i="14"/>
  <c r="T32" i="14" s="1"/>
  <c r="R31" i="14"/>
  <c r="L31" i="14"/>
  <c r="T31" i="14" s="1"/>
  <c r="R30" i="14"/>
  <c r="L30" i="14"/>
  <c r="R29" i="14"/>
  <c r="S29" i="14" s="1"/>
  <c r="L29" i="14"/>
  <c r="T29" i="14" s="1"/>
  <c r="R28" i="14"/>
  <c r="S28" i="14" s="1"/>
  <c r="L28" i="14"/>
  <c r="T28" i="14" s="1"/>
  <c r="R27" i="14"/>
  <c r="L27" i="14"/>
  <c r="R26" i="14"/>
  <c r="S26" i="14" s="1"/>
  <c r="L26" i="14"/>
  <c r="T26" i="14" s="1"/>
  <c r="R25" i="14"/>
  <c r="L25" i="14"/>
  <c r="T25" i="14" s="1"/>
  <c r="R24" i="14"/>
  <c r="L24" i="14"/>
  <c r="T23" i="14"/>
  <c r="R23" i="14"/>
  <c r="S23" i="14" s="1"/>
  <c r="L23" i="14"/>
  <c r="R22" i="14"/>
  <c r="L22" i="14"/>
  <c r="T22" i="14" s="1"/>
  <c r="R21" i="14"/>
  <c r="L21" i="14"/>
  <c r="R20" i="14"/>
  <c r="S20" i="14" s="1"/>
  <c r="L20" i="14"/>
  <c r="T20" i="14" s="1"/>
  <c r="R19" i="14"/>
  <c r="S19" i="14" s="1"/>
  <c r="L19" i="14"/>
  <c r="T19" i="14" s="1"/>
  <c r="R18" i="14"/>
  <c r="L18" i="14"/>
  <c r="R17" i="14"/>
  <c r="S17" i="14" s="1"/>
  <c r="L17" i="14"/>
  <c r="T17" i="14" s="1"/>
  <c r="R16" i="14"/>
  <c r="L16" i="14"/>
  <c r="T16" i="14" s="1"/>
  <c r="R15" i="14"/>
  <c r="L15" i="14"/>
  <c r="T14" i="14"/>
  <c r="R14" i="14"/>
  <c r="S14" i="14" s="1"/>
  <c r="L14" i="14"/>
  <c r="R13" i="14"/>
  <c r="L13" i="14"/>
  <c r="T13" i="14" s="1"/>
  <c r="R12" i="14"/>
  <c r="L12" i="14"/>
  <c r="R11" i="14"/>
  <c r="S11" i="14" s="1"/>
  <c r="L11" i="14"/>
  <c r="T11" i="14" s="1"/>
  <c r="R10" i="14"/>
  <c r="S10" i="14" s="1"/>
  <c r="L10" i="14"/>
  <c r="T10" i="14" s="1"/>
  <c r="R9" i="14"/>
  <c r="L9" i="14"/>
  <c r="R8" i="14"/>
  <c r="S8" i="14" s="1"/>
  <c r="L8" i="14"/>
  <c r="T8" i="14" s="1"/>
  <c r="R7" i="14"/>
  <c r="L7" i="14"/>
  <c r="T7" i="14" s="1"/>
  <c r="R6" i="14"/>
  <c r="L6" i="14"/>
  <c r="T5" i="14"/>
  <c r="S5" i="14"/>
  <c r="R5" i="14"/>
  <c r="L5" i="14"/>
  <c r="S4" i="14"/>
  <c r="R4" i="14"/>
  <c r="L4" i="14"/>
  <c r="T4" i="14" s="1"/>
  <c r="AX15" i="6"/>
  <c r="AF15" i="6"/>
  <c r="S15" i="6"/>
  <c r="N15" i="6"/>
  <c r="M15" i="6"/>
  <c r="P14" i="6"/>
  <c r="E14" i="6"/>
  <c r="BP13" i="6"/>
  <c r="BO13" i="6"/>
  <c r="BN13" i="6"/>
  <c r="BM13" i="6"/>
  <c r="BJ13" i="6"/>
  <c r="BD13" i="6"/>
  <c r="BB13" i="6"/>
  <c r="BA13" i="6"/>
  <c r="AT13" i="6"/>
  <c r="AS13" i="6"/>
  <c r="AR13" i="6"/>
  <c r="AQ13" i="6"/>
  <c r="AP13" i="6"/>
  <c r="AO13" i="6"/>
  <c r="AM13" i="6"/>
  <c r="AL13" i="6"/>
  <c r="AK13" i="6"/>
  <c r="AJ13" i="6"/>
  <c r="AI13" i="6"/>
  <c r="AD13" i="6"/>
  <c r="Z13" i="6"/>
  <c r="Y13" i="6"/>
  <c r="W13" i="6"/>
  <c r="V13" i="6"/>
  <c r="U13" i="6"/>
  <c r="T13" i="6"/>
  <c r="R13" i="6"/>
  <c r="Q13" i="6"/>
  <c r="P13" i="6"/>
  <c r="BP12" i="6"/>
  <c r="BO12" i="6"/>
  <c r="BN12" i="6"/>
  <c r="BM12" i="6"/>
  <c r="BJ12" i="6"/>
  <c r="BI12" i="6"/>
  <c r="BH12" i="6"/>
  <c r="BF12" i="6"/>
  <c r="BE12" i="6"/>
  <c r="BB12" i="6"/>
  <c r="AV12" i="6"/>
  <c r="AT12" i="6"/>
  <c r="AS12" i="6"/>
  <c r="AR12" i="6"/>
  <c r="AQ12" i="6"/>
  <c r="AP12" i="6"/>
  <c r="AO12" i="6"/>
  <c r="AM12" i="6"/>
  <c r="AL12" i="6"/>
  <c r="AK12" i="6"/>
  <c r="AJ12" i="6"/>
  <c r="AI12" i="6"/>
  <c r="AG12" i="6"/>
  <c r="AE12" i="6"/>
  <c r="AD12" i="6"/>
  <c r="Z12" i="6"/>
  <c r="Y12" i="6"/>
  <c r="W12" i="6"/>
  <c r="V12" i="6"/>
  <c r="U12" i="6"/>
  <c r="T12" i="6"/>
  <c r="R12" i="6"/>
  <c r="Q12" i="6"/>
  <c r="P12" i="6"/>
  <c r="BP11" i="6"/>
  <c r="BO11" i="6"/>
  <c r="BN11" i="6"/>
  <c r="BM11" i="6"/>
  <c r="BJ11" i="6"/>
  <c r="BI11" i="6"/>
  <c r="BH11" i="6"/>
  <c r="BF11" i="6"/>
  <c r="BE11" i="6"/>
  <c r="BD11" i="6"/>
  <c r="BA11" i="6"/>
  <c r="AT11" i="6"/>
  <c r="AS11" i="6"/>
  <c r="AR11" i="6"/>
  <c r="AQ11" i="6"/>
  <c r="AP11" i="6"/>
  <c r="AO11" i="6"/>
  <c r="AM11" i="6"/>
  <c r="AL11" i="6"/>
  <c r="AK11" i="6"/>
  <c r="AJ11" i="6"/>
  <c r="AI11" i="6"/>
  <c r="AG11" i="6"/>
  <c r="AE11" i="6"/>
  <c r="AD11" i="6"/>
  <c r="Z11" i="6"/>
  <c r="Y11" i="6"/>
  <c r="W11" i="6"/>
  <c r="V11" i="6"/>
  <c r="U11" i="6"/>
  <c r="T11" i="6"/>
  <c r="R11" i="6"/>
  <c r="Q11" i="6"/>
  <c r="P11" i="6"/>
  <c r="BP10" i="6"/>
  <c r="BO10" i="6"/>
  <c r="BM10" i="6"/>
  <c r="BJ10" i="6"/>
  <c r="BI10" i="6"/>
  <c r="BH10" i="6"/>
  <c r="BF10" i="6"/>
  <c r="BE10" i="6"/>
  <c r="BD10" i="6"/>
  <c r="BA10" i="6"/>
  <c r="AT10" i="6"/>
  <c r="AS10" i="6"/>
  <c r="AR10" i="6"/>
  <c r="AQ10" i="6"/>
  <c r="AP10" i="6"/>
  <c r="AO10" i="6"/>
  <c r="AK10" i="6"/>
  <c r="AJ10" i="6"/>
  <c r="AI10" i="6"/>
  <c r="AG10" i="6"/>
  <c r="AE10" i="6"/>
  <c r="AD10" i="6"/>
  <c r="Z10" i="6"/>
  <c r="Y10" i="6"/>
  <c r="W10" i="6"/>
  <c r="U10" i="6"/>
  <c r="T10" i="6"/>
  <c r="R10" i="6"/>
  <c r="P10" i="6"/>
  <c r="BP9" i="6"/>
  <c r="BO9" i="6"/>
  <c r="BM9" i="6"/>
  <c r="BJ9" i="6"/>
  <c r="BI9" i="6"/>
  <c r="BH9" i="6"/>
  <c r="BF9" i="6"/>
  <c r="BE9" i="6"/>
  <c r="BD9" i="6"/>
  <c r="BA9" i="6"/>
  <c r="AT9" i="6"/>
  <c r="AS9" i="6"/>
  <c r="AR9" i="6"/>
  <c r="AQ9" i="6"/>
  <c r="AP9" i="6"/>
  <c r="AO9" i="6"/>
  <c r="AK9" i="6"/>
  <c r="AJ9" i="6"/>
  <c r="AI9" i="6"/>
  <c r="AG9" i="6"/>
  <c r="AE9" i="6"/>
  <c r="AD9" i="6"/>
  <c r="Z9" i="6"/>
  <c r="Y9" i="6"/>
  <c r="W9" i="6"/>
  <c r="P9" i="6"/>
  <c r="BP8" i="6"/>
  <c r="BO8" i="6"/>
  <c r="BN8" i="6"/>
  <c r="BM8" i="6"/>
  <c r="BJ8" i="6"/>
  <c r="BI8" i="6"/>
  <c r="BH8" i="6"/>
  <c r="BF8" i="6"/>
  <c r="BE8" i="6"/>
  <c r="BD8" i="6"/>
  <c r="BA8" i="6"/>
  <c r="AU8" i="6"/>
  <c r="AR8" i="6"/>
  <c r="AQ8" i="6"/>
  <c r="AP8" i="6"/>
  <c r="AO8" i="6"/>
  <c r="AM8" i="6"/>
  <c r="AL8" i="6"/>
  <c r="AK8" i="6"/>
  <c r="AJ8" i="6"/>
  <c r="AI8" i="6"/>
  <c r="AG8" i="6"/>
  <c r="AE8" i="6"/>
  <c r="AD8" i="6"/>
  <c r="Z8" i="6"/>
  <c r="Y8" i="6"/>
  <c r="W8" i="6"/>
  <c r="V8" i="6"/>
  <c r="U8" i="6"/>
  <c r="T8" i="6"/>
  <c r="R8" i="6"/>
  <c r="Q8" i="6"/>
  <c r="P8" i="6"/>
  <c r="BP7" i="6"/>
  <c r="BO7" i="6"/>
  <c r="BN7" i="6"/>
  <c r="BM7" i="6"/>
  <c r="BJ7" i="6"/>
  <c r="BI7" i="6"/>
  <c r="BH7" i="6"/>
  <c r="BF7" i="6"/>
  <c r="BE7" i="6"/>
  <c r="BD7" i="6"/>
  <c r="BB7" i="6"/>
  <c r="BA7" i="6"/>
  <c r="AV7" i="6"/>
  <c r="AU7" i="6"/>
  <c r="AT7" i="6"/>
  <c r="AS7" i="6"/>
  <c r="AR7" i="6"/>
  <c r="AQ7" i="6"/>
  <c r="AP7" i="6"/>
  <c r="AO7" i="6"/>
  <c r="AM7" i="6"/>
  <c r="AL7" i="6"/>
  <c r="AK7" i="6"/>
  <c r="AJ7" i="6"/>
  <c r="AI7" i="6"/>
  <c r="AG7" i="6"/>
  <c r="AE7" i="6"/>
  <c r="AD7" i="6"/>
  <c r="Z7" i="6"/>
  <c r="Y7" i="6"/>
  <c r="W7" i="6"/>
  <c r="V7" i="6"/>
  <c r="U7" i="6"/>
  <c r="T7" i="6"/>
  <c r="R7" i="6"/>
  <c r="Q7" i="6"/>
  <c r="P7" i="6"/>
  <c r="BP6" i="6"/>
  <c r="BO6" i="6"/>
  <c r="BN6" i="6"/>
  <c r="BM6" i="6"/>
  <c r="BJ6" i="6"/>
  <c r="BI6" i="6"/>
  <c r="BH6" i="6"/>
  <c r="BF6" i="6"/>
  <c r="BE6" i="6"/>
  <c r="BD6" i="6"/>
  <c r="BB6" i="6"/>
  <c r="BA6" i="6"/>
  <c r="AV6" i="6"/>
  <c r="AU6" i="6"/>
  <c r="AT6" i="6"/>
  <c r="AS6" i="6"/>
  <c r="AR6" i="6"/>
  <c r="AQ6" i="6"/>
  <c r="AP6" i="6"/>
  <c r="AO6" i="6"/>
  <c r="AM6" i="6"/>
  <c r="AL6" i="6"/>
  <c r="AK6" i="6"/>
  <c r="AJ6" i="6"/>
  <c r="AI6" i="6"/>
  <c r="AG6" i="6"/>
  <c r="AE6" i="6"/>
  <c r="AD6" i="6"/>
  <c r="Z6" i="6"/>
  <c r="Y6" i="6"/>
  <c r="W6" i="6"/>
  <c r="V6" i="6"/>
  <c r="U6" i="6"/>
  <c r="T6" i="6"/>
  <c r="R6" i="6"/>
  <c r="Q6" i="6"/>
  <c r="O6" i="6"/>
  <c r="L6" i="6"/>
  <c r="K6" i="6"/>
  <c r="J6" i="6"/>
  <c r="I6" i="6"/>
  <c r="H6" i="6"/>
  <c r="G6" i="6"/>
  <c r="F6" i="6"/>
  <c r="F15" i="6" s="1"/>
  <c r="BP5" i="6"/>
  <c r="BO5" i="6"/>
  <c r="BN5" i="6"/>
  <c r="BM5" i="6"/>
  <c r="BL5" i="6"/>
  <c r="BL15" i="6" s="1"/>
  <c r="BK5" i="6"/>
  <c r="BK15" i="6" s="1"/>
  <c r="BJ5" i="6"/>
  <c r="BI5" i="6"/>
  <c r="BH5" i="6"/>
  <c r="BG5" i="6"/>
  <c r="BG15" i="6" s="1"/>
  <c r="BF5" i="6"/>
  <c r="BE5" i="6"/>
  <c r="BD5" i="6"/>
  <c r="BC5" i="6"/>
  <c r="BC15" i="6" s="1"/>
  <c r="BB5" i="6"/>
  <c r="BA5" i="6"/>
  <c r="AZ5" i="6"/>
  <c r="AZ15" i="6" s="1"/>
  <c r="AY5" i="6"/>
  <c r="AY15" i="6" s="1"/>
  <c r="AX5" i="6"/>
  <c r="AW5" i="6"/>
  <c r="AW15" i="6" s="1"/>
  <c r="AV5" i="6"/>
  <c r="AU5" i="6"/>
  <c r="AT5" i="6"/>
  <c r="AS5" i="6"/>
  <c r="AR5" i="6"/>
  <c r="AQ5" i="6"/>
  <c r="AP5" i="6"/>
  <c r="AO5" i="6"/>
  <c r="AN5" i="6"/>
  <c r="AN15" i="6" s="1"/>
  <c r="AM5" i="6"/>
  <c r="AL5" i="6"/>
  <c r="AK5" i="6"/>
  <c r="AJ5" i="6"/>
  <c r="AI5" i="6"/>
  <c r="AH5" i="6"/>
  <c r="AG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O5" i="6"/>
  <c r="L5" i="6"/>
  <c r="K5" i="6"/>
  <c r="J5" i="6"/>
  <c r="I5" i="6"/>
  <c r="H5" i="6"/>
  <c r="G5" i="6"/>
  <c r="F5" i="6"/>
  <c r="BB57" i="13"/>
  <c r="BA57" i="13"/>
  <c r="AZ57" i="13"/>
  <c r="AY57" i="13"/>
  <c r="AX57" i="13"/>
  <c r="AW57" i="13"/>
  <c r="AV57" i="13"/>
  <c r="AU57" i="13"/>
  <c r="AT57" i="13"/>
  <c r="AS57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C56" i="13"/>
  <c r="BC55" i="13"/>
  <c r="BC54" i="13"/>
  <c r="BC52" i="13"/>
  <c r="BC51" i="13"/>
  <c r="BC50" i="13"/>
  <c r="BB49" i="13"/>
  <c r="BA49" i="13"/>
  <c r="AZ49" i="13"/>
  <c r="AY49" i="13"/>
  <c r="AX49" i="13"/>
  <c r="AW49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C47" i="13"/>
  <c r="BC46" i="13"/>
  <c r="BC45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33" i="13"/>
  <c r="AH33" i="13"/>
  <c r="V33" i="13"/>
  <c r="Q33" i="13"/>
  <c r="N33" i="13"/>
  <c r="BC32" i="13"/>
  <c r="BB31" i="13"/>
  <c r="BB33" i="13" s="1"/>
  <c r="BA31" i="13"/>
  <c r="BA33" i="13" s="1"/>
  <c r="AZ31" i="13"/>
  <c r="AZ33" i="13" s="1"/>
  <c r="AY31" i="13"/>
  <c r="AY33" i="13" s="1"/>
  <c r="AX31" i="13"/>
  <c r="AX33" i="13" s="1"/>
  <c r="AW31" i="13"/>
  <c r="AW33" i="13" s="1"/>
  <c r="AV31" i="13"/>
  <c r="AV33" i="13" s="1"/>
  <c r="AU31" i="13"/>
  <c r="AU33" i="13" s="1"/>
  <c r="AT31" i="13"/>
  <c r="AT33" i="13" s="1"/>
  <c r="AS31" i="13"/>
  <c r="AS33" i="13" s="1"/>
  <c r="AR31" i="13"/>
  <c r="AR33" i="13" s="1"/>
  <c r="AQ31" i="13"/>
  <c r="AQ33" i="13" s="1"/>
  <c r="AP31" i="13"/>
  <c r="AP33" i="13" s="1"/>
  <c r="AO31" i="13"/>
  <c r="AO33" i="13" s="1"/>
  <c r="AN31" i="13"/>
  <c r="AN33" i="13" s="1"/>
  <c r="AM31" i="13"/>
  <c r="AM33" i="13" s="1"/>
  <c r="AL31" i="13"/>
  <c r="AL33" i="13" s="1"/>
  <c r="AK31" i="13"/>
  <c r="AK33" i="13" s="1"/>
  <c r="AJ31" i="13"/>
  <c r="AJ33" i="13" s="1"/>
  <c r="AI31" i="13"/>
  <c r="AH31" i="13"/>
  <c r="AG31" i="13"/>
  <c r="AG33" i="13" s="1"/>
  <c r="AF31" i="13"/>
  <c r="AF33" i="13" s="1"/>
  <c r="AE31" i="13"/>
  <c r="AE33" i="13" s="1"/>
  <c r="AD31" i="13"/>
  <c r="AD33" i="13" s="1"/>
  <c r="AC31" i="13"/>
  <c r="AC33" i="13" s="1"/>
  <c r="AB31" i="13"/>
  <c r="AB33" i="13" s="1"/>
  <c r="AA31" i="13"/>
  <c r="AA33" i="13" s="1"/>
  <c r="Z31" i="13"/>
  <c r="Z33" i="13" s="1"/>
  <c r="Y31" i="13"/>
  <c r="Y33" i="13" s="1"/>
  <c r="X31" i="13"/>
  <c r="X33" i="13" s="1"/>
  <c r="W31" i="13"/>
  <c r="W33" i="13" s="1"/>
  <c r="V31" i="13"/>
  <c r="U31" i="13"/>
  <c r="U33" i="13" s="1"/>
  <c r="T31" i="13"/>
  <c r="T33" i="13" s="1"/>
  <c r="S31" i="13"/>
  <c r="S33" i="13" s="1"/>
  <c r="R31" i="13"/>
  <c r="R33" i="13" s="1"/>
  <c r="Q31" i="13"/>
  <c r="P31" i="13"/>
  <c r="P33" i="13" s="1"/>
  <c r="O31" i="13"/>
  <c r="O33" i="13" s="1"/>
  <c r="N31" i="13"/>
  <c r="M31" i="13"/>
  <c r="M33" i="13" s="1"/>
  <c r="L31" i="13"/>
  <c r="L33" i="13" s="1"/>
  <c r="K31" i="13"/>
  <c r="K33" i="13" s="1"/>
  <c r="J31" i="13"/>
  <c r="J33" i="13" s="1"/>
  <c r="I31" i="13"/>
  <c r="I33" i="13" s="1"/>
  <c r="H31" i="13"/>
  <c r="H33" i="13" s="1"/>
  <c r="G31" i="13"/>
  <c r="G33" i="13" s="1"/>
  <c r="F31" i="13"/>
  <c r="F33" i="13" s="1"/>
  <c r="E31" i="13"/>
  <c r="E33" i="13" s="1"/>
  <c r="D31" i="13"/>
  <c r="D33" i="13" s="1"/>
  <c r="C31" i="13"/>
  <c r="C33" i="13" s="1"/>
  <c r="BC30" i="13"/>
  <c r="BC29" i="13"/>
  <c r="BC28" i="13"/>
  <c r="BC27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C23" i="13"/>
  <c r="BC22" i="13"/>
  <c r="BC21" i="13"/>
  <c r="BE19" i="13"/>
  <c r="BC19" i="13"/>
  <c r="BC17" i="13"/>
  <c r="BE17" i="13" s="1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BC14" i="13"/>
  <c r="BC13" i="13"/>
  <c r="BC12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Q120" i="17"/>
  <c r="K117" i="17"/>
  <c r="AH114" i="17"/>
  <c r="AC114" i="17"/>
  <c r="Y114" i="17"/>
  <c r="U114" i="17"/>
  <c r="T114" i="17"/>
  <c r="S114" i="17"/>
  <c r="J114" i="17"/>
  <c r="I114" i="17"/>
  <c r="H114" i="17"/>
  <c r="F114" i="17"/>
  <c r="E114" i="17"/>
  <c r="D114" i="17"/>
  <c r="AK113" i="17"/>
  <c r="AL113" i="17" s="1"/>
  <c r="AB113" i="17"/>
  <c r="AD113" i="17" s="1"/>
  <c r="X113" i="17"/>
  <c r="Z113" i="17" s="1"/>
  <c r="V113" i="17"/>
  <c r="M113" i="17"/>
  <c r="N113" i="17" s="1"/>
  <c r="K113" i="17"/>
  <c r="AM113" i="17" s="1"/>
  <c r="AN113" i="17" s="1"/>
  <c r="AO113" i="17" s="1"/>
  <c r="AK112" i="17"/>
  <c r="AL112" i="17" s="1"/>
  <c r="AB112" i="17"/>
  <c r="AD112" i="17" s="1"/>
  <c r="X112" i="17"/>
  <c r="Z112" i="17" s="1"/>
  <c r="V112" i="17"/>
  <c r="K112" i="17"/>
  <c r="AK111" i="17"/>
  <c r="AL111" i="17" s="1"/>
  <c r="AB111" i="17"/>
  <c r="AD111" i="17" s="1"/>
  <c r="X111" i="17"/>
  <c r="Z111" i="17" s="1"/>
  <c r="V111" i="17"/>
  <c r="P111" i="17"/>
  <c r="BD118" i="28" s="1"/>
  <c r="M111" i="17"/>
  <c r="G111" i="17"/>
  <c r="K111" i="17" s="1"/>
  <c r="N111" i="17" s="1"/>
  <c r="Q111" i="17" s="1"/>
  <c r="AK110" i="17"/>
  <c r="AL110" i="17" s="1"/>
  <c r="AB110" i="17"/>
  <c r="X110" i="17"/>
  <c r="Z110" i="17" s="1"/>
  <c r="V110" i="17"/>
  <c r="G110" i="17"/>
  <c r="AK109" i="17"/>
  <c r="AB109" i="17"/>
  <c r="AD109" i="17" s="1"/>
  <c r="X109" i="17"/>
  <c r="Z109" i="17" s="1"/>
  <c r="Z114" i="17" s="1"/>
  <c r="V109" i="17"/>
  <c r="M109" i="17"/>
  <c r="K109" i="17"/>
  <c r="AH108" i="17"/>
  <c r="AD108" i="17"/>
  <c r="AC108" i="17"/>
  <c r="AB108" i="17"/>
  <c r="Y108" i="17"/>
  <c r="U108" i="17"/>
  <c r="T108" i="17"/>
  <c r="S108" i="17"/>
  <c r="J108" i="17"/>
  <c r="I108" i="17"/>
  <c r="H108" i="17"/>
  <c r="G108" i="17"/>
  <c r="F108" i="17"/>
  <c r="E108" i="17"/>
  <c r="D108" i="17"/>
  <c r="AK107" i="17"/>
  <c r="AL107" i="17" s="1"/>
  <c r="X107" i="17"/>
  <c r="Z107" i="17" s="1"/>
  <c r="V107" i="17"/>
  <c r="M107" i="17" s="1"/>
  <c r="P107" i="17"/>
  <c r="K107" i="17"/>
  <c r="AM107" i="17" s="1"/>
  <c r="AN107" i="17" s="1"/>
  <c r="AK106" i="17"/>
  <c r="AL106" i="17" s="1"/>
  <c r="AF106" i="17"/>
  <c r="AG106" i="17" s="1"/>
  <c r="AI106" i="17" s="1"/>
  <c r="X106" i="17"/>
  <c r="Z106" i="17" s="1"/>
  <c r="V106" i="17"/>
  <c r="K106" i="17"/>
  <c r="AL105" i="17"/>
  <c r="AK105" i="17"/>
  <c r="AF105" i="17"/>
  <c r="AG105" i="17" s="1"/>
  <c r="AI105" i="17" s="1"/>
  <c r="X105" i="17"/>
  <c r="Z105" i="17" s="1"/>
  <c r="V105" i="17"/>
  <c r="M105" i="17" s="1"/>
  <c r="P105" i="17" s="1"/>
  <c r="AJ118" i="28" s="1"/>
  <c r="K105" i="17"/>
  <c r="AK104" i="17"/>
  <c r="AL104" i="17" s="1"/>
  <c r="X104" i="17"/>
  <c r="Z104" i="17" s="1"/>
  <c r="V104" i="17"/>
  <c r="M104" i="17"/>
  <c r="P104" i="17" s="1"/>
  <c r="AN118" i="28" s="1"/>
  <c r="K104" i="17"/>
  <c r="AF104" i="17" s="1"/>
  <c r="AG104" i="17" s="1"/>
  <c r="AI104" i="17" s="1"/>
  <c r="AK103" i="17"/>
  <c r="AL103" i="17" s="1"/>
  <c r="X103" i="17"/>
  <c r="Z103" i="17" s="1"/>
  <c r="V103" i="17"/>
  <c r="K103" i="17"/>
  <c r="AK102" i="17"/>
  <c r="AL102" i="17" s="1"/>
  <c r="X102" i="17"/>
  <c r="Z102" i="17" s="1"/>
  <c r="V102" i="17"/>
  <c r="M102" i="17"/>
  <c r="P102" i="17" s="1"/>
  <c r="K102" i="17"/>
  <c r="AM102" i="17" s="1"/>
  <c r="AN102" i="17" s="1"/>
  <c r="AK101" i="17"/>
  <c r="AF101" i="17"/>
  <c r="X101" i="17"/>
  <c r="V101" i="17"/>
  <c r="K101" i="17"/>
  <c r="AH100" i="17"/>
  <c r="AC100" i="17"/>
  <c r="Y100" i="17"/>
  <c r="U100" i="17"/>
  <c r="T100" i="17"/>
  <c r="S100" i="17"/>
  <c r="J100" i="17"/>
  <c r="I100" i="17"/>
  <c r="H100" i="17"/>
  <c r="G100" i="17"/>
  <c r="F100" i="17"/>
  <c r="E100" i="17"/>
  <c r="D100" i="17"/>
  <c r="AK99" i="17"/>
  <c r="AL99" i="17" s="1"/>
  <c r="AD99" i="17"/>
  <c r="AB99" i="17"/>
  <c r="X99" i="17"/>
  <c r="Z99" i="17" s="1"/>
  <c r="V99" i="17"/>
  <c r="M99" i="17" s="1"/>
  <c r="K99" i="17"/>
  <c r="AM99" i="17" s="1"/>
  <c r="AN99" i="17" s="1"/>
  <c r="AO99" i="17" s="1"/>
  <c r="AK98" i="17"/>
  <c r="AL98" i="17" s="1"/>
  <c r="AF98" i="17"/>
  <c r="AG98" i="17" s="1"/>
  <c r="AI98" i="17" s="1"/>
  <c r="AD98" i="17"/>
  <c r="AB98" i="17"/>
  <c r="X98" i="17"/>
  <c r="Z98" i="17" s="1"/>
  <c r="V98" i="17"/>
  <c r="K98" i="17"/>
  <c r="AK97" i="17"/>
  <c r="AL97" i="17" s="1"/>
  <c r="AB97" i="17"/>
  <c r="AB100" i="17" s="1"/>
  <c r="X97" i="17"/>
  <c r="Z97" i="17" s="1"/>
  <c r="V97" i="17"/>
  <c r="M97" i="17" s="1"/>
  <c r="K97" i="17"/>
  <c r="AM97" i="17" s="1"/>
  <c r="AN97" i="17" s="1"/>
  <c r="AK96" i="17"/>
  <c r="AB96" i="17"/>
  <c r="AD96" i="17" s="1"/>
  <c r="X96" i="17"/>
  <c r="Z96" i="17" s="1"/>
  <c r="V96" i="17"/>
  <c r="M96" i="17" s="1"/>
  <c r="K96" i="17"/>
  <c r="AH95" i="17"/>
  <c r="AC95" i="17"/>
  <c r="U95" i="17"/>
  <c r="S95" i="17"/>
  <c r="J95" i="17"/>
  <c r="I95" i="17"/>
  <c r="H95" i="17"/>
  <c r="G95" i="17"/>
  <c r="F95" i="17"/>
  <c r="E95" i="17"/>
  <c r="AK94" i="17"/>
  <c r="AL94" i="17" s="1"/>
  <c r="Z94" i="17"/>
  <c r="X94" i="17"/>
  <c r="T94" i="17"/>
  <c r="AB94" i="17" s="1"/>
  <c r="AD94" i="17" s="1"/>
  <c r="S94" i="17"/>
  <c r="F94" i="17"/>
  <c r="E94" i="17"/>
  <c r="D94" i="17"/>
  <c r="AL93" i="17"/>
  <c r="AK93" i="17"/>
  <c r="AD93" i="17"/>
  <c r="AB93" i="17"/>
  <c r="Y93" i="17"/>
  <c r="Y95" i="17" s="1"/>
  <c r="X93" i="17"/>
  <c r="Z93" i="17" s="1"/>
  <c r="V93" i="17"/>
  <c r="K93" i="17"/>
  <c r="D93" i="17"/>
  <c r="AK92" i="17"/>
  <c r="AB92" i="17"/>
  <c r="AD92" i="17" s="1"/>
  <c r="X92" i="17"/>
  <c r="Z92" i="17" s="1"/>
  <c r="V92" i="17"/>
  <c r="K92" i="17"/>
  <c r="AH91" i="17"/>
  <c r="AD91" i="17"/>
  <c r="AC91" i="17"/>
  <c r="AB91" i="17"/>
  <c r="Y91" i="17"/>
  <c r="U91" i="17"/>
  <c r="T91" i="17"/>
  <c r="S91" i="17"/>
  <c r="J91" i="17"/>
  <c r="I91" i="17"/>
  <c r="H91" i="17"/>
  <c r="G91" i="17"/>
  <c r="F91" i="17"/>
  <c r="E91" i="17"/>
  <c r="D91" i="17"/>
  <c r="AM90" i="17"/>
  <c r="AN90" i="17" s="1"/>
  <c r="AK90" i="17"/>
  <c r="AL90" i="17" s="1"/>
  <c r="X90" i="17"/>
  <c r="Z90" i="17" s="1"/>
  <c r="V90" i="17"/>
  <c r="K90" i="17"/>
  <c r="AK89" i="17"/>
  <c r="AL89" i="17" s="1"/>
  <c r="X89" i="17"/>
  <c r="Z89" i="17" s="1"/>
  <c r="V89" i="17"/>
  <c r="M89" i="17"/>
  <c r="P89" i="17" s="1"/>
  <c r="K89" i="17"/>
  <c r="AL88" i="17"/>
  <c r="AK88" i="17"/>
  <c r="X88" i="17"/>
  <c r="Z88" i="17" s="1"/>
  <c r="V88" i="17"/>
  <c r="M88" i="17" s="1"/>
  <c r="P88" i="17"/>
  <c r="K88" i="17"/>
  <c r="AK87" i="17"/>
  <c r="X87" i="17"/>
  <c r="Z87" i="17" s="1"/>
  <c r="Z91" i="17" s="1"/>
  <c r="V87" i="17"/>
  <c r="K87" i="17"/>
  <c r="AK86" i="17"/>
  <c r="AH86" i="17"/>
  <c r="AD86" i="17"/>
  <c r="AC86" i="17"/>
  <c r="AB86" i="17"/>
  <c r="Y86" i="17"/>
  <c r="U86" i="17"/>
  <c r="T86" i="17"/>
  <c r="S86" i="17"/>
  <c r="J86" i="17"/>
  <c r="I86" i="17"/>
  <c r="H86" i="17"/>
  <c r="G86" i="17"/>
  <c r="F86" i="17"/>
  <c r="E86" i="17"/>
  <c r="D86" i="17"/>
  <c r="AK85" i="17"/>
  <c r="AL85" i="17" s="1"/>
  <c r="X85" i="17"/>
  <c r="Z85" i="17" s="1"/>
  <c r="V85" i="17"/>
  <c r="M85" i="17" s="1"/>
  <c r="K85" i="17"/>
  <c r="AK84" i="17"/>
  <c r="AL84" i="17" s="1"/>
  <c r="X84" i="17"/>
  <c r="Z84" i="17" s="1"/>
  <c r="V84" i="17"/>
  <c r="K84" i="17"/>
  <c r="AK83" i="17"/>
  <c r="AL83" i="17" s="1"/>
  <c r="X83" i="17"/>
  <c r="V83" i="17"/>
  <c r="P83" i="17"/>
  <c r="M83" i="17"/>
  <c r="K83" i="17"/>
  <c r="AH82" i="17"/>
  <c r="AC82" i="17"/>
  <c r="Y82" i="17"/>
  <c r="U82" i="17"/>
  <c r="T82" i="17"/>
  <c r="S82" i="17"/>
  <c r="J82" i="17"/>
  <c r="I82" i="17"/>
  <c r="H82" i="17"/>
  <c r="G82" i="17"/>
  <c r="F82" i="17"/>
  <c r="E82" i="17"/>
  <c r="D82" i="17"/>
  <c r="AL81" i="17"/>
  <c r="AK81" i="17"/>
  <c r="AB81" i="17"/>
  <c r="AD81" i="17" s="1"/>
  <c r="X81" i="17"/>
  <c r="Z81" i="17" s="1"/>
  <c r="V81" i="17"/>
  <c r="M81" i="17" s="1"/>
  <c r="K81" i="17"/>
  <c r="AF81" i="17" s="1"/>
  <c r="AG81" i="17" s="1"/>
  <c r="AI81" i="17" s="1"/>
  <c r="AL80" i="17"/>
  <c r="AK80" i="17"/>
  <c r="AB80" i="17"/>
  <c r="X80" i="17"/>
  <c r="Z80" i="17" s="1"/>
  <c r="V80" i="17"/>
  <c r="M80" i="17" s="1"/>
  <c r="K80" i="17"/>
  <c r="AK79" i="17"/>
  <c r="AL79" i="17" s="1"/>
  <c r="AB79" i="17"/>
  <c r="AD79" i="17" s="1"/>
  <c r="X79" i="17"/>
  <c r="Z79" i="17" s="1"/>
  <c r="V79" i="17"/>
  <c r="M79" i="17"/>
  <c r="P79" i="17" s="1"/>
  <c r="AF118" i="28" s="1"/>
  <c r="K79" i="17"/>
  <c r="AL78" i="17"/>
  <c r="V78" i="17"/>
  <c r="M78" i="17" s="1"/>
  <c r="P78" i="17" s="1"/>
  <c r="K78" i="17"/>
  <c r="AK77" i="17"/>
  <c r="AL77" i="17" s="1"/>
  <c r="AO77" i="17" s="1"/>
  <c r="AB77" i="17"/>
  <c r="AD77" i="17" s="1"/>
  <c r="Z77" i="17"/>
  <c r="X77" i="17"/>
  <c r="V77" i="17"/>
  <c r="M77" i="17"/>
  <c r="N77" i="17" s="1"/>
  <c r="K77" i="17"/>
  <c r="AM77" i="17" s="1"/>
  <c r="AN77" i="17" s="1"/>
  <c r="AK76" i="17"/>
  <c r="AL76" i="17" s="1"/>
  <c r="AB76" i="17"/>
  <c r="AD76" i="17" s="1"/>
  <c r="X76" i="17"/>
  <c r="Z76" i="17" s="1"/>
  <c r="V76" i="17"/>
  <c r="M76" i="17" s="1"/>
  <c r="K76" i="17"/>
  <c r="AF76" i="17" s="1"/>
  <c r="AG76" i="17" s="1"/>
  <c r="AI76" i="17" s="1"/>
  <c r="AM75" i="17"/>
  <c r="AN75" i="17" s="1"/>
  <c r="AK75" i="17"/>
  <c r="AL75" i="17" s="1"/>
  <c r="AD75" i="17"/>
  <c r="AB75" i="17"/>
  <c r="X75" i="17"/>
  <c r="Z75" i="17" s="1"/>
  <c r="V75" i="17"/>
  <c r="M75" i="17"/>
  <c r="K75" i="17"/>
  <c r="AK74" i="17"/>
  <c r="AL74" i="17" s="1"/>
  <c r="AB74" i="17"/>
  <c r="X74" i="17"/>
  <c r="Z74" i="17" s="1"/>
  <c r="V74" i="17"/>
  <c r="K74" i="17"/>
  <c r="AK73" i="17"/>
  <c r="AB73" i="17"/>
  <c r="X73" i="17"/>
  <c r="V73" i="17"/>
  <c r="K73" i="17"/>
  <c r="AH72" i="17"/>
  <c r="AD72" i="17"/>
  <c r="AC72" i="17"/>
  <c r="AB72" i="17"/>
  <c r="Y72" i="17"/>
  <c r="U72" i="17"/>
  <c r="T72" i="17"/>
  <c r="S72" i="17"/>
  <c r="J72" i="17"/>
  <c r="I72" i="17"/>
  <c r="H72" i="17"/>
  <c r="G72" i="17"/>
  <c r="F72" i="17"/>
  <c r="F115" i="17" s="1"/>
  <c r="F118" i="17" s="1"/>
  <c r="E72" i="17"/>
  <c r="D72" i="17"/>
  <c r="AK71" i="17"/>
  <c r="AI71" i="17"/>
  <c r="AF71" i="17"/>
  <c r="AG71" i="17" s="1"/>
  <c r="X71" i="17"/>
  <c r="Z71" i="17" s="1"/>
  <c r="V71" i="17"/>
  <c r="M71" i="17"/>
  <c r="K71" i="17"/>
  <c r="AM71" i="17" s="1"/>
  <c r="AN71" i="17" s="1"/>
  <c r="AK70" i="17"/>
  <c r="AL70" i="17" s="1"/>
  <c r="X70" i="17"/>
  <c r="Z70" i="17" s="1"/>
  <c r="V70" i="17"/>
  <c r="K70" i="17"/>
  <c r="AL69" i="17"/>
  <c r="AK69" i="17"/>
  <c r="X69" i="17"/>
  <c r="Z69" i="17" s="1"/>
  <c r="V69" i="17"/>
  <c r="K69" i="17"/>
  <c r="AK68" i="17"/>
  <c r="AL68" i="17" s="1"/>
  <c r="Z68" i="17"/>
  <c r="X68" i="17"/>
  <c r="V68" i="17"/>
  <c r="K68" i="17"/>
  <c r="K72" i="17" s="1"/>
  <c r="Z50" i="17"/>
  <c r="U50" i="17"/>
  <c r="T50" i="17"/>
  <c r="S50" i="17"/>
  <c r="J50" i="17"/>
  <c r="I50" i="17"/>
  <c r="H50" i="17"/>
  <c r="F50" i="17"/>
  <c r="E50" i="17"/>
  <c r="D50" i="17"/>
  <c r="AE49" i="17"/>
  <c r="AF49" i="17" s="1"/>
  <c r="AC49" i="17"/>
  <c r="AD49" i="17" s="1"/>
  <c r="V49" i="17"/>
  <c r="M49" i="17" s="1"/>
  <c r="K49" i="17"/>
  <c r="AC48" i="17"/>
  <c r="AD48" i="17" s="1"/>
  <c r="V48" i="17"/>
  <c r="M48" i="17" s="1"/>
  <c r="P48" i="17" s="1"/>
  <c r="K48" i="17"/>
  <c r="AC47" i="17"/>
  <c r="AD47" i="17" s="1"/>
  <c r="V47" i="17"/>
  <c r="M47" i="17"/>
  <c r="K47" i="17"/>
  <c r="X47" i="17" s="1"/>
  <c r="Y47" i="17" s="1"/>
  <c r="AA47" i="17" s="1"/>
  <c r="AC46" i="17"/>
  <c r="AD46" i="17" s="1"/>
  <c r="V46" i="17"/>
  <c r="M46" i="17" s="1"/>
  <c r="G46" i="17"/>
  <c r="K46" i="17" s="1"/>
  <c r="AE45" i="17"/>
  <c r="AD45" i="17"/>
  <c r="AC45" i="17"/>
  <c r="V45" i="17"/>
  <c r="M45" i="17"/>
  <c r="K45" i="17"/>
  <c r="Z44" i="17"/>
  <c r="U44" i="17"/>
  <c r="T44" i="17"/>
  <c r="S44" i="17"/>
  <c r="J44" i="17"/>
  <c r="I44" i="17"/>
  <c r="H44" i="17"/>
  <c r="G44" i="17"/>
  <c r="F44" i="17"/>
  <c r="E44" i="17"/>
  <c r="AC43" i="17"/>
  <c r="AD43" i="17" s="1"/>
  <c r="V43" i="17"/>
  <c r="K43" i="17"/>
  <c r="AC42" i="17"/>
  <c r="AD42" i="17" s="1"/>
  <c r="V42" i="17"/>
  <c r="K42" i="17"/>
  <c r="X42" i="17" s="1"/>
  <c r="Y42" i="17" s="1"/>
  <c r="AA42" i="17" s="1"/>
  <c r="AC41" i="17"/>
  <c r="AD41" i="17" s="1"/>
  <c r="X41" i="17"/>
  <c r="Y41" i="17" s="1"/>
  <c r="AA41" i="17" s="1"/>
  <c r="V41" i="17"/>
  <c r="K41" i="17"/>
  <c r="AC40" i="17"/>
  <c r="AD40" i="17" s="1"/>
  <c r="V40" i="17"/>
  <c r="D40" i="17"/>
  <c r="AC39" i="17"/>
  <c r="V39" i="17"/>
  <c r="P39" i="17" s="1"/>
  <c r="M39" i="17"/>
  <c r="K39" i="17"/>
  <c r="Z38" i="17"/>
  <c r="U38" i="17"/>
  <c r="J38" i="17"/>
  <c r="I38" i="17"/>
  <c r="H38" i="17"/>
  <c r="G38" i="17"/>
  <c r="F38" i="17"/>
  <c r="E38" i="17"/>
  <c r="D38" i="17"/>
  <c r="AC37" i="17"/>
  <c r="AD37" i="17" s="1"/>
  <c r="T37" i="17"/>
  <c r="T38" i="17" s="1"/>
  <c r="T51" i="17" s="1"/>
  <c r="S37" i="17"/>
  <c r="K37" i="17"/>
  <c r="AD36" i="17"/>
  <c r="AC36" i="17"/>
  <c r="X36" i="17"/>
  <c r="Y36" i="17" s="1"/>
  <c r="AA36" i="17" s="1"/>
  <c r="V36" i="17"/>
  <c r="M36" i="17" s="1"/>
  <c r="N36" i="17" s="1"/>
  <c r="K36" i="17"/>
  <c r="AD35" i="17"/>
  <c r="AC35" i="17"/>
  <c r="V35" i="17"/>
  <c r="K35" i="17"/>
  <c r="AE35" i="17" s="1"/>
  <c r="AF35" i="17" s="1"/>
  <c r="AF34" i="17"/>
  <c r="AE34" i="17"/>
  <c r="AD34" i="17"/>
  <c r="AC34" i="17"/>
  <c r="V34" i="17"/>
  <c r="T34" i="17"/>
  <c r="M34" i="17"/>
  <c r="K34" i="17"/>
  <c r="Z33" i="17"/>
  <c r="V33" i="17"/>
  <c r="U33" i="17"/>
  <c r="T33" i="17"/>
  <c r="S33" i="17"/>
  <c r="J33" i="17"/>
  <c r="I33" i="17"/>
  <c r="H33" i="17"/>
  <c r="G33" i="17"/>
  <c r="F33" i="17"/>
  <c r="E33" i="17"/>
  <c r="AC32" i="17"/>
  <c r="AD32" i="17" s="1"/>
  <c r="V32" i="17"/>
  <c r="M32" i="17"/>
  <c r="K32" i="17"/>
  <c r="AC31" i="17"/>
  <c r="AD31" i="17" s="1"/>
  <c r="V31" i="17"/>
  <c r="M31" i="17" s="1"/>
  <c r="D31" i="17"/>
  <c r="AC30" i="17"/>
  <c r="V30" i="17"/>
  <c r="D30" i="17"/>
  <c r="K30" i="17" s="1"/>
  <c r="AE30" i="17" s="1"/>
  <c r="AF30" i="17" s="1"/>
  <c r="Z29" i="17"/>
  <c r="U29" i="17"/>
  <c r="T29" i="17"/>
  <c r="S29" i="17"/>
  <c r="J29" i="17"/>
  <c r="I29" i="17"/>
  <c r="H29" i="17"/>
  <c r="G29" i="17"/>
  <c r="F29" i="17"/>
  <c r="E29" i="17"/>
  <c r="AC28" i="17"/>
  <c r="AD28" i="17" s="1"/>
  <c r="V28" i="17"/>
  <c r="P28" i="17" s="1"/>
  <c r="M28" i="17"/>
  <c r="D28" i="17"/>
  <c r="D29" i="17" s="1"/>
  <c r="AC27" i="17"/>
  <c r="AD27" i="17" s="1"/>
  <c r="V27" i="17"/>
  <c r="K27" i="17"/>
  <c r="AE26" i="17"/>
  <c r="AF26" i="17" s="1"/>
  <c r="AC26" i="17"/>
  <c r="AD26" i="17" s="1"/>
  <c r="V26" i="17"/>
  <c r="M26" i="17" s="1"/>
  <c r="K26" i="17"/>
  <c r="AC25" i="17"/>
  <c r="X25" i="17"/>
  <c r="Y25" i="17" s="1"/>
  <c r="V25" i="17"/>
  <c r="K25" i="17"/>
  <c r="Z24" i="17"/>
  <c r="U24" i="17"/>
  <c r="T24" i="17"/>
  <c r="J24" i="17"/>
  <c r="I24" i="17"/>
  <c r="H24" i="17"/>
  <c r="G24" i="17"/>
  <c r="F24" i="17"/>
  <c r="E24" i="17"/>
  <c r="AC23" i="17"/>
  <c r="AD23" i="17" s="1"/>
  <c r="X23" i="17"/>
  <c r="Y23" i="17" s="1"/>
  <c r="AA23" i="17" s="1"/>
  <c r="V23" i="17"/>
  <c r="M23" i="17" s="1"/>
  <c r="K23" i="17"/>
  <c r="N23" i="17" s="1"/>
  <c r="AC22" i="17"/>
  <c r="X22" i="17"/>
  <c r="Y22" i="17" s="1"/>
  <c r="AA22" i="17" s="1"/>
  <c r="V22" i="17"/>
  <c r="P22" i="17"/>
  <c r="M22" i="17"/>
  <c r="K22" i="17"/>
  <c r="AE22" i="17" s="1"/>
  <c r="AF22" i="17" s="1"/>
  <c r="AC21" i="17"/>
  <c r="AD21" i="17" s="1"/>
  <c r="S21" i="17"/>
  <c r="S24" i="17" s="1"/>
  <c r="D21" i="17"/>
  <c r="D24" i="17" s="1"/>
  <c r="Z20" i="17"/>
  <c r="U20" i="17"/>
  <c r="T20" i="17"/>
  <c r="S20" i="17"/>
  <c r="J20" i="17"/>
  <c r="I20" i="17"/>
  <c r="H20" i="17"/>
  <c r="G20" i="17"/>
  <c r="F20" i="17"/>
  <c r="E20" i="17"/>
  <c r="D20" i="17"/>
  <c r="AE19" i="17"/>
  <c r="AF19" i="17" s="1"/>
  <c r="AC19" i="17"/>
  <c r="AD19" i="17" s="1"/>
  <c r="X19" i="17"/>
  <c r="Y19" i="17" s="1"/>
  <c r="AA19" i="17" s="1"/>
  <c r="V19" i="17"/>
  <c r="K19" i="17"/>
  <c r="AC18" i="17"/>
  <c r="AD18" i="17" s="1"/>
  <c r="V18" i="17"/>
  <c r="M18" i="17"/>
  <c r="P18" i="17" s="1"/>
  <c r="K18" i="17"/>
  <c r="AE18" i="17" s="1"/>
  <c r="AF18" i="17" s="1"/>
  <c r="AG18" i="17" s="1"/>
  <c r="AC17" i="17"/>
  <c r="AD17" i="17" s="1"/>
  <c r="V17" i="17"/>
  <c r="K17" i="17"/>
  <c r="AE16" i="17"/>
  <c r="AF16" i="17" s="1"/>
  <c r="AD16" i="17"/>
  <c r="X16" i="17"/>
  <c r="Y16" i="17" s="1"/>
  <c r="AA16" i="17" s="1"/>
  <c r="V16" i="17"/>
  <c r="P16" i="17" s="1"/>
  <c r="K16" i="17"/>
  <c r="AD15" i="17"/>
  <c r="AC15" i="17"/>
  <c r="V15" i="17"/>
  <c r="M15" i="17" s="1"/>
  <c r="N15" i="17" s="1"/>
  <c r="K15" i="17"/>
  <c r="AE15" i="17" s="1"/>
  <c r="AF15" i="17" s="1"/>
  <c r="AC14" i="17"/>
  <c r="AD14" i="17" s="1"/>
  <c r="V14" i="17"/>
  <c r="K14" i="17"/>
  <c r="AC13" i="17"/>
  <c r="AD13" i="17" s="1"/>
  <c r="V13" i="17"/>
  <c r="M13" i="17" s="1"/>
  <c r="P13" i="17"/>
  <c r="K13" i="17"/>
  <c r="AE13" i="17" s="1"/>
  <c r="AF13" i="17" s="1"/>
  <c r="AC12" i="17"/>
  <c r="AD12" i="17" s="1"/>
  <c r="V12" i="17"/>
  <c r="K12" i="17"/>
  <c r="X12" i="17" s="1"/>
  <c r="Y12" i="17" s="1"/>
  <c r="AA12" i="17" s="1"/>
  <c r="AC11" i="17"/>
  <c r="V11" i="17"/>
  <c r="K11" i="17"/>
  <c r="Z10" i="17"/>
  <c r="U10" i="17"/>
  <c r="T10" i="17"/>
  <c r="S10" i="17"/>
  <c r="J10" i="17"/>
  <c r="I10" i="17"/>
  <c r="H10" i="17"/>
  <c r="F10" i="17"/>
  <c r="E10" i="17"/>
  <c r="D10" i="17"/>
  <c r="AC9" i="17"/>
  <c r="AD9" i="17" s="1"/>
  <c r="V9" i="17"/>
  <c r="M9" i="17" s="1"/>
  <c r="G9" i="17"/>
  <c r="G10" i="17" s="1"/>
  <c r="AC8" i="17"/>
  <c r="AD8" i="17" s="1"/>
  <c r="V8" i="17"/>
  <c r="K8" i="17"/>
  <c r="AC7" i="17"/>
  <c r="AD7" i="17" s="1"/>
  <c r="X7" i="17"/>
  <c r="Y7" i="17" s="1"/>
  <c r="AA7" i="17" s="1"/>
  <c r="V7" i="17"/>
  <c r="M7" i="17" s="1"/>
  <c r="N7" i="17" s="1"/>
  <c r="K7" i="17"/>
  <c r="AC6" i="17"/>
  <c r="V6" i="17"/>
  <c r="K6" i="17"/>
  <c r="BC99" i="21"/>
  <c r="BB99" i="21"/>
  <c r="BA99" i="21"/>
  <c r="AZ99" i="21"/>
  <c r="AY99" i="21"/>
  <c r="AX99" i="21"/>
  <c r="AW99" i="21"/>
  <c r="AV99" i="21"/>
  <c r="AU99" i="21"/>
  <c r="AT99" i="21"/>
  <c r="AS99" i="21"/>
  <c r="AR99" i="21"/>
  <c r="AQ99" i="21"/>
  <c r="AP99" i="21"/>
  <c r="AO99" i="21"/>
  <c r="AN99" i="21"/>
  <c r="AM99" i="21"/>
  <c r="AL99" i="21"/>
  <c r="AK99" i="21"/>
  <c r="AJ99" i="21"/>
  <c r="AI99" i="21"/>
  <c r="AH99" i="21"/>
  <c r="AG99" i="21"/>
  <c r="AF99" i="21"/>
  <c r="AE99" i="21"/>
  <c r="AD99" i="21"/>
  <c r="AC99" i="21"/>
  <c r="AB99" i="21"/>
  <c r="AA99" i="21"/>
  <c r="Z99" i="21"/>
  <c r="Y99" i="21"/>
  <c r="X99" i="21"/>
  <c r="W99" i="21"/>
  <c r="V99" i="21"/>
  <c r="U99" i="21"/>
  <c r="T99" i="21"/>
  <c r="S99" i="21"/>
  <c r="R99" i="21"/>
  <c r="P99" i="21"/>
  <c r="O99" i="21"/>
  <c r="N99" i="21"/>
  <c r="M99" i="21"/>
  <c r="L99" i="21"/>
  <c r="K99" i="21"/>
  <c r="J99" i="21"/>
  <c r="I99" i="21"/>
  <c r="H99" i="21"/>
  <c r="G99" i="21"/>
  <c r="F99" i="21"/>
  <c r="E99" i="21"/>
  <c r="D99" i="21"/>
  <c r="BF98" i="21"/>
  <c r="C98" i="21"/>
  <c r="BF97" i="21"/>
  <c r="C97" i="21"/>
  <c r="BF96" i="21"/>
  <c r="C96" i="21"/>
  <c r="BF95" i="21"/>
  <c r="C95" i="21"/>
  <c r="BF94" i="21"/>
  <c r="C94" i="21"/>
  <c r="BF93" i="21"/>
  <c r="C93" i="21"/>
  <c r="BF92" i="21"/>
  <c r="C92" i="21"/>
  <c r="BF91" i="21"/>
  <c r="C91" i="21"/>
  <c r="BF90" i="21"/>
  <c r="C90" i="21"/>
  <c r="BF89" i="21"/>
  <c r="C89" i="21"/>
  <c r="BF88" i="21"/>
  <c r="C88" i="21"/>
  <c r="BF87" i="21"/>
  <c r="C87" i="21"/>
  <c r="BF86" i="21"/>
  <c r="C86" i="21"/>
  <c r="BF85" i="21"/>
  <c r="C85" i="21"/>
  <c r="BF84" i="21"/>
  <c r="C84" i="21"/>
  <c r="BF83" i="21"/>
  <c r="C83" i="21"/>
  <c r="BF82" i="21"/>
  <c r="C82" i="21"/>
  <c r="BF81" i="21"/>
  <c r="C81" i="21"/>
  <c r="BF80" i="21"/>
  <c r="C80" i="21"/>
  <c r="BF79" i="21"/>
  <c r="C79" i="21"/>
  <c r="BF78" i="21"/>
  <c r="C78" i="21"/>
  <c r="BF77" i="21"/>
  <c r="C77" i="21"/>
  <c r="Q76" i="21"/>
  <c r="BD76" i="21" s="1"/>
  <c r="BF76" i="21" s="1"/>
  <c r="C76" i="21"/>
  <c r="BF75" i="21"/>
  <c r="C75" i="21"/>
  <c r="BF74" i="21"/>
  <c r="C74" i="21"/>
  <c r="BF73" i="21"/>
  <c r="C73" i="21"/>
  <c r="BF72" i="21"/>
  <c r="C72" i="21"/>
  <c r="BF71" i="21"/>
  <c r="C71" i="21"/>
  <c r="BF70" i="21"/>
  <c r="C70" i="21"/>
  <c r="BF69" i="21"/>
  <c r="C69" i="21"/>
  <c r="BF68" i="21"/>
  <c r="C68" i="21"/>
  <c r="BF67" i="21"/>
  <c r="C67" i="21"/>
  <c r="BF66" i="21"/>
  <c r="C66" i="21"/>
  <c r="BF65" i="21"/>
  <c r="C65" i="21"/>
  <c r="BF64" i="21"/>
  <c r="C64" i="21"/>
  <c r="BF63" i="21"/>
  <c r="C63" i="21"/>
  <c r="BF62" i="21"/>
  <c r="C62" i="21"/>
  <c r="BF61" i="21"/>
  <c r="C61" i="21"/>
  <c r="BF60" i="21"/>
  <c r="C60" i="21"/>
  <c r="BF59" i="21"/>
  <c r="C59" i="21"/>
  <c r="Q58" i="21"/>
  <c r="Q99" i="21" s="1"/>
  <c r="C58" i="21"/>
  <c r="BF57" i="21"/>
  <c r="C57" i="21"/>
  <c r="BF56" i="21"/>
  <c r="C56" i="21"/>
  <c r="BF55" i="21"/>
  <c r="C55" i="21"/>
  <c r="BF54" i="21"/>
  <c r="C54" i="21"/>
  <c r="BF53" i="21"/>
  <c r="C53" i="21"/>
  <c r="BF52" i="21"/>
  <c r="C52" i="21"/>
  <c r="BF51" i="21"/>
  <c r="C51" i="21"/>
  <c r="BF50" i="21"/>
  <c r="C50" i="21"/>
  <c r="BF49" i="21"/>
  <c r="C49" i="21"/>
  <c r="BF48" i="21"/>
  <c r="C48" i="21"/>
  <c r="BF47" i="21"/>
  <c r="C47" i="21"/>
  <c r="BF46" i="21"/>
  <c r="C46" i="21"/>
  <c r="BF45" i="21"/>
  <c r="C45" i="21"/>
  <c r="BF44" i="21"/>
  <c r="C44" i="21"/>
  <c r="BF43" i="21"/>
  <c r="C43" i="21"/>
  <c r="BF42" i="21"/>
  <c r="C42" i="21"/>
  <c r="BF41" i="21"/>
  <c r="C41" i="21"/>
  <c r="BF40" i="21"/>
  <c r="C40" i="21"/>
  <c r="BF39" i="21"/>
  <c r="C39" i="21"/>
  <c r="BF38" i="21"/>
  <c r="C38" i="21"/>
  <c r="BF37" i="21"/>
  <c r="C37" i="21"/>
  <c r="BF36" i="21"/>
  <c r="C36" i="21"/>
  <c r="BF35" i="21"/>
  <c r="C35" i="21"/>
  <c r="BF34" i="21"/>
  <c r="C34" i="21"/>
  <c r="BF33" i="21"/>
  <c r="C33" i="21"/>
  <c r="BF32" i="21"/>
  <c r="C32" i="21"/>
  <c r="BF31" i="21"/>
  <c r="C31" i="21"/>
  <c r="BF30" i="21"/>
  <c r="C30" i="21"/>
  <c r="BF29" i="21"/>
  <c r="C29" i="21"/>
  <c r="BF28" i="21"/>
  <c r="C28" i="21"/>
  <c r="BF27" i="21"/>
  <c r="C27" i="21"/>
  <c r="BF26" i="21"/>
  <c r="C26" i="21"/>
  <c r="BF25" i="21"/>
  <c r="C25" i="21"/>
  <c r="BF24" i="21"/>
  <c r="C24" i="21"/>
  <c r="BF23" i="21"/>
  <c r="C23" i="21"/>
  <c r="BF22" i="21"/>
  <c r="C22" i="21"/>
  <c r="BF21" i="21"/>
  <c r="C21" i="21"/>
  <c r="BF20" i="21"/>
  <c r="C20" i="21"/>
  <c r="BF19" i="21"/>
  <c r="C19" i="21"/>
  <c r="BF18" i="21"/>
  <c r="C18" i="21"/>
  <c r="BF17" i="21"/>
  <c r="C17" i="21"/>
  <c r="BF16" i="21"/>
  <c r="C16" i="21"/>
  <c r="BF15" i="21"/>
  <c r="C15" i="21"/>
  <c r="BF14" i="21"/>
  <c r="C14" i="21"/>
  <c r="BF13" i="21"/>
  <c r="C13" i="21"/>
  <c r="BF12" i="21"/>
  <c r="C12" i="21"/>
  <c r="BF11" i="21"/>
  <c r="C11" i="21"/>
  <c r="BF10" i="21"/>
  <c r="C10" i="21"/>
  <c r="BF9" i="21"/>
  <c r="C9" i="21"/>
  <c r="BF8" i="21"/>
  <c r="C8" i="21"/>
  <c r="BF7" i="21"/>
  <c r="C7" i="21"/>
  <c r="C57" i="3"/>
  <c r="B57" i="3"/>
  <c r="G56" i="3"/>
  <c r="F56" i="3"/>
  <c r="G55" i="3"/>
  <c r="F55" i="3"/>
  <c r="G54" i="3"/>
  <c r="G53" i="3" s="1"/>
  <c r="F54" i="3"/>
  <c r="M53" i="3"/>
  <c r="L53" i="3"/>
  <c r="J53" i="3"/>
  <c r="I53" i="3"/>
  <c r="I49" i="3"/>
  <c r="G47" i="3"/>
  <c r="F47" i="3"/>
  <c r="G46" i="3"/>
  <c r="F46" i="3"/>
  <c r="G45" i="3"/>
  <c r="F45" i="3"/>
  <c r="G44" i="3"/>
  <c r="F44" i="3"/>
  <c r="F43" i="3"/>
  <c r="G42" i="3"/>
  <c r="F42" i="3"/>
  <c r="G41" i="3"/>
  <c r="F41" i="3"/>
  <c r="G40" i="3"/>
  <c r="F40" i="3"/>
  <c r="G39" i="3"/>
  <c r="F39" i="3"/>
  <c r="G38" i="3"/>
  <c r="G37" i="3" s="1"/>
  <c r="F38" i="3"/>
  <c r="M37" i="3"/>
  <c r="L37" i="3"/>
  <c r="J37" i="3"/>
  <c r="I37" i="3"/>
  <c r="C37" i="3"/>
  <c r="B37" i="3"/>
  <c r="G36" i="3"/>
  <c r="F36" i="3"/>
  <c r="G35" i="3"/>
  <c r="F35" i="3"/>
  <c r="G34" i="3"/>
  <c r="G33" i="3"/>
  <c r="F33" i="3"/>
  <c r="G32" i="3"/>
  <c r="F32" i="3"/>
  <c r="M31" i="3"/>
  <c r="L31" i="3"/>
  <c r="J31" i="3"/>
  <c r="I31" i="3"/>
  <c r="C31" i="3"/>
  <c r="B31" i="3"/>
  <c r="G30" i="3"/>
  <c r="F29" i="3"/>
  <c r="G28" i="3"/>
  <c r="G27" i="3"/>
  <c r="M26" i="3"/>
  <c r="L26" i="3"/>
  <c r="L49" i="3" s="1"/>
  <c r="J26" i="3"/>
  <c r="I26" i="3"/>
  <c r="C26" i="3"/>
  <c r="B26" i="3"/>
  <c r="G25" i="3"/>
  <c r="F25" i="3"/>
  <c r="G24" i="3"/>
  <c r="F24" i="3"/>
  <c r="G23" i="3"/>
  <c r="F23" i="3"/>
  <c r="G22" i="3"/>
  <c r="F22" i="3"/>
  <c r="M21" i="3"/>
  <c r="L21" i="3"/>
  <c r="J21" i="3"/>
  <c r="J49" i="3" s="1"/>
  <c r="I21" i="3"/>
  <c r="C21" i="3"/>
  <c r="C49" i="3" s="1"/>
  <c r="B21" i="3"/>
  <c r="G18" i="3"/>
  <c r="G17" i="3"/>
  <c r="F17" i="3"/>
  <c r="G16" i="3"/>
  <c r="G15" i="3"/>
  <c r="G14" i="3" s="1"/>
  <c r="F15" i="3"/>
  <c r="M14" i="3"/>
  <c r="M19" i="3" s="1"/>
  <c r="L14" i="3"/>
  <c r="J14" i="3"/>
  <c r="J19" i="3" s="1"/>
  <c r="J50" i="3" s="1"/>
  <c r="J57" i="3" s="1"/>
  <c r="I14" i="3"/>
  <c r="C14" i="3"/>
  <c r="B14" i="3"/>
  <c r="G13" i="3"/>
  <c r="F13" i="3"/>
  <c r="G12" i="3"/>
  <c r="F12" i="3"/>
  <c r="G11" i="3"/>
  <c r="F11" i="3"/>
  <c r="G10" i="3"/>
  <c r="M9" i="3"/>
  <c r="L9" i="3"/>
  <c r="L19" i="3" s="1"/>
  <c r="L50" i="3" s="1"/>
  <c r="L57" i="3" s="1"/>
  <c r="J9" i="3"/>
  <c r="I9" i="3"/>
  <c r="C9" i="3"/>
  <c r="B9" i="3"/>
  <c r="B19" i="3" s="1"/>
  <c r="BD98" i="19"/>
  <c r="BC98" i="19"/>
  <c r="BB98" i="19"/>
  <c r="BA98" i="19"/>
  <c r="AZ98" i="19"/>
  <c r="AY98" i="19"/>
  <c r="AX98" i="19"/>
  <c r="AW98" i="19"/>
  <c r="AV98" i="19"/>
  <c r="AU98" i="19"/>
  <c r="AT98" i="19"/>
  <c r="AS98" i="19"/>
  <c r="AR98" i="19"/>
  <c r="AQ98" i="19"/>
  <c r="AP98" i="19"/>
  <c r="AO98" i="19"/>
  <c r="AN98" i="19"/>
  <c r="AM98" i="19"/>
  <c r="AL98" i="19"/>
  <c r="AK98" i="19"/>
  <c r="AJ98" i="19"/>
  <c r="AI98" i="19"/>
  <c r="AH98" i="19"/>
  <c r="AG98" i="19"/>
  <c r="AF98" i="19"/>
  <c r="AE98" i="19"/>
  <c r="AD98" i="19"/>
  <c r="AC98" i="19"/>
  <c r="AB98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E98" i="19"/>
  <c r="D98" i="19"/>
  <c r="BD96" i="19"/>
  <c r="BC96" i="19"/>
  <c r="BB96" i="19"/>
  <c r="BA96" i="19"/>
  <c r="AZ96" i="19"/>
  <c r="AY96" i="19"/>
  <c r="AX96" i="19"/>
  <c r="AW96" i="19"/>
  <c r="AV96" i="19"/>
  <c r="AU96" i="19"/>
  <c r="AT96" i="19"/>
  <c r="AS96" i="19"/>
  <c r="AR96" i="19"/>
  <c r="AQ96" i="19"/>
  <c r="AP96" i="19"/>
  <c r="AO96" i="19"/>
  <c r="AN96" i="19"/>
  <c r="AM96" i="19"/>
  <c r="AL96" i="19"/>
  <c r="AK96" i="19"/>
  <c r="AJ96" i="19"/>
  <c r="AI96" i="19"/>
  <c r="AH96" i="19"/>
  <c r="AG96" i="19"/>
  <c r="AF96" i="19"/>
  <c r="AE96" i="19"/>
  <c r="AD96" i="19"/>
  <c r="AC96" i="19"/>
  <c r="AB96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E96" i="19"/>
  <c r="D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BD119" i="28"/>
  <c r="BC119" i="28"/>
  <c r="BB119" i="28"/>
  <c r="BA119" i="28"/>
  <c r="AZ119" i="28"/>
  <c r="AY119" i="28"/>
  <c r="AX119" i="28"/>
  <c r="AW119" i="28"/>
  <c r="AV119" i="28"/>
  <c r="AU119" i="28"/>
  <c r="AT119" i="28"/>
  <c r="AS119" i="28"/>
  <c r="AR119" i="28"/>
  <c r="AQ119" i="28"/>
  <c r="AP119" i="28"/>
  <c r="AO119" i="28"/>
  <c r="AN119" i="28"/>
  <c r="AJ119" i="28"/>
  <c r="AI119" i="28"/>
  <c r="AH119" i="28"/>
  <c r="AG119" i="28"/>
  <c r="AF119" i="28"/>
  <c r="AE119" i="28"/>
  <c r="AD119" i="28"/>
  <c r="AC119" i="28"/>
  <c r="AA119" i="28"/>
  <c r="Z119" i="28"/>
  <c r="Y119" i="28"/>
  <c r="X119" i="28"/>
  <c r="W119" i="28"/>
  <c r="U119" i="28"/>
  <c r="S119" i="28"/>
  <c r="R119" i="28"/>
  <c r="N119" i="28"/>
  <c r="M119" i="28"/>
  <c r="K119" i="28"/>
  <c r="J119" i="28"/>
  <c r="I119" i="28"/>
  <c r="H119" i="28"/>
  <c r="F119" i="28"/>
  <c r="E119" i="28"/>
  <c r="AP118" i="28"/>
  <c r="AI118" i="28"/>
  <c r="M118" i="28"/>
  <c r="K118" i="28"/>
  <c r="BO117" i="28"/>
  <c r="BE117" i="28"/>
  <c r="BH117" i="28" s="1"/>
  <c r="BO116" i="28"/>
  <c r="BF116" i="28"/>
  <c r="BD116" i="28"/>
  <c r="BC116" i="28"/>
  <c r="BB116" i="28"/>
  <c r="BA116" i="28"/>
  <c r="AX116" i="28"/>
  <c r="AW116" i="28"/>
  <c r="AV116" i="28"/>
  <c r="AT116" i="28"/>
  <c r="AS116" i="28"/>
  <c r="AR116" i="28"/>
  <c r="AQ116" i="28"/>
  <c r="AP116" i="28"/>
  <c r="AO116" i="28"/>
  <c r="AN116" i="28"/>
  <c r="AJ116" i="28"/>
  <c r="AI116" i="28"/>
  <c r="AH116" i="28"/>
  <c r="AG116" i="28"/>
  <c r="AF116" i="28"/>
  <c r="AE116" i="28"/>
  <c r="AD116" i="28"/>
  <c r="AC116" i="28"/>
  <c r="AA116" i="28"/>
  <c r="Z116" i="28"/>
  <c r="Y116" i="28"/>
  <c r="X116" i="28"/>
  <c r="W116" i="28"/>
  <c r="U116" i="28"/>
  <c r="S116" i="28"/>
  <c r="R116" i="28"/>
  <c r="N116" i="28"/>
  <c r="M116" i="28"/>
  <c r="K116" i="28"/>
  <c r="J116" i="28"/>
  <c r="I116" i="28"/>
  <c r="H116" i="28"/>
  <c r="F116" i="28"/>
  <c r="E116" i="28"/>
  <c r="BO115" i="28"/>
  <c r="BF115" i="28"/>
  <c r="BE115" i="28"/>
  <c r="BH115" i="28" s="1"/>
  <c r="BO114" i="28"/>
  <c r="BF114" i="28"/>
  <c r="BE114" i="28"/>
  <c r="BO113" i="28"/>
  <c r="BF113" i="28"/>
  <c r="BE113" i="28"/>
  <c r="BO112" i="28"/>
  <c r="BF112" i="28"/>
  <c r="BE112" i="28"/>
  <c r="BO111" i="28"/>
  <c r="BF111" i="28"/>
  <c r="BD111" i="28"/>
  <c r="BC111" i="28"/>
  <c r="BB111" i="28"/>
  <c r="BA111" i="28"/>
  <c r="AX111" i="28"/>
  <c r="AW111" i="28"/>
  <c r="AV111" i="28"/>
  <c r="AT111" i="28"/>
  <c r="AS111" i="28"/>
  <c r="AR111" i="28"/>
  <c r="AQ111" i="28"/>
  <c r="AP111" i="28"/>
  <c r="AO111" i="28"/>
  <c r="AN111" i="28"/>
  <c r="AJ111" i="28"/>
  <c r="AI111" i="28"/>
  <c r="AH111" i="28"/>
  <c r="AG111" i="28"/>
  <c r="AF111" i="28"/>
  <c r="AE111" i="28"/>
  <c r="AD111" i="28"/>
  <c r="AC111" i="28"/>
  <c r="AA111" i="28"/>
  <c r="Z111" i="28"/>
  <c r="Y111" i="28"/>
  <c r="X111" i="28"/>
  <c r="W111" i="28"/>
  <c r="U111" i="28"/>
  <c r="S111" i="28"/>
  <c r="R111" i="28"/>
  <c r="N111" i="28"/>
  <c r="M111" i="28"/>
  <c r="K111" i="28"/>
  <c r="J111" i="28"/>
  <c r="I111" i="28"/>
  <c r="H111" i="28"/>
  <c r="F111" i="28"/>
  <c r="E111" i="28"/>
  <c r="BO110" i="28"/>
  <c r="BF110" i="28"/>
  <c r="BE110" i="28"/>
  <c r="BH110" i="28" s="1"/>
  <c r="BO109" i="28"/>
  <c r="BF109" i="28"/>
  <c r="BE109" i="28"/>
  <c r="BH109" i="28" s="1"/>
  <c r="BO108" i="28"/>
  <c r="BE108" i="28"/>
  <c r="BO107" i="28"/>
  <c r="BE107" i="28"/>
  <c r="BH107" i="28" s="1"/>
  <c r="BO106" i="28"/>
  <c r="BE106" i="28"/>
  <c r="BG106" i="28" s="1"/>
  <c r="BO105" i="28"/>
  <c r="BE105" i="28"/>
  <c r="BH105" i="28" s="1"/>
  <c r="BO104" i="28"/>
  <c r="BE104" i="28"/>
  <c r="BG104" i="28" s="1"/>
  <c r="BO103" i="28"/>
  <c r="BE103" i="28"/>
  <c r="BH103" i="28" s="1"/>
  <c r="BO102" i="28"/>
  <c r="BF102" i="28"/>
  <c r="BE102" i="28"/>
  <c r="BO101" i="28"/>
  <c r="BF101" i="28"/>
  <c r="BE101" i="28"/>
  <c r="BO100" i="28"/>
  <c r="BF100" i="28"/>
  <c r="BE100" i="28"/>
  <c r="BO99" i="28"/>
  <c r="BE99" i="28"/>
  <c r="BO98" i="28"/>
  <c r="BE98" i="28"/>
  <c r="BH98" i="28" s="1"/>
  <c r="BO97" i="28"/>
  <c r="BE97" i="28"/>
  <c r="BO96" i="28"/>
  <c r="BE96" i="28"/>
  <c r="BH96" i="28" s="1"/>
  <c r="BO95" i="28"/>
  <c r="BE95" i="28"/>
  <c r="BG95" i="28" s="1"/>
  <c r="BO94" i="28"/>
  <c r="BE94" i="28"/>
  <c r="BG94" i="28" s="1"/>
  <c r="BO93" i="28"/>
  <c r="BE93" i="28"/>
  <c r="BH93" i="28" s="1"/>
  <c r="BO92" i="28"/>
  <c r="BE92" i="28"/>
  <c r="BO91" i="28"/>
  <c r="BE91" i="28"/>
  <c r="BO90" i="28"/>
  <c r="BE90" i="28"/>
  <c r="BO89" i="28"/>
  <c r="BE89" i="28"/>
  <c r="BH89" i="28" s="1"/>
  <c r="BO88" i="28"/>
  <c r="BE88" i="28"/>
  <c r="BG88" i="28" s="1"/>
  <c r="BO87" i="28"/>
  <c r="BE87" i="28"/>
  <c r="BO86" i="28"/>
  <c r="BE86" i="28"/>
  <c r="BH86" i="28" s="1"/>
  <c r="BO85" i="28"/>
  <c r="BE85" i="28"/>
  <c r="BH85" i="28" s="1"/>
  <c r="BO84" i="28"/>
  <c r="BE84" i="28"/>
  <c r="BH84" i="28" s="1"/>
  <c r="BO83" i="28"/>
  <c r="BE83" i="28"/>
  <c r="BH83" i="28" s="1"/>
  <c r="BO82" i="28"/>
  <c r="BE82" i="28"/>
  <c r="BH82" i="28" s="1"/>
  <c r="BO81" i="28"/>
  <c r="BE81" i="28"/>
  <c r="BH81" i="28" s="1"/>
  <c r="BO80" i="28"/>
  <c r="BE80" i="28"/>
  <c r="BH80" i="28" s="1"/>
  <c r="BO79" i="28"/>
  <c r="BE79" i="28"/>
  <c r="BH79" i="28" s="1"/>
  <c r="BO78" i="28"/>
  <c r="BE78" i="28"/>
  <c r="BH78" i="28" s="1"/>
  <c r="BO77" i="28"/>
  <c r="BE77" i="28"/>
  <c r="BO76" i="28"/>
  <c r="BE76" i="28"/>
  <c r="BH76" i="28" s="1"/>
  <c r="BO75" i="28"/>
  <c r="BE75" i="28"/>
  <c r="BH75" i="28" s="1"/>
  <c r="BO74" i="28"/>
  <c r="BE74" i="28"/>
  <c r="BO73" i="28"/>
  <c r="BE73" i="28"/>
  <c r="BO72" i="28"/>
  <c r="BE72" i="28"/>
  <c r="BO71" i="28"/>
  <c r="BE71" i="28"/>
  <c r="BG71" i="28" s="1"/>
  <c r="BO70" i="28"/>
  <c r="BE70" i="28"/>
  <c r="BO69" i="28"/>
  <c r="BE69" i="28"/>
  <c r="BH69" i="28" s="1"/>
  <c r="BO68" i="28"/>
  <c r="BE68" i="28"/>
  <c r="BO67" i="28"/>
  <c r="BE67" i="28"/>
  <c r="BG67" i="28" s="1"/>
  <c r="BO66" i="28"/>
  <c r="BE66" i="28"/>
  <c r="BH66" i="28" s="1"/>
  <c r="BO65" i="28"/>
  <c r="BE65" i="28"/>
  <c r="BH65" i="28" s="1"/>
  <c r="BO64" i="28"/>
  <c r="BE64" i="28"/>
  <c r="BG64" i="28" s="1"/>
  <c r="BO63" i="28"/>
  <c r="BE63" i="28"/>
  <c r="BG63" i="28" s="1"/>
  <c r="BO62" i="28"/>
  <c r="BE62" i="28"/>
  <c r="BH62" i="28" s="1"/>
  <c r="BO61" i="28"/>
  <c r="BE61" i="28"/>
  <c r="BO60" i="28"/>
  <c r="BE60" i="28"/>
  <c r="BO59" i="28"/>
  <c r="BE59" i="28"/>
  <c r="BG59" i="28" s="1"/>
  <c r="BO58" i="28"/>
  <c r="BE58" i="28"/>
  <c r="BH58" i="28" s="1"/>
  <c r="BO57" i="28"/>
  <c r="BE57" i="28"/>
  <c r="BO56" i="28"/>
  <c r="BE56" i="28"/>
  <c r="BH56" i="28" s="1"/>
  <c r="BO55" i="28"/>
  <c r="BE55" i="28"/>
  <c r="BO54" i="28"/>
  <c r="BE54" i="28"/>
  <c r="BH54" i="28" s="1"/>
  <c r="BO53" i="28"/>
  <c r="BE53" i="28"/>
  <c r="BG53" i="28" s="1"/>
  <c r="BO52" i="28"/>
  <c r="BE52" i="28"/>
  <c r="BG52" i="28" s="1"/>
  <c r="BO51" i="28"/>
  <c r="BE51" i="28"/>
  <c r="BG51" i="28" s="1"/>
  <c r="BO50" i="28"/>
  <c r="BE50" i="28"/>
  <c r="BG50" i="28" s="1"/>
  <c r="BO49" i="28"/>
  <c r="BE49" i="28"/>
  <c r="BH49" i="28" s="1"/>
  <c r="BO48" i="28"/>
  <c r="BE48" i="28"/>
  <c r="BG48" i="28" s="1"/>
  <c r="BO47" i="28"/>
  <c r="BE47" i="28"/>
  <c r="BO46" i="28"/>
  <c r="BE46" i="28"/>
  <c r="BO45" i="28"/>
  <c r="BE45" i="28"/>
  <c r="BG45" i="28" s="1"/>
  <c r="BO44" i="28"/>
  <c r="BE44" i="28"/>
  <c r="BO43" i="28"/>
  <c r="BE43" i="28"/>
  <c r="BH43" i="28" s="1"/>
  <c r="BO42" i="28"/>
  <c r="BE42" i="28"/>
  <c r="BG42" i="28" s="1"/>
  <c r="BO41" i="28"/>
  <c r="BE41" i="28"/>
  <c r="BH41" i="28" s="1"/>
  <c r="BO40" i="28"/>
  <c r="BE40" i="28"/>
  <c r="BO39" i="28"/>
  <c r="BE39" i="28"/>
  <c r="BG39" i="28" s="1"/>
  <c r="BO38" i="28"/>
  <c r="BE38" i="28"/>
  <c r="BH38" i="28" s="1"/>
  <c r="BO37" i="28"/>
  <c r="BE37" i="28"/>
  <c r="BO36" i="28"/>
  <c r="BE36" i="28"/>
  <c r="BG36" i="28" s="1"/>
  <c r="BO35" i="28"/>
  <c r="BE35" i="28"/>
  <c r="BH35" i="28" s="1"/>
  <c r="BO34" i="28"/>
  <c r="BE34" i="28"/>
  <c r="BO33" i="28"/>
  <c r="BE33" i="28"/>
  <c r="BO32" i="28"/>
  <c r="BE32" i="28"/>
  <c r="BO31" i="28"/>
  <c r="BE31" i="28"/>
  <c r="BH31" i="28" s="1"/>
  <c r="BO30" i="28"/>
  <c r="BE30" i="28"/>
  <c r="BH30" i="28" s="1"/>
  <c r="BO29" i="28"/>
  <c r="BE29" i="28"/>
  <c r="BO28" i="28"/>
  <c r="BE28" i="28"/>
  <c r="BH28" i="28" s="1"/>
  <c r="BO27" i="28"/>
  <c r="BE27" i="28"/>
  <c r="BH27" i="28" s="1"/>
  <c r="BO26" i="28"/>
  <c r="BE26" i="28"/>
  <c r="BH26" i="28" s="1"/>
  <c r="BO25" i="28"/>
  <c r="BE25" i="28"/>
  <c r="BH25" i="28" s="1"/>
  <c r="BO24" i="28"/>
  <c r="BE24" i="28"/>
  <c r="BH24" i="28" s="1"/>
  <c r="BO23" i="28"/>
  <c r="BE23" i="28"/>
  <c r="BH23" i="28" s="1"/>
  <c r="BO22" i="28"/>
  <c r="BE22" i="28"/>
  <c r="BO21" i="28"/>
  <c r="BE21" i="28"/>
  <c r="BO20" i="28"/>
  <c r="BE20" i="28"/>
  <c r="BH20" i="28" s="1"/>
  <c r="BO19" i="28"/>
  <c r="BE19" i="28"/>
  <c r="BO18" i="28"/>
  <c r="BE18" i="28"/>
  <c r="BH18" i="28" s="1"/>
  <c r="BO17" i="28"/>
  <c r="BE17" i="28"/>
  <c r="BG17" i="28" s="1"/>
  <c r="BO16" i="28"/>
  <c r="BE16" i="28"/>
  <c r="BH16" i="28" s="1"/>
  <c r="BO15" i="28"/>
  <c r="BE15" i="28"/>
  <c r="BO14" i="28"/>
  <c r="BE14" i="28"/>
  <c r="BO13" i="28"/>
  <c r="BE13" i="28"/>
  <c r="BH13" i="28" s="1"/>
  <c r="BO12" i="28"/>
  <c r="BE12" i="28"/>
  <c r="BH12" i="28" s="1"/>
  <c r="BO11" i="28"/>
  <c r="BE11" i="28"/>
  <c r="P104" i="10"/>
  <c r="BE103" i="10"/>
  <c r="BH103" i="10" s="1"/>
  <c r="BF102" i="10"/>
  <c r="BD102" i="10"/>
  <c r="BC102" i="10"/>
  <c r="BB102" i="10"/>
  <c r="BA102" i="10"/>
  <c r="H2969" i="11" s="1"/>
  <c r="AX102" i="10"/>
  <c r="CM18" i="12" s="1"/>
  <c r="AW102" i="10"/>
  <c r="H2813" i="11" s="1"/>
  <c r="AV102" i="10"/>
  <c r="AT102" i="10"/>
  <c r="AS102" i="10"/>
  <c r="AR102" i="10"/>
  <c r="AP102" i="10"/>
  <c r="AO102" i="10"/>
  <c r="H2267" i="11" s="1"/>
  <c r="AN102" i="10"/>
  <c r="AJ102" i="10"/>
  <c r="AI102" i="10"/>
  <c r="BI18" i="12" s="1"/>
  <c r="AH102" i="10"/>
  <c r="BG18" i="12" s="1"/>
  <c r="AG102" i="10"/>
  <c r="BE18" i="12" s="1"/>
  <c r="AF102" i="10"/>
  <c r="BC18" i="12" s="1"/>
  <c r="AE102" i="10"/>
  <c r="AD102" i="10"/>
  <c r="AC102" i="10"/>
  <c r="AA102" i="10"/>
  <c r="Z102" i="10"/>
  <c r="Y102" i="10"/>
  <c r="H1331" i="11" s="1"/>
  <c r="X102" i="10"/>
  <c r="W102" i="10"/>
  <c r="U102" i="10"/>
  <c r="S102" i="10"/>
  <c r="AC18" i="12" s="1"/>
  <c r="R102" i="10"/>
  <c r="H863" i="11" s="1"/>
  <c r="N102" i="10"/>
  <c r="H629" i="11" s="1"/>
  <c r="M102" i="10"/>
  <c r="K102" i="10"/>
  <c r="J102" i="10"/>
  <c r="BF101" i="10"/>
  <c r="BC101" i="10"/>
  <c r="BA101" i="10"/>
  <c r="AX101" i="10"/>
  <c r="AW101" i="10"/>
  <c r="AV101" i="10"/>
  <c r="AR101" i="10"/>
  <c r="AJ101" i="10"/>
  <c r="AI101" i="10"/>
  <c r="AF101" i="10"/>
  <c r="AE101" i="10"/>
  <c r="AD101" i="10"/>
  <c r="AC101" i="10"/>
  <c r="Z101" i="10"/>
  <c r="V101" i="10"/>
  <c r="U101" i="10"/>
  <c r="T101" i="10"/>
  <c r="S101" i="10"/>
  <c r="BF100" i="10"/>
  <c r="BD100" i="10"/>
  <c r="BC100" i="10"/>
  <c r="BB100" i="10"/>
  <c r="H3045" i="11" s="1"/>
  <c r="BA100" i="10"/>
  <c r="AX100" i="10"/>
  <c r="AW100" i="10"/>
  <c r="AV100" i="10"/>
  <c r="AT100" i="10"/>
  <c r="AS100" i="10"/>
  <c r="AR100" i="10"/>
  <c r="AO100" i="10"/>
  <c r="AN100" i="10"/>
  <c r="AM100" i="10"/>
  <c r="AK100" i="10"/>
  <c r="AJ100" i="10"/>
  <c r="AI100" i="10"/>
  <c r="AH100" i="10"/>
  <c r="AF100" i="10"/>
  <c r="AE100" i="10"/>
  <c r="AD100" i="10"/>
  <c r="AC100" i="10"/>
  <c r="AA100" i="10"/>
  <c r="Z100" i="10"/>
  <c r="Y100" i="10"/>
  <c r="X100" i="10"/>
  <c r="W100" i="10"/>
  <c r="V100" i="10"/>
  <c r="U100" i="10"/>
  <c r="S100" i="10"/>
  <c r="M100" i="10"/>
  <c r="L100" i="10"/>
  <c r="K100" i="10"/>
  <c r="I100" i="10"/>
  <c r="H100" i="10"/>
  <c r="F100" i="10"/>
  <c r="E100" i="10"/>
  <c r="BF99" i="10"/>
  <c r="BC99" i="10"/>
  <c r="BA99" i="10"/>
  <c r="AX99" i="10"/>
  <c r="AW99" i="10"/>
  <c r="AV99" i="10"/>
  <c r="AR99" i="10"/>
  <c r="AM99" i="10"/>
  <c r="AH99" i="10"/>
  <c r="AF99" i="10"/>
  <c r="AE99" i="10"/>
  <c r="AD99" i="10"/>
  <c r="AC99" i="10"/>
  <c r="AB99" i="10"/>
  <c r="AA99" i="10"/>
  <c r="Z99" i="10"/>
  <c r="V99" i="10"/>
  <c r="U99" i="10"/>
  <c r="S99" i="10"/>
  <c r="R99" i="10"/>
  <c r="M99" i="10"/>
  <c r="L99" i="10"/>
  <c r="H99" i="10"/>
  <c r="F99" i="10"/>
  <c r="E17" i="12" s="1"/>
  <c r="E99" i="10"/>
  <c r="BF98" i="10"/>
  <c r="BC98" i="10"/>
  <c r="BB98" i="10"/>
  <c r="BA98" i="10"/>
  <c r="AX98" i="10"/>
  <c r="AW98" i="10"/>
  <c r="AV98" i="10"/>
  <c r="AT98" i="10"/>
  <c r="AS98" i="10"/>
  <c r="AR98" i="10"/>
  <c r="AP98" i="10"/>
  <c r="AO98" i="10"/>
  <c r="BU17" i="12" s="1"/>
  <c r="AM98" i="10"/>
  <c r="AL98" i="10"/>
  <c r="AJ98" i="10"/>
  <c r="AI98" i="10"/>
  <c r="AH98" i="10"/>
  <c r="AG98" i="10"/>
  <c r="AF98" i="10"/>
  <c r="AE98" i="10"/>
  <c r="BA17" i="12" s="1"/>
  <c r="AD98" i="10"/>
  <c r="AC98" i="10"/>
  <c r="AB98" i="10"/>
  <c r="AA98" i="10"/>
  <c r="Z98" i="10"/>
  <c r="Y98" i="10"/>
  <c r="X98" i="10"/>
  <c r="W98" i="10"/>
  <c r="V98" i="10"/>
  <c r="U98" i="10"/>
  <c r="S98" i="10"/>
  <c r="AC17" i="12" s="1"/>
  <c r="R98" i="10"/>
  <c r="N98" i="10"/>
  <c r="M98" i="10"/>
  <c r="L98" i="10"/>
  <c r="J98" i="10"/>
  <c r="M17" i="12" s="1"/>
  <c r="I98" i="10"/>
  <c r="H98" i="10"/>
  <c r="G98" i="10"/>
  <c r="F98" i="10"/>
  <c r="E98" i="10"/>
  <c r="BF97" i="10"/>
  <c r="BD97" i="10"/>
  <c r="BC97" i="10"/>
  <c r="BB97" i="10"/>
  <c r="BA97" i="10"/>
  <c r="AX97" i="10"/>
  <c r="H2886" i="11" s="1"/>
  <c r="AW97" i="10"/>
  <c r="H2808" i="11" s="1"/>
  <c r="AV97" i="10"/>
  <c r="AT97" i="10"/>
  <c r="AS97" i="10"/>
  <c r="AR97" i="10"/>
  <c r="AP97" i="10"/>
  <c r="AO97" i="10"/>
  <c r="AN97" i="10"/>
  <c r="AM97" i="10"/>
  <c r="AK97" i="10"/>
  <c r="AJ97" i="10"/>
  <c r="H2106" i="11" s="1"/>
  <c r="AI97" i="10"/>
  <c r="AH97" i="10"/>
  <c r="AG97" i="10"/>
  <c r="H1872" i="11" s="1"/>
  <c r="AF97" i="10"/>
  <c r="AE97" i="10"/>
  <c r="AD97" i="10"/>
  <c r="AC97" i="10"/>
  <c r="AB97" i="10"/>
  <c r="AA97" i="10"/>
  <c r="AS16" i="12" s="1"/>
  <c r="Z97" i="10"/>
  <c r="Y97" i="10"/>
  <c r="X97" i="10"/>
  <c r="H1248" i="11" s="1"/>
  <c r="W97" i="10"/>
  <c r="AK16" i="12" s="1"/>
  <c r="V97" i="10"/>
  <c r="U97" i="10"/>
  <c r="T97" i="10"/>
  <c r="S97" i="10"/>
  <c r="R97" i="10"/>
  <c r="Q97" i="10"/>
  <c r="O97" i="10"/>
  <c r="N97" i="10"/>
  <c r="M97" i="10"/>
  <c r="L97" i="10"/>
  <c r="K97" i="10"/>
  <c r="J97" i="10"/>
  <c r="M16" i="12" s="1"/>
  <c r="I97" i="10"/>
  <c r="H97" i="10"/>
  <c r="F97" i="10"/>
  <c r="E97" i="10"/>
  <c r="BF96" i="10"/>
  <c r="BD96" i="10"/>
  <c r="BC96" i="10"/>
  <c r="BB96" i="10"/>
  <c r="BA96" i="10"/>
  <c r="AX96" i="10"/>
  <c r="AW96" i="10"/>
  <c r="AV96" i="10"/>
  <c r="AT96" i="10"/>
  <c r="AS96" i="10"/>
  <c r="AR96" i="10"/>
  <c r="AO96" i="10"/>
  <c r="AN96" i="10"/>
  <c r="AM96" i="10"/>
  <c r="AL96" i="10"/>
  <c r="AJ96" i="10"/>
  <c r="AI96" i="10"/>
  <c r="AH96" i="10"/>
  <c r="AG96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S96" i="10"/>
  <c r="AC16" i="12" s="1"/>
  <c r="R96" i="10"/>
  <c r="N96" i="10"/>
  <c r="L96" i="10"/>
  <c r="K96" i="10"/>
  <c r="J96" i="10"/>
  <c r="I96" i="10"/>
  <c r="H96" i="10"/>
  <c r="F96" i="10"/>
  <c r="E96" i="10"/>
  <c r="BF95" i="10"/>
  <c r="BD95" i="10"/>
  <c r="BC95" i="10"/>
  <c r="CW16" i="12" s="1"/>
  <c r="BB95" i="10"/>
  <c r="BA95" i="10"/>
  <c r="AX95" i="10"/>
  <c r="AW95" i="10"/>
  <c r="AV95" i="10"/>
  <c r="AU95" i="10"/>
  <c r="AT95" i="10"/>
  <c r="AS95" i="10"/>
  <c r="AR95" i="10"/>
  <c r="AP95" i="10"/>
  <c r="AO95" i="10"/>
  <c r="AN95" i="10"/>
  <c r="AL95" i="10"/>
  <c r="AJ95" i="10"/>
  <c r="AI95" i="10"/>
  <c r="AH95" i="10"/>
  <c r="AG95" i="10"/>
  <c r="AF95" i="10"/>
  <c r="AE95" i="10"/>
  <c r="AD95" i="10"/>
  <c r="AC95" i="10"/>
  <c r="AA95" i="10"/>
  <c r="Z95" i="10"/>
  <c r="Y95" i="10"/>
  <c r="AO16" i="12" s="1"/>
  <c r="X95" i="10"/>
  <c r="W95" i="10"/>
  <c r="V95" i="10"/>
  <c r="U95" i="10"/>
  <c r="S95" i="10"/>
  <c r="R95" i="10"/>
  <c r="N95" i="10"/>
  <c r="M95" i="10"/>
  <c r="L95" i="10"/>
  <c r="K95" i="10"/>
  <c r="J95" i="10"/>
  <c r="I95" i="10"/>
  <c r="H95" i="10"/>
  <c r="F95" i="10"/>
  <c r="E95" i="10"/>
  <c r="BD94" i="10"/>
  <c r="BC94" i="10"/>
  <c r="BB94" i="10"/>
  <c r="BA94" i="10"/>
  <c r="H2961" i="11" s="1"/>
  <c r="AZ94" i="10"/>
  <c r="CQ33" i="12" s="1"/>
  <c r="AY94" i="10"/>
  <c r="CO33" i="12" s="1"/>
  <c r="AX94" i="10"/>
  <c r="AW94" i="10"/>
  <c r="CK33" i="12" s="1"/>
  <c r="AV94" i="10"/>
  <c r="H2727" i="11" s="1"/>
  <c r="AU94" i="10"/>
  <c r="CG33" i="12" s="1"/>
  <c r="AT94" i="10"/>
  <c r="CE33" i="12" s="1"/>
  <c r="AS94" i="10"/>
  <c r="AR94" i="10"/>
  <c r="AQ94" i="10"/>
  <c r="AP94" i="10"/>
  <c r="AO94" i="10"/>
  <c r="BU33" i="12" s="1"/>
  <c r="AN94" i="10"/>
  <c r="BS33" i="12" s="1"/>
  <c r="AM94" i="10"/>
  <c r="AL94" i="10"/>
  <c r="AK94" i="10"/>
  <c r="BM33" i="12" s="1"/>
  <c r="AJ94" i="10"/>
  <c r="BK33" i="12" s="1"/>
  <c r="AI94" i="10"/>
  <c r="H2025" i="11" s="1"/>
  <c r="AH94" i="10"/>
  <c r="H1947" i="11" s="1"/>
  <c r="AG94" i="10"/>
  <c r="AF94" i="10"/>
  <c r="AE94" i="10"/>
  <c r="AD94" i="10"/>
  <c r="AC94" i="10"/>
  <c r="AW33" i="12" s="1"/>
  <c r="AB94" i="10"/>
  <c r="AU33" i="12" s="1"/>
  <c r="AA94" i="10"/>
  <c r="AS33" i="12" s="1"/>
  <c r="Z94" i="10"/>
  <c r="Y94" i="10"/>
  <c r="AO33" i="12" s="1"/>
  <c r="X94" i="10"/>
  <c r="H1245" i="11" s="1"/>
  <c r="W94" i="10"/>
  <c r="H1167" i="11" s="1"/>
  <c r="V94" i="10"/>
  <c r="AI33" i="12" s="1"/>
  <c r="U94" i="10"/>
  <c r="T94" i="10"/>
  <c r="S94" i="10"/>
  <c r="R94" i="10"/>
  <c r="O94" i="10"/>
  <c r="DA33" i="12" s="1"/>
  <c r="N94" i="10"/>
  <c r="U33" i="12" s="1"/>
  <c r="M94" i="10"/>
  <c r="S33" i="12" s="1"/>
  <c r="L94" i="10"/>
  <c r="K94" i="10"/>
  <c r="H465" i="11" s="1"/>
  <c r="J94" i="10"/>
  <c r="M33" i="12" s="1"/>
  <c r="I94" i="10"/>
  <c r="K33" i="12" s="1"/>
  <c r="H94" i="10"/>
  <c r="I33" i="12" s="1"/>
  <c r="G94" i="10"/>
  <c r="G33" i="12" s="1"/>
  <c r="F94" i="10"/>
  <c r="E94" i="10"/>
  <c r="AR93" i="10"/>
  <c r="AP93" i="10"/>
  <c r="AO93" i="10"/>
  <c r="AM93" i="10"/>
  <c r="AJ93" i="10"/>
  <c r="AI93" i="10"/>
  <c r="BI30" i="12" s="1"/>
  <c r="AH93" i="10"/>
  <c r="AG93" i="10"/>
  <c r="AF93" i="10"/>
  <c r="AE93" i="10"/>
  <c r="AD93" i="10"/>
  <c r="AC93" i="10"/>
  <c r="AB93" i="10"/>
  <c r="AU30" i="12" s="1"/>
  <c r="AA93" i="10"/>
  <c r="Z93" i="10"/>
  <c r="I93" i="10"/>
  <c r="H93" i="10"/>
  <c r="G93" i="10"/>
  <c r="F93" i="10"/>
  <c r="E93" i="10"/>
  <c r="F28" i="3" s="1"/>
  <c r="BE92" i="10"/>
  <c r="BG92" i="10" s="1"/>
  <c r="BE91" i="10"/>
  <c r="BH91" i="10" s="1"/>
  <c r="BE90" i="10"/>
  <c r="BG90" i="10" s="1"/>
  <c r="BF89" i="10"/>
  <c r="BD89" i="10"/>
  <c r="BC89" i="10"/>
  <c r="BB89" i="10"/>
  <c r="BA89" i="10"/>
  <c r="AR89" i="10"/>
  <c r="AI89" i="10"/>
  <c r="U89" i="10"/>
  <c r="S89" i="10"/>
  <c r="F89" i="10"/>
  <c r="E89" i="10"/>
  <c r="BF88" i="10"/>
  <c r="AF88" i="10"/>
  <c r="BE88" i="10" s="1"/>
  <c r="BF87" i="10"/>
  <c r="AC87" i="10"/>
  <c r="BE87" i="10" s="1"/>
  <c r="BE86" i="10"/>
  <c r="BH86" i="10" s="1"/>
  <c r="AR85" i="10"/>
  <c r="AP85" i="10"/>
  <c r="AO85" i="10"/>
  <c r="AM85" i="10"/>
  <c r="AL85" i="10"/>
  <c r="AJ85" i="10"/>
  <c r="AI85" i="10"/>
  <c r="BI49" i="12" s="1"/>
  <c r="Y85" i="10"/>
  <c r="X85" i="10"/>
  <c r="W85" i="10"/>
  <c r="V85" i="10"/>
  <c r="N85" i="10"/>
  <c r="M85" i="10"/>
  <c r="L85" i="10"/>
  <c r="K85" i="10"/>
  <c r="J85" i="10"/>
  <c r="BE84" i="10"/>
  <c r="AS83" i="10"/>
  <c r="CC49" i="12" s="1"/>
  <c r="AR83" i="10"/>
  <c r="AQ83" i="10"/>
  <c r="AP83" i="10"/>
  <c r="AO83" i="10"/>
  <c r="AM83" i="10"/>
  <c r="AL83" i="10"/>
  <c r="BO49" i="12" s="1"/>
  <c r="AJ83" i="10"/>
  <c r="AI83" i="10"/>
  <c r="Y83" i="10"/>
  <c r="X83" i="10"/>
  <c r="W83" i="10"/>
  <c r="V83" i="10"/>
  <c r="T83" i="10"/>
  <c r="R83" i="10"/>
  <c r="O83" i="10"/>
  <c r="N83" i="10"/>
  <c r="M83" i="10"/>
  <c r="S49" i="12" s="1"/>
  <c r="L83" i="10"/>
  <c r="K83" i="10"/>
  <c r="J83" i="10"/>
  <c r="BE82" i="10"/>
  <c r="BG82" i="10" s="1"/>
  <c r="BE81" i="10"/>
  <c r="BG81" i="10" s="1"/>
  <c r="BE80" i="10"/>
  <c r="BH80" i="10" s="1"/>
  <c r="BE79" i="10"/>
  <c r="BE77" i="10"/>
  <c r="BE76" i="10"/>
  <c r="AR75" i="10"/>
  <c r="AP75" i="10"/>
  <c r="AO75" i="10"/>
  <c r="BU47" i="12" s="1"/>
  <c r="AL75" i="10"/>
  <c r="BO47" i="12" s="1"/>
  <c r="AJ75" i="10"/>
  <c r="AI75" i="10"/>
  <c r="AR74" i="10"/>
  <c r="AP74" i="10"/>
  <c r="BW35" i="12" s="1"/>
  <c r="AO74" i="10"/>
  <c r="BU35" i="12" s="1"/>
  <c r="AM74" i="10"/>
  <c r="AJ74" i="10"/>
  <c r="AI74" i="10"/>
  <c r="BE73" i="10"/>
  <c r="BH73" i="10" s="1"/>
  <c r="BE72" i="10"/>
  <c r="BE71" i="10"/>
  <c r="BH71" i="10" s="1"/>
  <c r="BE70" i="10"/>
  <c r="BE69" i="10"/>
  <c r="BG69" i="10" s="1"/>
  <c r="BE68" i="10"/>
  <c r="BE67" i="10"/>
  <c r="BE66" i="10"/>
  <c r="BH66" i="10" s="1"/>
  <c r="BE65" i="10"/>
  <c r="BG65" i="10" s="1"/>
  <c r="BE64" i="10"/>
  <c r="BD63" i="10"/>
  <c r="BC63" i="10"/>
  <c r="CW37" i="12" s="1"/>
  <c r="BB63" i="10"/>
  <c r="H3014" i="11" s="1"/>
  <c r="BA63" i="10"/>
  <c r="H2936" i="11" s="1"/>
  <c r="AZ63" i="10"/>
  <c r="AY63" i="10"/>
  <c r="AX63" i="10"/>
  <c r="CM37" i="12" s="1"/>
  <c r="AW63" i="10"/>
  <c r="CK37" i="12" s="1"/>
  <c r="AV63" i="10"/>
  <c r="H2702" i="11" s="1"/>
  <c r="AU63" i="10"/>
  <c r="CG37" i="12" s="1"/>
  <c r="AT63" i="10"/>
  <c r="AS63" i="10"/>
  <c r="AR63" i="10"/>
  <c r="AQ63" i="10"/>
  <c r="BY37" i="12" s="1"/>
  <c r="AP63" i="10"/>
  <c r="H2312" i="11" s="1"/>
  <c r="AO63" i="10"/>
  <c r="H2234" i="11" s="1"/>
  <c r="AN63" i="10"/>
  <c r="AM63" i="10"/>
  <c r="AL63" i="10"/>
  <c r="BO37" i="12" s="1"/>
  <c r="AK63" i="10"/>
  <c r="BM37" i="12" s="1"/>
  <c r="AJ63" i="10"/>
  <c r="BK37" i="12" s="1"/>
  <c r="AI63" i="10"/>
  <c r="H2000" i="11" s="1"/>
  <c r="AH63" i="10"/>
  <c r="AG63" i="10"/>
  <c r="AF63" i="10"/>
  <c r="AE63" i="10"/>
  <c r="BA37" i="12" s="1"/>
  <c r="AD63" i="10"/>
  <c r="AY37" i="12" s="1"/>
  <c r="AC63" i="10"/>
  <c r="AW37" i="12" s="1"/>
  <c r="AB63" i="10"/>
  <c r="AA63" i="10"/>
  <c r="Z63" i="10"/>
  <c r="Y63" i="10"/>
  <c r="AO37" i="12" s="1"/>
  <c r="X63" i="10"/>
  <c r="AM37" i="12" s="1"/>
  <c r="W63" i="10"/>
  <c r="AK37" i="12" s="1"/>
  <c r="V63" i="10"/>
  <c r="U63" i="10"/>
  <c r="T63" i="10"/>
  <c r="S63" i="10"/>
  <c r="AC37" i="12" s="1"/>
  <c r="R63" i="10"/>
  <c r="AA37" i="12" s="1"/>
  <c r="O63" i="10"/>
  <c r="DA37" i="12" s="1"/>
  <c r="N63" i="10"/>
  <c r="M63" i="10"/>
  <c r="L63" i="10"/>
  <c r="K63" i="10"/>
  <c r="O37" i="12" s="1"/>
  <c r="J63" i="10"/>
  <c r="M37" i="12" s="1"/>
  <c r="I63" i="10"/>
  <c r="K37" i="12" s="1"/>
  <c r="H63" i="10"/>
  <c r="G63" i="10"/>
  <c r="F63" i="10"/>
  <c r="E63" i="10"/>
  <c r="BE62" i="10"/>
  <c r="BH62" i="10" s="1"/>
  <c r="BE61" i="10"/>
  <c r="BG61" i="10" s="1"/>
  <c r="AR60" i="10"/>
  <c r="CA45" i="12" s="1"/>
  <c r="AP60" i="10"/>
  <c r="AO60" i="10"/>
  <c r="AM60" i="10"/>
  <c r="AJ60" i="10"/>
  <c r="AI60" i="10"/>
  <c r="AH60" i="10"/>
  <c r="AG60" i="10"/>
  <c r="AF60" i="10"/>
  <c r="BC45" i="12" s="1"/>
  <c r="AE60" i="10"/>
  <c r="BA45" i="12" s="1"/>
  <c r="AD60" i="10"/>
  <c r="AC60" i="10"/>
  <c r="AW45" i="12" s="1"/>
  <c r="AB60" i="10"/>
  <c r="AA60" i="10"/>
  <c r="Z60" i="10"/>
  <c r="Y60" i="10"/>
  <c r="X60" i="10"/>
  <c r="W60" i="10"/>
  <c r="V60" i="10"/>
  <c r="N60" i="10"/>
  <c r="M60" i="10"/>
  <c r="L60" i="10"/>
  <c r="Q45" i="12" s="1"/>
  <c r="K60" i="10"/>
  <c r="O45" i="12" s="1"/>
  <c r="J60" i="10"/>
  <c r="M45" i="12" s="1"/>
  <c r="BE59" i="10"/>
  <c r="BG59" i="10" s="1"/>
  <c r="BE58" i="10"/>
  <c r="AR57" i="10"/>
  <c r="AP57" i="10"/>
  <c r="BW48" i="12" s="1"/>
  <c r="AO57" i="10"/>
  <c r="AM57" i="10"/>
  <c r="AJ57" i="10"/>
  <c r="BK48" i="12" s="1"/>
  <c r="AI57" i="10"/>
  <c r="AH57" i="10"/>
  <c r="BG48" i="12" s="1"/>
  <c r="AG57" i="10"/>
  <c r="AF57" i="10"/>
  <c r="AE57" i="10"/>
  <c r="BA48" i="12" s="1"/>
  <c r="AD57" i="10"/>
  <c r="AY48" i="12" s="1"/>
  <c r="AC57" i="10"/>
  <c r="AB57" i="10"/>
  <c r="AA57" i="10"/>
  <c r="AS48" i="12" s="1"/>
  <c r="Z57" i="10"/>
  <c r="AQ48" i="12" s="1"/>
  <c r="Y57" i="10"/>
  <c r="X57" i="10"/>
  <c r="AM48" i="12" s="1"/>
  <c r="W57" i="10"/>
  <c r="V57" i="10"/>
  <c r="AI48" i="12" s="1"/>
  <c r="T57" i="10"/>
  <c r="R57" i="10"/>
  <c r="N57" i="10"/>
  <c r="U48" i="12" s="1"/>
  <c r="M57" i="10"/>
  <c r="L57" i="10"/>
  <c r="K57" i="10"/>
  <c r="J57" i="10"/>
  <c r="BE56" i="10"/>
  <c r="BH56" i="10" s="1"/>
  <c r="BE55" i="10"/>
  <c r="BH55" i="10" s="1"/>
  <c r="AQ54" i="10"/>
  <c r="O54" i="10"/>
  <c r="DA48" i="12" s="1"/>
  <c r="T53" i="10"/>
  <c r="AE48" i="12" s="1"/>
  <c r="R53" i="10"/>
  <c r="BE53" i="10" s="1"/>
  <c r="BE52" i="10"/>
  <c r="BH52" i="10" s="1"/>
  <c r="BE51" i="10"/>
  <c r="BH51" i="10" s="1"/>
  <c r="BE50" i="10"/>
  <c r="BH50" i="10" s="1"/>
  <c r="BE49" i="10"/>
  <c r="BG49" i="10" s="1"/>
  <c r="BE48" i="10"/>
  <c r="BE47" i="10"/>
  <c r="BH47" i="10" s="1"/>
  <c r="BE46" i="10"/>
  <c r="BH46" i="10" s="1"/>
  <c r="BE45" i="10"/>
  <c r="BH45" i="10" s="1"/>
  <c r="BE44" i="10"/>
  <c r="BH44" i="10" s="1"/>
  <c r="BE43" i="10"/>
  <c r="BH43" i="10" s="1"/>
  <c r="AH42" i="10"/>
  <c r="AG42" i="10"/>
  <c r="AF42" i="10"/>
  <c r="AE42" i="10"/>
  <c r="AD42" i="10"/>
  <c r="AC42" i="10"/>
  <c r="AB42" i="10"/>
  <c r="AA42" i="10"/>
  <c r="Z42" i="10"/>
  <c r="BE41" i="10"/>
  <c r="BG41" i="10" s="1"/>
  <c r="BE40" i="10"/>
  <c r="BH40" i="10" s="1"/>
  <c r="BE39" i="10"/>
  <c r="BG39" i="10" s="1"/>
  <c r="BE38" i="10"/>
  <c r="BG38" i="10" s="1"/>
  <c r="BE37" i="10"/>
  <c r="BH37" i="10" s="1"/>
  <c r="BE35" i="10"/>
  <c r="BH35" i="10" s="1"/>
  <c r="BE34" i="10"/>
  <c r="BH34" i="10" s="1"/>
  <c r="AZ33" i="10"/>
  <c r="CQ28" i="12" s="1"/>
  <c r="AV33" i="10"/>
  <c r="H2678" i="11" s="1"/>
  <c r="AU33" i="10"/>
  <c r="CG28" i="12" s="1"/>
  <c r="AR33" i="10"/>
  <c r="AQ33" i="10"/>
  <c r="AN33" i="10"/>
  <c r="BS28" i="12" s="1"/>
  <c r="AM33" i="10"/>
  <c r="BQ28" i="12" s="1"/>
  <c r="AJ33" i="10"/>
  <c r="AI33" i="10"/>
  <c r="AH33" i="10"/>
  <c r="BG28" i="12" s="1"/>
  <c r="AC33" i="10"/>
  <c r="X33" i="10"/>
  <c r="V33" i="10"/>
  <c r="U33" i="10"/>
  <c r="T33" i="10"/>
  <c r="S33" i="10"/>
  <c r="H884" i="11" s="1"/>
  <c r="R33" i="10"/>
  <c r="Q33" i="10"/>
  <c r="Q104" i="10" s="1"/>
  <c r="O33" i="10"/>
  <c r="H650" i="11" s="1"/>
  <c r="N33" i="10"/>
  <c r="M33" i="10"/>
  <c r="L33" i="10"/>
  <c r="K33" i="10"/>
  <c r="J33" i="10"/>
  <c r="I33" i="10"/>
  <c r="H260" i="11" s="1"/>
  <c r="H33" i="10"/>
  <c r="G33" i="10"/>
  <c r="F33" i="10"/>
  <c r="H104" i="11" s="1"/>
  <c r="E33" i="10"/>
  <c r="BE32" i="10"/>
  <c r="BH32" i="10" s="1"/>
  <c r="BE31" i="10"/>
  <c r="BH31" i="10" s="1"/>
  <c r="AR30" i="10"/>
  <c r="AP30" i="10"/>
  <c r="AO30" i="10"/>
  <c r="AM30" i="10"/>
  <c r="AJ30" i="10"/>
  <c r="BK44" i="12" s="1"/>
  <c r="AI30" i="10"/>
  <c r="BI44" i="12" s="1"/>
  <c r="BE29" i="10"/>
  <c r="BH29" i="10" s="1"/>
  <c r="AR28" i="10"/>
  <c r="AP28" i="10"/>
  <c r="AO28" i="10"/>
  <c r="BE28" i="10" s="1"/>
  <c r="AM28" i="10"/>
  <c r="AJ28" i="10"/>
  <c r="AI28" i="10"/>
  <c r="BE27" i="10"/>
  <c r="BE26" i="10"/>
  <c r="BE25" i="10"/>
  <c r="BE24" i="10"/>
  <c r="BE23" i="10"/>
  <c r="BG23" i="10" s="1"/>
  <c r="T23" i="10"/>
  <c r="BE22" i="10"/>
  <c r="BH22" i="10" s="1"/>
  <c r="BE21" i="10"/>
  <c r="BH21" i="10" s="1"/>
  <c r="BE20" i="10"/>
  <c r="BH20" i="10" s="1"/>
  <c r="BE19" i="10"/>
  <c r="BH19" i="10" s="1"/>
  <c r="BE18" i="10"/>
  <c r="BH18" i="10" s="1"/>
  <c r="BE17" i="10"/>
  <c r="BG17" i="10" s="1"/>
  <c r="BE16" i="10"/>
  <c r="BH16" i="10" s="1"/>
  <c r="BE15" i="10"/>
  <c r="BH15" i="10" s="1"/>
  <c r="BE14" i="10"/>
  <c r="BG14" i="10" s="1"/>
  <c r="BE13" i="10"/>
  <c r="BH13" i="10" s="1"/>
  <c r="BE12" i="10"/>
  <c r="BE11" i="10"/>
  <c r="BG11" i="10" s="1"/>
  <c r="Q61" i="12"/>
  <c r="C61" i="12"/>
  <c r="Q60" i="12"/>
  <c r="C60" i="12"/>
  <c r="Q59" i="12"/>
  <c r="C59" i="12"/>
  <c r="DH51" i="12"/>
  <c r="DA50" i="12"/>
  <c r="CY50" i="12"/>
  <c r="CW50" i="12"/>
  <c r="CU50" i="12"/>
  <c r="CS50" i="12"/>
  <c r="CQ50" i="12"/>
  <c r="CO50" i="12"/>
  <c r="CM50" i="12"/>
  <c r="CK50" i="12"/>
  <c r="CI50" i="12"/>
  <c r="CG50" i="12"/>
  <c r="CE50" i="12"/>
  <c r="CC50" i="12"/>
  <c r="CA50" i="12"/>
  <c r="BY50" i="12"/>
  <c r="BW50" i="12"/>
  <c r="BU50" i="12"/>
  <c r="BS50" i="12"/>
  <c r="BQ50" i="12"/>
  <c r="BO50" i="12"/>
  <c r="BM50" i="12"/>
  <c r="BK50" i="12"/>
  <c r="BI50" i="12"/>
  <c r="BG50" i="12"/>
  <c r="BE50" i="12"/>
  <c r="BC50" i="12"/>
  <c r="BA50" i="12"/>
  <c r="AY50" i="12"/>
  <c r="AW50" i="12"/>
  <c r="AU50" i="12"/>
  <c r="AS50" i="12"/>
  <c r="AQ50" i="12"/>
  <c r="AO50" i="12"/>
  <c r="AM50" i="12"/>
  <c r="AK50" i="12"/>
  <c r="AI50" i="12"/>
  <c r="AG50" i="12"/>
  <c r="AE50" i="12"/>
  <c r="AC50" i="12"/>
  <c r="AA50" i="12"/>
  <c r="Y50" i="12"/>
  <c r="W50" i="12"/>
  <c r="U50" i="12"/>
  <c r="S50" i="12"/>
  <c r="Q50" i="12"/>
  <c r="O50" i="12"/>
  <c r="M50" i="12"/>
  <c r="K50" i="12"/>
  <c r="I50" i="12"/>
  <c r="G50" i="12"/>
  <c r="E50" i="12"/>
  <c r="C50" i="12"/>
  <c r="CY48" i="12"/>
  <c r="CW48" i="12"/>
  <c r="CU48" i="12"/>
  <c r="CS48" i="12"/>
  <c r="CQ48" i="12"/>
  <c r="CO48" i="12"/>
  <c r="CM48" i="12"/>
  <c r="CK48" i="12"/>
  <c r="CI48" i="12"/>
  <c r="CG48" i="12"/>
  <c r="CE48" i="12"/>
  <c r="CC48" i="12"/>
  <c r="CA48" i="12"/>
  <c r="BY48" i="12"/>
  <c r="BU48" i="12"/>
  <c r="BS48" i="12"/>
  <c r="BQ48" i="12"/>
  <c r="BO48" i="12"/>
  <c r="BM48" i="12"/>
  <c r="BI48" i="12"/>
  <c r="BE48" i="12"/>
  <c r="BC48" i="12"/>
  <c r="AW48" i="12"/>
  <c r="AU48" i="12"/>
  <c r="AO48" i="12"/>
  <c r="AK48" i="12"/>
  <c r="AG48" i="12"/>
  <c r="AC48" i="12"/>
  <c r="Y48" i="12"/>
  <c r="W48" i="12"/>
  <c r="S48" i="12"/>
  <c r="Q48" i="12"/>
  <c r="O48" i="12"/>
  <c r="M48" i="12"/>
  <c r="K48" i="12"/>
  <c r="I48" i="12"/>
  <c r="G48" i="12"/>
  <c r="E48" i="12"/>
  <c r="C48" i="12"/>
  <c r="DA47" i="12"/>
  <c r="CY47" i="12"/>
  <c r="CW47" i="12"/>
  <c r="CU47" i="12"/>
  <c r="CS47" i="12"/>
  <c r="CQ47" i="12"/>
  <c r="CO47" i="12"/>
  <c r="CM47" i="12"/>
  <c r="CK47" i="12"/>
  <c r="CI47" i="12"/>
  <c r="CG47" i="12"/>
  <c r="CE47" i="12"/>
  <c r="CC47" i="12"/>
  <c r="CA47" i="12"/>
  <c r="BY47" i="12"/>
  <c r="BW47" i="12"/>
  <c r="BS47" i="12"/>
  <c r="BQ47" i="12"/>
  <c r="BM47" i="12"/>
  <c r="BK47" i="12"/>
  <c r="BG47" i="12"/>
  <c r="BE47" i="12"/>
  <c r="BC47" i="12"/>
  <c r="BA47" i="12"/>
  <c r="AY47" i="12"/>
  <c r="AW47" i="12"/>
  <c r="AU47" i="12"/>
  <c r="AS47" i="12"/>
  <c r="AQ47" i="12"/>
  <c r="AO47" i="12"/>
  <c r="AM47" i="12"/>
  <c r="AK47" i="12"/>
  <c r="AI47" i="12"/>
  <c r="AG47" i="12"/>
  <c r="AE47" i="12"/>
  <c r="AC47" i="12"/>
  <c r="AA47" i="12"/>
  <c r="Y47" i="12"/>
  <c r="W47" i="12"/>
  <c r="U47" i="12"/>
  <c r="S47" i="12"/>
  <c r="Q47" i="12"/>
  <c r="O47" i="12"/>
  <c r="M47" i="12"/>
  <c r="K47" i="12"/>
  <c r="I47" i="12"/>
  <c r="G47" i="12"/>
  <c r="E47" i="12"/>
  <c r="C47" i="12"/>
  <c r="DA46" i="12"/>
  <c r="CY46" i="12"/>
  <c r="CW46" i="12"/>
  <c r="CU46" i="12"/>
  <c r="CS46" i="12"/>
  <c r="CQ46" i="12"/>
  <c r="CO46" i="12"/>
  <c r="CM46" i="12"/>
  <c r="CK46" i="12"/>
  <c r="CI46" i="12"/>
  <c r="CG46" i="12"/>
  <c r="CE46" i="12"/>
  <c r="CC46" i="12"/>
  <c r="CA46" i="12"/>
  <c r="BY46" i="12"/>
  <c r="BW46" i="12"/>
  <c r="BU46" i="12"/>
  <c r="BS46" i="12"/>
  <c r="BQ46" i="12"/>
  <c r="BO46" i="12"/>
  <c r="BM46" i="12"/>
  <c r="BK46" i="12"/>
  <c r="BI46" i="12"/>
  <c r="BG46" i="12"/>
  <c r="BE46" i="12"/>
  <c r="BC46" i="12"/>
  <c r="BA46" i="12"/>
  <c r="AY46" i="12"/>
  <c r="AW46" i="12"/>
  <c r="AU46" i="12"/>
  <c r="AS46" i="12"/>
  <c r="AQ46" i="12"/>
  <c r="AO46" i="12"/>
  <c r="AM46" i="12"/>
  <c r="AK46" i="12"/>
  <c r="AI46" i="12"/>
  <c r="AG46" i="12"/>
  <c r="AE46" i="12"/>
  <c r="AC46" i="12"/>
  <c r="AA46" i="12"/>
  <c r="Y46" i="12"/>
  <c r="W46" i="12"/>
  <c r="U46" i="12"/>
  <c r="S46" i="12"/>
  <c r="Q46" i="12"/>
  <c r="O46" i="12"/>
  <c r="M46" i="12"/>
  <c r="K46" i="12"/>
  <c r="I46" i="12"/>
  <c r="G46" i="12"/>
  <c r="E46" i="12"/>
  <c r="C46" i="12"/>
  <c r="DA45" i="12"/>
  <c r="CY45" i="12"/>
  <c r="CW45" i="12"/>
  <c r="CU45" i="12"/>
  <c r="CS45" i="12"/>
  <c r="CQ45" i="12"/>
  <c r="CO45" i="12"/>
  <c r="CM45" i="12"/>
  <c r="CK45" i="12"/>
  <c r="CI45" i="12"/>
  <c r="CG45" i="12"/>
  <c r="CE45" i="12"/>
  <c r="CC45" i="12"/>
  <c r="BY45" i="12"/>
  <c r="BW45" i="12"/>
  <c r="BU45" i="12"/>
  <c r="BS45" i="12"/>
  <c r="BQ45" i="12"/>
  <c r="BO45" i="12"/>
  <c r="BM45" i="12"/>
  <c r="BK45" i="12"/>
  <c r="BI45" i="12"/>
  <c r="BG45" i="12"/>
  <c r="BE45" i="12"/>
  <c r="AY45" i="12"/>
  <c r="AU45" i="12"/>
  <c r="AS45" i="12"/>
  <c r="AQ45" i="12"/>
  <c r="AO45" i="12"/>
  <c r="AM45" i="12"/>
  <c r="AK45" i="12"/>
  <c r="AI45" i="12"/>
  <c r="AG45" i="12"/>
  <c r="AE45" i="12"/>
  <c r="AC45" i="12"/>
  <c r="AA45" i="12"/>
  <c r="Y45" i="12"/>
  <c r="W45" i="12"/>
  <c r="U45" i="12"/>
  <c r="S45" i="12"/>
  <c r="K45" i="12"/>
  <c r="I45" i="12"/>
  <c r="G45" i="12"/>
  <c r="E45" i="12"/>
  <c r="C45" i="12"/>
  <c r="DA44" i="12"/>
  <c r="CY44" i="12"/>
  <c r="CW44" i="12"/>
  <c r="CU44" i="12"/>
  <c r="CS44" i="12"/>
  <c r="CQ44" i="12"/>
  <c r="CO44" i="12"/>
  <c r="CM44" i="12"/>
  <c r="CK44" i="12"/>
  <c r="CI44" i="12"/>
  <c r="CG44" i="12"/>
  <c r="CE44" i="12"/>
  <c r="CC44" i="12"/>
  <c r="CA44" i="12"/>
  <c r="BY44" i="12"/>
  <c r="BU44" i="12"/>
  <c r="BS44" i="12"/>
  <c r="BQ44" i="12"/>
  <c r="BO44" i="12"/>
  <c r="BM44" i="12"/>
  <c r="BG44" i="12"/>
  <c r="BE44" i="12"/>
  <c r="BC44" i="12"/>
  <c r="BA44" i="12"/>
  <c r="AY44" i="12"/>
  <c r="AW44" i="12"/>
  <c r="AU44" i="12"/>
  <c r="AS44" i="12"/>
  <c r="AQ44" i="12"/>
  <c r="AO44" i="12"/>
  <c r="AM44" i="12"/>
  <c r="AK44" i="12"/>
  <c r="AI44" i="12"/>
  <c r="AG44" i="12"/>
  <c r="AE44" i="12"/>
  <c r="AC44" i="12"/>
  <c r="AA44" i="12"/>
  <c r="Y44" i="12"/>
  <c r="W44" i="12"/>
  <c r="U44" i="12"/>
  <c r="S44" i="12"/>
  <c r="Q44" i="12"/>
  <c r="O44" i="12"/>
  <c r="M44" i="12"/>
  <c r="K44" i="12"/>
  <c r="I44" i="12"/>
  <c r="G44" i="12"/>
  <c r="E44" i="12"/>
  <c r="C44" i="12"/>
  <c r="DA43" i="12"/>
  <c r="CY43" i="12"/>
  <c r="CW43" i="12"/>
  <c r="CU43" i="12"/>
  <c r="CS43" i="12"/>
  <c r="CQ43" i="12"/>
  <c r="CO43" i="12"/>
  <c r="CM43" i="12"/>
  <c r="CK43" i="12"/>
  <c r="CI43" i="12"/>
  <c r="CG43" i="12"/>
  <c r="CE43" i="12"/>
  <c r="CC43" i="12"/>
  <c r="CA43" i="12"/>
  <c r="BY43" i="12"/>
  <c r="BW43" i="12"/>
  <c r="BU43" i="12"/>
  <c r="BS43" i="12"/>
  <c r="BQ43" i="12"/>
  <c r="BO43" i="12"/>
  <c r="BM43" i="12"/>
  <c r="BK43" i="12"/>
  <c r="BI43" i="12"/>
  <c r="BG43" i="12"/>
  <c r="BE43" i="12"/>
  <c r="BC43" i="12"/>
  <c r="BA43" i="12"/>
  <c r="AY43" i="12"/>
  <c r="AW43" i="12"/>
  <c r="AU43" i="12"/>
  <c r="AS43" i="12"/>
  <c r="AQ43" i="12"/>
  <c r="AO43" i="12"/>
  <c r="AM43" i="12"/>
  <c r="AK43" i="12"/>
  <c r="AI43" i="12"/>
  <c r="AG43" i="12"/>
  <c r="AE43" i="12"/>
  <c r="AC43" i="12"/>
  <c r="AA43" i="12"/>
  <c r="Y43" i="12"/>
  <c r="W43" i="12"/>
  <c r="U43" i="12"/>
  <c r="S43" i="12"/>
  <c r="Q43" i="12"/>
  <c r="O43" i="12"/>
  <c r="M43" i="12"/>
  <c r="K43" i="12"/>
  <c r="I43" i="12"/>
  <c r="G43" i="12"/>
  <c r="E43" i="12"/>
  <c r="C43" i="12"/>
  <c r="DA42" i="12"/>
  <c r="CY42" i="12"/>
  <c r="CW42" i="12"/>
  <c r="CU42" i="12"/>
  <c r="CS42" i="12"/>
  <c r="CQ42" i="12"/>
  <c r="CO42" i="12"/>
  <c r="CM42" i="12"/>
  <c r="CK42" i="12"/>
  <c r="CI42" i="12"/>
  <c r="CG42" i="12"/>
  <c r="CE42" i="12"/>
  <c r="CC42" i="12"/>
  <c r="CA42" i="12"/>
  <c r="BY42" i="12"/>
  <c r="BW42" i="12"/>
  <c r="BU42" i="12"/>
  <c r="BS42" i="12"/>
  <c r="BQ42" i="12"/>
  <c r="BO42" i="12"/>
  <c r="BM42" i="12"/>
  <c r="BK42" i="12"/>
  <c r="BI42" i="12"/>
  <c r="BG42" i="12"/>
  <c r="BE42" i="12"/>
  <c r="BC42" i="12"/>
  <c r="BA42" i="12"/>
  <c r="AY42" i="12"/>
  <c r="AW42" i="12"/>
  <c r="AU42" i="12"/>
  <c r="AS42" i="12"/>
  <c r="AQ42" i="12"/>
  <c r="AO42" i="12"/>
  <c r="AM42" i="12"/>
  <c r="AK42" i="12"/>
  <c r="AI42" i="12"/>
  <c r="AG42" i="12"/>
  <c r="AE42" i="12"/>
  <c r="AC42" i="12"/>
  <c r="AA42" i="12"/>
  <c r="Y42" i="12"/>
  <c r="W42" i="12"/>
  <c r="U42" i="12"/>
  <c r="S42" i="12"/>
  <c r="Q42" i="12"/>
  <c r="O42" i="12"/>
  <c r="M42" i="12"/>
  <c r="K42" i="12"/>
  <c r="I42" i="12"/>
  <c r="G42" i="12"/>
  <c r="E42" i="12"/>
  <c r="C42" i="12"/>
  <c r="DA41" i="12"/>
  <c r="CY41" i="12"/>
  <c r="CW41" i="12"/>
  <c r="CU41" i="12"/>
  <c r="CS41" i="12"/>
  <c r="CQ41" i="12"/>
  <c r="CO41" i="12"/>
  <c r="CM41" i="12"/>
  <c r="CK41" i="12"/>
  <c r="CI41" i="12"/>
  <c r="CG41" i="12"/>
  <c r="CE41" i="12"/>
  <c r="CC41" i="12"/>
  <c r="CA41" i="12"/>
  <c r="BY41" i="12"/>
  <c r="BW41" i="12"/>
  <c r="BU41" i="12"/>
  <c r="BS41" i="12"/>
  <c r="BQ41" i="12"/>
  <c r="BO41" i="12"/>
  <c r="BM41" i="12"/>
  <c r="BK41" i="12"/>
  <c r="BI41" i="12"/>
  <c r="BG41" i="12"/>
  <c r="BE41" i="12"/>
  <c r="BC41" i="12"/>
  <c r="BA41" i="12"/>
  <c r="AY41" i="12"/>
  <c r="AW41" i="12"/>
  <c r="AU41" i="12"/>
  <c r="AS41" i="12"/>
  <c r="AQ41" i="12"/>
  <c r="AO41" i="12"/>
  <c r="AM41" i="12"/>
  <c r="AK41" i="12"/>
  <c r="AI41" i="12"/>
  <c r="AG41" i="12"/>
  <c r="AE41" i="12"/>
  <c r="AC41" i="12"/>
  <c r="AA41" i="12"/>
  <c r="Y41" i="12"/>
  <c r="W41" i="12"/>
  <c r="U41" i="12"/>
  <c r="S41" i="12"/>
  <c r="Q41" i="12"/>
  <c r="O41" i="12"/>
  <c r="M41" i="12"/>
  <c r="K41" i="12"/>
  <c r="I41" i="12"/>
  <c r="G41" i="12"/>
  <c r="E41" i="12"/>
  <c r="C41" i="12"/>
  <c r="DA40" i="12"/>
  <c r="CY40" i="12"/>
  <c r="CW40" i="12"/>
  <c r="CU40" i="12"/>
  <c r="CS40" i="12"/>
  <c r="CQ40" i="12"/>
  <c r="CO40" i="12"/>
  <c r="CM40" i="12"/>
  <c r="CK40" i="12"/>
  <c r="CI40" i="12"/>
  <c r="CG40" i="12"/>
  <c r="CE40" i="12"/>
  <c r="CC40" i="12"/>
  <c r="CA40" i="12"/>
  <c r="BY40" i="12"/>
  <c r="BW40" i="12"/>
  <c r="BU40" i="12"/>
  <c r="BS40" i="12"/>
  <c r="BQ40" i="12"/>
  <c r="BO40" i="12"/>
  <c r="BM40" i="12"/>
  <c r="BK40" i="12"/>
  <c r="BI40" i="12"/>
  <c r="BG40" i="12"/>
  <c r="BE40" i="12"/>
  <c r="BC40" i="12"/>
  <c r="BA40" i="12"/>
  <c r="AY40" i="12"/>
  <c r="AW40" i="12"/>
  <c r="AU40" i="12"/>
  <c r="AS40" i="12"/>
  <c r="AQ40" i="12"/>
  <c r="AO40" i="12"/>
  <c r="AM40" i="12"/>
  <c r="AK40" i="12"/>
  <c r="AI40" i="12"/>
  <c r="AG40" i="12"/>
  <c r="AE40" i="12"/>
  <c r="AC40" i="12"/>
  <c r="AA40" i="12"/>
  <c r="Y40" i="12"/>
  <c r="W40" i="12"/>
  <c r="U40" i="12"/>
  <c r="S40" i="12"/>
  <c r="Q40" i="12"/>
  <c r="O40" i="12"/>
  <c r="M40" i="12"/>
  <c r="K40" i="12"/>
  <c r="I40" i="12"/>
  <c r="G40" i="12"/>
  <c r="E40" i="12"/>
  <c r="C40" i="12"/>
  <c r="DE39" i="12"/>
  <c r="DA38" i="12"/>
  <c r="CY38" i="12"/>
  <c r="CW38" i="12"/>
  <c r="CU38" i="12"/>
  <c r="CS38" i="12"/>
  <c r="CQ38" i="12"/>
  <c r="CO38" i="12"/>
  <c r="CM38" i="12"/>
  <c r="CK38" i="12"/>
  <c r="CI38" i="12"/>
  <c r="CG38" i="12"/>
  <c r="CE38" i="12"/>
  <c r="CC38" i="12"/>
  <c r="CA38" i="12"/>
  <c r="BY38" i="12"/>
  <c r="BW38" i="12"/>
  <c r="BU38" i="12"/>
  <c r="BS38" i="12"/>
  <c r="BQ38" i="12"/>
  <c r="BO38" i="12"/>
  <c r="BM38" i="12"/>
  <c r="BK38" i="12"/>
  <c r="BI38" i="12"/>
  <c r="BG38" i="12"/>
  <c r="BE38" i="12"/>
  <c r="BC38" i="12"/>
  <c r="BA38" i="12"/>
  <c r="AY38" i="12"/>
  <c r="AW38" i="12"/>
  <c r="AU38" i="12"/>
  <c r="AS38" i="12"/>
  <c r="AQ38" i="12"/>
  <c r="AO38" i="12"/>
  <c r="AM38" i="12"/>
  <c r="AK38" i="12"/>
  <c r="AI38" i="12"/>
  <c r="AG38" i="12"/>
  <c r="AE38" i="12"/>
  <c r="AC38" i="12"/>
  <c r="AA38" i="12"/>
  <c r="Y38" i="12"/>
  <c r="W38" i="12"/>
  <c r="U38" i="12"/>
  <c r="S38" i="12"/>
  <c r="Q38" i="12"/>
  <c r="O38" i="12"/>
  <c r="M38" i="12"/>
  <c r="K38" i="12"/>
  <c r="I38" i="12"/>
  <c r="G38" i="12"/>
  <c r="E38" i="12"/>
  <c r="C38" i="12"/>
  <c r="CY37" i="12"/>
  <c r="CU37" i="12"/>
  <c r="CS37" i="12"/>
  <c r="CQ37" i="12"/>
  <c r="CO37" i="12"/>
  <c r="CE37" i="12"/>
  <c r="CC37" i="12"/>
  <c r="CA37" i="12"/>
  <c r="BW37" i="12"/>
  <c r="BS37" i="12"/>
  <c r="BQ37" i="12"/>
  <c r="BG37" i="12"/>
  <c r="BE37" i="12"/>
  <c r="BC37" i="12"/>
  <c r="AU37" i="12"/>
  <c r="AS37" i="12"/>
  <c r="AQ37" i="12"/>
  <c r="AI37" i="12"/>
  <c r="AG37" i="12"/>
  <c r="AE37" i="12"/>
  <c r="Y37" i="12"/>
  <c r="W37" i="12"/>
  <c r="U37" i="12"/>
  <c r="S37" i="12"/>
  <c r="Q37" i="12"/>
  <c r="I37" i="12"/>
  <c r="G37" i="12"/>
  <c r="E37" i="12"/>
  <c r="DA36" i="12"/>
  <c r="CY36" i="12"/>
  <c r="CW36" i="12"/>
  <c r="CU36" i="12"/>
  <c r="CS36" i="12"/>
  <c r="CQ36" i="12"/>
  <c r="CO36" i="12"/>
  <c r="CM36" i="12"/>
  <c r="CK36" i="12"/>
  <c r="CI36" i="12"/>
  <c r="CG36" i="12"/>
  <c r="CE36" i="12"/>
  <c r="CC36" i="12"/>
  <c r="CA36" i="12"/>
  <c r="BY36" i="12"/>
  <c r="BW36" i="12"/>
  <c r="BU36" i="12"/>
  <c r="BS36" i="12"/>
  <c r="BQ36" i="12"/>
  <c r="BO36" i="12"/>
  <c r="BM36" i="12"/>
  <c r="BK36" i="12"/>
  <c r="BI36" i="12"/>
  <c r="BG36" i="12"/>
  <c r="BE36" i="12"/>
  <c r="BC36" i="12"/>
  <c r="BA36" i="12"/>
  <c r="AY36" i="12"/>
  <c r="AW36" i="12"/>
  <c r="AU36" i="12"/>
  <c r="AS36" i="12"/>
  <c r="AQ36" i="12"/>
  <c r="AO36" i="12"/>
  <c r="AM36" i="12"/>
  <c r="AK36" i="12"/>
  <c r="AI36" i="12"/>
  <c r="AG36" i="12"/>
  <c r="AE36" i="12"/>
  <c r="AC36" i="12"/>
  <c r="AA36" i="12"/>
  <c r="Y36" i="12"/>
  <c r="W36" i="12"/>
  <c r="U36" i="12"/>
  <c r="S36" i="12"/>
  <c r="Q36" i="12"/>
  <c r="O36" i="12"/>
  <c r="M36" i="12"/>
  <c r="K36" i="12"/>
  <c r="I36" i="12"/>
  <c r="G36" i="12"/>
  <c r="E36" i="12"/>
  <c r="C36" i="12"/>
  <c r="DA35" i="12"/>
  <c r="CY35" i="12"/>
  <c r="CW35" i="12"/>
  <c r="CU35" i="12"/>
  <c r="CS35" i="12"/>
  <c r="CQ35" i="12"/>
  <c r="CO35" i="12"/>
  <c r="CM35" i="12"/>
  <c r="CK35" i="12"/>
  <c r="CI35" i="12"/>
  <c r="CG35" i="12"/>
  <c r="CE35" i="12"/>
  <c r="CC35" i="12"/>
  <c r="CA35" i="12"/>
  <c r="BY35" i="12"/>
  <c r="BS35" i="12"/>
  <c r="BQ35" i="12"/>
  <c r="BO35" i="12"/>
  <c r="BM35" i="12"/>
  <c r="BK35" i="12"/>
  <c r="BI35" i="12"/>
  <c r="BG35" i="12"/>
  <c r="BE35" i="12"/>
  <c r="BC35" i="12"/>
  <c r="BA35" i="12"/>
  <c r="AY35" i="12"/>
  <c r="AW35" i="12"/>
  <c r="AU35" i="12"/>
  <c r="AS35" i="12"/>
  <c r="AQ35" i="12"/>
  <c r="AO35" i="12"/>
  <c r="AM35" i="12"/>
  <c r="AK35" i="12"/>
  <c r="AI35" i="12"/>
  <c r="AG35" i="12"/>
  <c r="AE35" i="12"/>
  <c r="AC35" i="12"/>
  <c r="AA35" i="12"/>
  <c r="Y35" i="12"/>
  <c r="W35" i="12"/>
  <c r="U35" i="12"/>
  <c r="S35" i="12"/>
  <c r="Q35" i="12"/>
  <c r="O35" i="12"/>
  <c r="M35" i="12"/>
  <c r="K35" i="12"/>
  <c r="I35" i="12"/>
  <c r="G35" i="12"/>
  <c r="E35" i="12"/>
  <c r="C35" i="12"/>
  <c r="DE34" i="12"/>
  <c r="CY33" i="12"/>
  <c r="CW33" i="12"/>
  <c r="CU33" i="12"/>
  <c r="CS33" i="12"/>
  <c r="CM33" i="12"/>
  <c r="CC33" i="12"/>
  <c r="CA33" i="12"/>
  <c r="BY33" i="12"/>
  <c r="BW33" i="12"/>
  <c r="BQ33" i="12"/>
  <c r="BO33" i="12"/>
  <c r="BE33" i="12"/>
  <c r="BC33" i="12"/>
  <c r="BA33" i="12"/>
  <c r="AY33" i="12"/>
  <c r="AQ33" i="12"/>
  <c r="AG33" i="12"/>
  <c r="AE33" i="12"/>
  <c r="AC33" i="12"/>
  <c r="AA33" i="12"/>
  <c r="Y33" i="12"/>
  <c r="W33" i="12"/>
  <c r="Q33" i="12"/>
  <c r="E33" i="12"/>
  <c r="C33" i="12"/>
  <c r="CQ32" i="12"/>
  <c r="CO32" i="12"/>
  <c r="CG32" i="12"/>
  <c r="BY32" i="12"/>
  <c r="BQ32" i="12"/>
  <c r="BO32" i="12"/>
  <c r="BM32" i="12"/>
  <c r="AU32" i="12"/>
  <c r="AI32" i="12"/>
  <c r="Y32" i="12"/>
  <c r="W32" i="12"/>
  <c r="Q32" i="12"/>
  <c r="G32" i="12"/>
  <c r="DA31" i="12"/>
  <c r="CY31" i="12"/>
  <c r="CW31" i="12"/>
  <c r="CU31" i="12"/>
  <c r="CS31" i="12"/>
  <c r="CQ31" i="12"/>
  <c r="CO31" i="12"/>
  <c r="CM31" i="12"/>
  <c r="CK31" i="12"/>
  <c r="CI31" i="12"/>
  <c r="CG31" i="12"/>
  <c r="CE31" i="12"/>
  <c r="CC31" i="12"/>
  <c r="CA31" i="12"/>
  <c r="BY31" i="12"/>
  <c r="BW31" i="12"/>
  <c r="BU31" i="12"/>
  <c r="BS31" i="12"/>
  <c r="BQ31" i="12"/>
  <c r="BO31" i="12"/>
  <c r="BM31" i="12"/>
  <c r="BK31" i="12"/>
  <c r="BI31" i="12"/>
  <c r="BG31" i="12"/>
  <c r="BE31" i="12"/>
  <c r="BC31" i="12"/>
  <c r="BA31" i="12"/>
  <c r="AY31" i="12"/>
  <c r="AW31" i="12"/>
  <c r="AU31" i="12"/>
  <c r="AS31" i="12"/>
  <c r="AQ31" i="12"/>
  <c r="AO31" i="12"/>
  <c r="AM31" i="12"/>
  <c r="AK31" i="12"/>
  <c r="AI31" i="12"/>
  <c r="AG31" i="12"/>
  <c r="AE31" i="12"/>
  <c r="AC31" i="12"/>
  <c r="AA31" i="12"/>
  <c r="Y31" i="12"/>
  <c r="W31" i="12"/>
  <c r="U31" i="12"/>
  <c r="S31" i="12"/>
  <c r="Q31" i="12"/>
  <c r="O31" i="12"/>
  <c r="M31" i="12"/>
  <c r="K31" i="12"/>
  <c r="I31" i="12"/>
  <c r="G31" i="12"/>
  <c r="E31" i="12"/>
  <c r="C31" i="12"/>
  <c r="DA30" i="12"/>
  <c r="CY30" i="12"/>
  <c r="CW30" i="12"/>
  <c r="CU30" i="12"/>
  <c r="CS30" i="12"/>
  <c r="CQ30" i="12"/>
  <c r="CO30" i="12"/>
  <c r="CM30" i="12"/>
  <c r="CK30" i="12"/>
  <c r="CI30" i="12"/>
  <c r="CG30" i="12"/>
  <c r="CE30" i="12"/>
  <c r="CC30" i="12"/>
  <c r="CA30" i="12"/>
  <c r="BY30" i="12"/>
  <c r="BW30" i="12"/>
  <c r="BU30" i="12"/>
  <c r="BS30" i="12"/>
  <c r="BQ30" i="12"/>
  <c r="BO30" i="12"/>
  <c r="BM30" i="12"/>
  <c r="BK30" i="12"/>
  <c r="BG30" i="12"/>
  <c r="BE30" i="12"/>
  <c r="BC30" i="12"/>
  <c r="BA30" i="12"/>
  <c r="AY30" i="12"/>
  <c r="AW30" i="12"/>
  <c r="AS30" i="12"/>
  <c r="AQ30" i="12"/>
  <c r="AO30" i="12"/>
  <c r="AM30" i="12"/>
  <c r="AK30" i="12"/>
  <c r="AI30" i="12"/>
  <c r="AG30" i="12"/>
  <c r="AE30" i="12"/>
  <c r="AC30" i="12"/>
  <c r="AA30" i="12"/>
  <c r="Y30" i="12"/>
  <c r="W30" i="12"/>
  <c r="U30" i="12"/>
  <c r="S30" i="12"/>
  <c r="Q30" i="12"/>
  <c r="O30" i="12"/>
  <c r="M30" i="12"/>
  <c r="K30" i="12"/>
  <c r="I30" i="12"/>
  <c r="G30" i="12"/>
  <c r="E30" i="12"/>
  <c r="C30" i="12"/>
  <c r="DC29" i="12"/>
  <c r="DG29" i="12" s="1"/>
  <c r="CO28" i="12"/>
  <c r="CA28" i="12"/>
  <c r="BY28" i="12"/>
  <c r="BO28" i="12"/>
  <c r="BM28" i="12"/>
  <c r="BK28" i="12"/>
  <c r="BI28" i="12"/>
  <c r="AW28" i="12"/>
  <c r="AU28" i="12"/>
  <c r="AM28" i="12"/>
  <c r="AI28" i="12"/>
  <c r="AG28" i="12"/>
  <c r="AE28" i="12"/>
  <c r="AC28" i="12"/>
  <c r="AA28" i="12"/>
  <c r="Y28" i="12"/>
  <c r="W28" i="12"/>
  <c r="U28" i="12"/>
  <c r="S28" i="12"/>
  <c r="Q28" i="12"/>
  <c r="O28" i="12"/>
  <c r="M28" i="12"/>
  <c r="K28" i="12"/>
  <c r="I28" i="12"/>
  <c r="G28" i="12"/>
  <c r="E28" i="12"/>
  <c r="C28" i="12"/>
  <c r="DE27" i="12"/>
  <c r="DA26" i="12"/>
  <c r="CY26" i="12"/>
  <c r="CW26" i="12"/>
  <c r="CU26" i="12"/>
  <c r="CS26" i="12"/>
  <c r="CQ26" i="12"/>
  <c r="CO26" i="12"/>
  <c r="CM26" i="12"/>
  <c r="CK26" i="12"/>
  <c r="CI26" i="12"/>
  <c r="CG26" i="12"/>
  <c r="CE26" i="12"/>
  <c r="CC26" i="12"/>
  <c r="CA26" i="12"/>
  <c r="BY26" i="12"/>
  <c r="BW26" i="12"/>
  <c r="BU26" i="12"/>
  <c r="BS26" i="12"/>
  <c r="BQ26" i="12"/>
  <c r="BO26" i="12"/>
  <c r="BM26" i="12"/>
  <c r="BK26" i="12"/>
  <c r="BI26" i="12"/>
  <c r="BG26" i="12"/>
  <c r="BE26" i="12"/>
  <c r="BC26" i="12"/>
  <c r="BA26" i="12"/>
  <c r="AY26" i="12"/>
  <c r="AW26" i="12"/>
  <c r="AU26" i="12"/>
  <c r="AS26" i="12"/>
  <c r="AQ26" i="12"/>
  <c r="AO26" i="12"/>
  <c r="AM26" i="12"/>
  <c r="AK26" i="12"/>
  <c r="AI26" i="12"/>
  <c r="AG26" i="12"/>
  <c r="AE26" i="12"/>
  <c r="AC26" i="12"/>
  <c r="AA26" i="12"/>
  <c r="Y26" i="12"/>
  <c r="W26" i="12"/>
  <c r="U26" i="12"/>
  <c r="S26" i="12"/>
  <c r="Q26" i="12"/>
  <c r="O26" i="12"/>
  <c r="M26" i="12"/>
  <c r="K26" i="12"/>
  <c r="I26" i="12"/>
  <c r="G26" i="12"/>
  <c r="E26" i="12"/>
  <c r="C26" i="12"/>
  <c r="DA25" i="12"/>
  <c r="CY25" i="12"/>
  <c r="CW25" i="12"/>
  <c r="CU25" i="12"/>
  <c r="CS25" i="12"/>
  <c r="CQ25" i="12"/>
  <c r="CO25" i="12"/>
  <c r="CM25" i="12"/>
  <c r="CK25" i="12"/>
  <c r="CI25" i="12"/>
  <c r="CG25" i="12"/>
  <c r="CE25" i="12"/>
  <c r="CC25" i="12"/>
  <c r="CA25" i="12"/>
  <c r="BY25" i="12"/>
  <c r="BW25" i="12"/>
  <c r="BU25" i="12"/>
  <c r="BS25" i="12"/>
  <c r="BQ25" i="12"/>
  <c r="BO25" i="12"/>
  <c r="BM25" i="12"/>
  <c r="BK25" i="12"/>
  <c r="BI25" i="12"/>
  <c r="BG25" i="12"/>
  <c r="BE25" i="12"/>
  <c r="BC25" i="12"/>
  <c r="BA25" i="12"/>
  <c r="AY25" i="12"/>
  <c r="AW25" i="12"/>
  <c r="AU25" i="12"/>
  <c r="AS25" i="12"/>
  <c r="AQ25" i="12"/>
  <c r="AO25" i="12"/>
  <c r="AM25" i="12"/>
  <c r="AK25" i="12"/>
  <c r="AI25" i="12"/>
  <c r="AG25" i="12"/>
  <c r="AE25" i="12"/>
  <c r="AC25" i="12"/>
  <c r="AA25" i="12"/>
  <c r="Y25" i="12"/>
  <c r="W25" i="12"/>
  <c r="U25" i="12"/>
  <c r="S25" i="12"/>
  <c r="Q25" i="12"/>
  <c r="O25" i="12"/>
  <c r="M25" i="12"/>
  <c r="K25" i="12"/>
  <c r="I25" i="12"/>
  <c r="G25" i="12"/>
  <c r="E25" i="12"/>
  <c r="C25" i="12"/>
  <c r="DA24" i="12"/>
  <c r="CY24" i="12"/>
  <c r="CW24" i="12"/>
  <c r="CU24" i="12"/>
  <c r="CS24" i="12"/>
  <c r="CQ24" i="12"/>
  <c r="CM24" i="12"/>
  <c r="CK24" i="12"/>
  <c r="CI24" i="12"/>
  <c r="CG24" i="12"/>
  <c r="CE24" i="12"/>
  <c r="CC24" i="12"/>
  <c r="CA24" i="12"/>
  <c r="BY24" i="12"/>
  <c r="BW24" i="12"/>
  <c r="BU24" i="12"/>
  <c r="BS24" i="12"/>
  <c r="BQ24" i="12"/>
  <c r="BO24" i="12"/>
  <c r="BK24" i="12"/>
  <c r="BI24" i="12"/>
  <c r="BG24" i="12"/>
  <c r="BE24" i="12"/>
  <c r="BC24" i="12"/>
  <c r="BA24" i="12"/>
  <c r="AY24" i="12"/>
  <c r="AW24" i="12"/>
  <c r="AU24" i="12"/>
  <c r="AS24" i="12"/>
  <c r="AQ24" i="12"/>
  <c r="AO24" i="12"/>
  <c r="AM24" i="12"/>
  <c r="AK24" i="12"/>
  <c r="AI24" i="12"/>
  <c r="AG24" i="12"/>
  <c r="AE24" i="12"/>
  <c r="AC24" i="12"/>
  <c r="AA24" i="12"/>
  <c r="Y24" i="12"/>
  <c r="U24" i="12"/>
  <c r="S24" i="12"/>
  <c r="Q24" i="12"/>
  <c r="O24" i="12"/>
  <c r="M24" i="12"/>
  <c r="K24" i="12"/>
  <c r="I24" i="12"/>
  <c r="G24" i="12"/>
  <c r="E24" i="12"/>
  <c r="C24" i="12"/>
  <c r="DA23" i="12"/>
  <c r="CY23" i="12"/>
  <c r="CW23" i="12"/>
  <c r="CU23" i="12"/>
  <c r="CS23" i="12"/>
  <c r="CQ23" i="12"/>
  <c r="CO23" i="12"/>
  <c r="CM23" i="12"/>
  <c r="CK23" i="12"/>
  <c r="CI23" i="12"/>
  <c r="CG23" i="12"/>
  <c r="CE23" i="12"/>
  <c r="CC23" i="12"/>
  <c r="CA23" i="12"/>
  <c r="BY23" i="12"/>
  <c r="BW23" i="12"/>
  <c r="BU23" i="12"/>
  <c r="BS23" i="12"/>
  <c r="BQ23" i="12"/>
  <c r="BO23" i="12"/>
  <c r="BM23" i="12"/>
  <c r="BK23" i="12"/>
  <c r="BI23" i="12"/>
  <c r="BG23" i="12"/>
  <c r="BE23" i="12"/>
  <c r="BC23" i="12"/>
  <c r="BA23" i="12"/>
  <c r="AY23" i="12"/>
  <c r="AW23" i="12"/>
  <c r="AU23" i="12"/>
  <c r="AS23" i="12"/>
  <c r="AQ23" i="12"/>
  <c r="AO23" i="12"/>
  <c r="AM23" i="12"/>
  <c r="AK23" i="12"/>
  <c r="AI23" i="12"/>
  <c r="AG23" i="12"/>
  <c r="AE23" i="12"/>
  <c r="AC23" i="12"/>
  <c r="AA23" i="12"/>
  <c r="Y23" i="12"/>
  <c r="W23" i="12"/>
  <c r="U23" i="12"/>
  <c r="S23" i="12"/>
  <c r="Q23" i="12"/>
  <c r="O23" i="12"/>
  <c r="M23" i="12"/>
  <c r="K23" i="12"/>
  <c r="I23" i="12"/>
  <c r="G23" i="12"/>
  <c r="E23" i="12"/>
  <c r="C23" i="12"/>
  <c r="DE22" i="12"/>
  <c r="DA49" i="12"/>
  <c r="CY49" i="12"/>
  <c r="CW49" i="12"/>
  <c r="CU49" i="12"/>
  <c r="CS49" i="12"/>
  <c r="CQ49" i="12"/>
  <c r="CO49" i="12"/>
  <c r="CM49" i="12"/>
  <c r="CK49" i="12"/>
  <c r="CI49" i="12"/>
  <c r="CG49" i="12"/>
  <c r="CE49" i="12"/>
  <c r="CA49" i="12"/>
  <c r="BY49" i="12"/>
  <c r="BW49" i="12"/>
  <c r="BU49" i="12"/>
  <c r="BS49" i="12"/>
  <c r="BQ49" i="12"/>
  <c r="BM49" i="12"/>
  <c r="BK49" i="12"/>
  <c r="BG49" i="12"/>
  <c r="BE49" i="12"/>
  <c r="BC49" i="12"/>
  <c r="BA49" i="12"/>
  <c r="AY49" i="12"/>
  <c r="AW49" i="12"/>
  <c r="AU49" i="12"/>
  <c r="AS49" i="12"/>
  <c r="AQ49" i="12"/>
  <c r="AO49" i="12"/>
  <c r="AM49" i="12"/>
  <c r="AK49" i="12"/>
  <c r="AI49" i="12"/>
  <c r="AG49" i="12"/>
  <c r="AE49" i="12"/>
  <c r="AC49" i="12"/>
  <c r="AA49" i="12"/>
  <c r="Y49" i="12"/>
  <c r="W49" i="12"/>
  <c r="U49" i="12"/>
  <c r="Q49" i="12"/>
  <c r="O49" i="12"/>
  <c r="M49" i="12"/>
  <c r="K49" i="12"/>
  <c r="I49" i="12"/>
  <c r="G49" i="12"/>
  <c r="E49" i="12"/>
  <c r="C49" i="12"/>
  <c r="DF18" i="12"/>
  <c r="DA18" i="12"/>
  <c r="CY18" i="12"/>
  <c r="CW18" i="12"/>
  <c r="CU18" i="12"/>
  <c r="CQ18" i="12"/>
  <c r="CO18" i="12"/>
  <c r="CI18" i="12"/>
  <c r="CG18" i="12"/>
  <c r="CE18" i="12"/>
  <c r="CC18" i="12"/>
  <c r="CA18" i="12"/>
  <c r="BY18" i="12"/>
  <c r="BW18" i="12"/>
  <c r="BS18" i="12"/>
  <c r="BQ18" i="12"/>
  <c r="BO18" i="12"/>
  <c r="BM18" i="12"/>
  <c r="BK18" i="12"/>
  <c r="BA18" i="12"/>
  <c r="AY18" i="12"/>
  <c r="AW18" i="12"/>
  <c r="AU18" i="12"/>
  <c r="AS18" i="12"/>
  <c r="AQ18" i="12"/>
  <c r="AO18" i="12"/>
  <c r="AM18" i="12"/>
  <c r="AK18" i="12"/>
  <c r="AI18" i="12"/>
  <c r="AG18" i="12"/>
  <c r="AE18" i="12"/>
  <c r="Y18" i="12"/>
  <c r="W18" i="12"/>
  <c r="S18" i="12"/>
  <c r="Q18" i="12"/>
  <c r="O18" i="12"/>
  <c r="M18" i="12"/>
  <c r="K18" i="12"/>
  <c r="I18" i="12"/>
  <c r="G18" i="12"/>
  <c r="E18" i="12"/>
  <c r="C18" i="12"/>
  <c r="DF17" i="12"/>
  <c r="DA17" i="12"/>
  <c r="CY17" i="12"/>
  <c r="CW17" i="12"/>
  <c r="CU17" i="12"/>
  <c r="CS17" i="12"/>
  <c r="CQ17" i="12"/>
  <c r="CO17" i="12"/>
  <c r="CM17" i="12"/>
  <c r="CK17" i="12"/>
  <c r="CI17" i="12"/>
  <c r="CG17" i="12"/>
  <c r="CE17" i="12"/>
  <c r="CC17" i="12"/>
  <c r="CA17" i="12"/>
  <c r="BY17" i="12"/>
  <c r="BW17" i="12"/>
  <c r="BS17" i="12"/>
  <c r="BQ17" i="12"/>
  <c r="BO17" i="12"/>
  <c r="BM17" i="12"/>
  <c r="BK17" i="12"/>
  <c r="BI17" i="12"/>
  <c r="BG17" i="12"/>
  <c r="BE17" i="12"/>
  <c r="BC17" i="12"/>
  <c r="AY17" i="12"/>
  <c r="AU17" i="12"/>
  <c r="AS17" i="12"/>
  <c r="AQ17" i="12"/>
  <c r="AO17" i="12"/>
  <c r="AM17" i="12"/>
  <c r="AK17" i="12"/>
  <c r="AI17" i="12"/>
  <c r="AG17" i="12"/>
  <c r="AE17" i="12"/>
  <c r="AA17" i="12"/>
  <c r="Y17" i="12"/>
  <c r="W17" i="12"/>
  <c r="U17" i="12"/>
  <c r="S17" i="12"/>
  <c r="Q17" i="12"/>
  <c r="O17" i="12"/>
  <c r="K17" i="12"/>
  <c r="I17" i="12"/>
  <c r="G17" i="12"/>
  <c r="C17" i="12"/>
  <c r="DA16" i="12"/>
  <c r="CS16" i="12"/>
  <c r="CQ16" i="12"/>
  <c r="CO16" i="12"/>
  <c r="CG16" i="12"/>
  <c r="CE16" i="12"/>
  <c r="CC16" i="12"/>
  <c r="CA16" i="12"/>
  <c r="BY16" i="12"/>
  <c r="BW16" i="12"/>
  <c r="BQ16" i="12"/>
  <c r="BO16" i="12"/>
  <c r="BM16" i="12"/>
  <c r="BC16" i="12"/>
  <c r="AY16" i="12"/>
  <c r="AW16" i="12"/>
  <c r="AU16" i="12"/>
  <c r="AQ16" i="12"/>
  <c r="AE16" i="12"/>
  <c r="AA16" i="12"/>
  <c r="Y16" i="12"/>
  <c r="W16" i="12"/>
  <c r="U16" i="12"/>
  <c r="S16" i="12"/>
  <c r="Q16" i="12"/>
  <c r="G16" i="12"/>
  <c r="E16" i="12"/>
  <c r="C16" i="12"/>
  <c r="DA13" i="12"/>
  <c r="CY13" i="12"/>
  <c r="CW13" i="12"/>
  <c r="CU13" i="12"/>
  <c r="CS13" i="12"/>
  <c r="CQ13" i="12"/>
  <c r="CO13" i="12"/>
  <c r="CM13" i="12"/>
  <c r="CK13" i="12"/>
  <c r="CI13" i="12"/>
  <c r="CG13" i="12"/>
  <c r="CE13" i="12"/>
  <c r="CC13" i="12"/>
  <c r="CA13" i="12"/>
  <c r="BY13" i="12"/>
  <c r="BW13" i="12"/>
  <c r="BU13" i="12"/>
  <c r="BS13" i="12"/>
  <c r="BQ13" i="12"/>
  <c r="BO13" i="12"/>
  <c r="BM13" i="12"/>
  <c r="BK13" i="12"/>
  <c r="BI13" i="12"/>
  <c r="BG13" i="12"/>
  <c r="BE13" i="12"/>
  <c r="BC13" i="12"/>
  <c r="BA13" i="12"/>
  <c r="AY13" i="12"/>
  <c r="AW13" i="12"/>
  <c r="AU13" i="12"/>
  <c r="AS13" i="12"/>
  <c r="AQ13" i="12"/>
  <c r="AO13" i="12"/>
  <c r="AM13" i="12"/>
  <c r="AK13" i="12"/>
  <c r="AI13" i="12"/>
  <c r="AG13" i="12"/>
  <c r="AE13" i="12"/>
  <c r="AC13" i="12"/>
  <c r="AA13" i="12"/>
  <c r="Y13" i="12"/>
  <c r="W13" i="12"/>
  <c r="U13" i="12"/>
  <c r="S13" i="12"/>
  <c r="Q13" i="12"/>
  <c r="O13" i="12"/>
  <c r="M13" i="12"/>
  <c r="K13" i="12"/>
  <c r="I13" i="12"/>
  <c r="G13" i="12"/>
  <c r="E13" i="12"/>
  <c r="C13" i="12"/>
  <c r="DA12" i="12"/>
  <c r="CY12" i="12"/>
  <c r="CW12" i="12"/>
  <c r="CU12" i="12"/>
  <c r="CS12" i="12"/>
  <c r="CQ12" i="12"/>
  <c r="CO12" i="12"/>
  <c r="CM12" i="12"/>
  <c r="CK12" i="12"/>
  <c r="CI12" i="12"/>
  <c r="CG12" i="12"/>
  <c r="CE12" i="12"/>
  <c r="CC12" i="12"/>
  <c r="CA12" i="12"/>
  <c r="BY12" i="12"/>
  <c r="BW12" i="12"/>
  <c r="BU12" i="12"/>
  <c r="BS12" i="12"/>
  <c r="BQ12" i="12"/>
  <c r="BO12" i="12"/>
  <c r="BM12" i="12"/>
  <c r="BK12" i="12"/>
  <c r="BI12" i="12"/>
  <c r="BG12" i="12"/>
  <c r="BE12" i="12"/>
  <c r="BC12" i="12"/>
  <c r="BA12" i="12"/>
  <c r="AY12" i="12"/>
  <c r="AW12" i="12"/>
  <c r="AU12" i="12"/>
  <c r="AS12" i="12"/>
  <c r="AQ12" i="12"/>
  <c r="AO12" i="12"/>
  <c r="AM12" i="12"/>
  <c r="AK12" i="12"/>
  <c r="AI12" i="12"/>
  <c r="AG12" i="12"/>
  <c r="AE12" i="12"/>
  <c r="AC12" i="12"/>
  <c r="AA12" i="12"/>
  <c r="Y12" i="12"/>
  <c r="W12" i="12"/>
  <c r="U12" i="12"/>
  <c r="S12" i="12"/>
  <c r="Q12" i="12"/>
  <c r="O12" i="12"/>
  <c r="M12" i="12"/>
  <c r="K12" i="12"/>
  <c r="I12" i="12"/>
  <c r="G12" i="12"/>
  <c r="E12" i="12"/>
  <c r="C12" i="12"/>
  <c r="DA11" i="12"/>
  <c r="CY11" i="12"/>
  <c r="CW11" i="12"/>
  <c r="CU11" i="12"/>
  <c r="CS11" i="12"/>
  <c r="CQ11" i="12"/>
  <c r="CO11" i="12"/>
  <c r="CM11" i="12"/>
  <c r="CK11" i="12"/>
  <c r="CI11" i="12"/>
  <c r="CG11" i="12"/>
  <c r="CE11" i="12"/>
  <c r="CC11" i="12"/>
  <c r="CA11" i="12"/>
  <c r="BY11" i="12"/>
  <c r="BW11" i="12"/>
  <c r="BU11" i="12"/>
  <c r="BS11" i="12"/>
  <c r="BQ11" i="12"/>
  <c r="BO11" i="12"/>
  <c r="BM11" i="12"/>
  <c r="BK11" i="12"/>
  <c r="BI11" i="12"/>
  <c r="BG11" i="12"/>
  <c r="BE11" i="12"/>
  <c r="BC11" i="12"/>
  <c r="BA11" i="12"/>
  <c r="AY11" i="12"/>
  <c r="AW11" i="12"/>
  <c r="AU11" i="12"/>
  <c r="AS11" i="12"/>
  <c r="AQ11" i="12"/>
  <c r="AO11" i="12"/>
  <c r="AM11" i="12"/>
  <c r="AK11" i="12"/>
  <c r="AI11" i="12"/>
  <c r="AG11" i="12"/>
  <c r="AE11" i="12"/>
  <c r="AC11" i="12"/>
  <c r="AA11" i="12"/>
  <c r="Y11" i="12"/>
  <c r="W11" i="12"/>
  <c r="U11" i="12"/>
  <c r="S11" i="12"/>
  <c r="Q11" i="12"/>
  <c r="O11" i="12"/>
  <c r="M11" i="12"/>
  <c r="K11" i="12"/>
  <c r="I11" i="12"/>
  <c r="G11" i="12"/>
  <c r="E11" i="12"/>
  <c r="C11" i="12"/>
  <c r="DA10" i="12"/>
  <c r="CY10" i="12"/>
  <c r="CW10" i="12"/>
  <c r="CU10" i="12"/>
  <c r="CS10" i="12"/>
  <c r="CQ10" i="12"/>
  <c r="CO10" i="12"/>
  <c r="CM10" i="12"/>
  <c r="CK10" i="12"/>
  <c r="CI10" i="12"/>
  <c r="CG10" i="12"/>
  <c r="CE10" i="12"/>
  <c r="CC10" i="12"/>
  <c r="CA10" i="12"/>
  <c r="BY10" i="12"/>
  <c r="BW10" i="12"/>
  <c r="BU10" i="12"/>
  <c r="BS10" i="12"/>
  <c r="BQ10" i="12"/>
  <c r="BO10" i="12"/>
  <c r="BM10" i="12"/>
  <c r="BK10" i="12"/>
  <c r="BI10" i="12"/>
  <c r="BG10" i="12"/>
  <c r="BE10" i="12"/>
  <c r="BC10" i="12"/>
  <c r="BA10" i="12"/>
  <c r="AY10" i="12"/>
  <c r="AW10" i="12"/>
  <c r="AU10" i="12"/>
  <c r="AS10" i="12"/>
  <c r="AQ10" i="12"/>
  <c r="AO10" i="12"/>
  <c r="AM10" i="12"/>
  <c r="AK10" i="12"/>
  <c r="AI10" i="12"/>
  <c r="AG10" i="12"/>
  <c r="AE10" i="12"/>
  <c r="AC10" i="12"/>
  <c r="AA10" i="12"/>
  <c r="Y10" i="12"/>
  <c r="W10" i="12"/>
  <c r="U10" i="12"/>
  <c r="S10" i="12"/>
  <c r="Q10" i="12"/>
  <c r="O10" i="12"/>
  <c r="M10" i="12"/>
  <c r="K10" i="12"/>
  <c r="I10" i="12"/>
  <c r="G10" i="12"/>
  <c r="E10" i="12"/>
  <c r="C10" i="12"/>
  <c r="DE9" i="12"/>
  <c r="DA9" i="12"/>
  <c r="CY9" i="12"/>
  <c r="CW9" i="12"/>
  <c r="CU9" i="12"/>
  <c r="CS9" i="12"/>
  <c r="CQ9" i="12"/>
  <c r="CO9" i="12"/>
  <c r="CM9" i="12"/>
  <c r="CK9" i="12"/>
  <c r="CI9" i="12"/>
  <c r="CG9" i="12"/>
  <c r="CE9" i="12"/>
  <c r="CC9" i="12"/>
  <c r="CA9" i="12"/>
  <c r="BY9" i="12"/>
  <c r="BW9" i="12"/>
  <c r="BU9" i="12"/>
  <c r="BS9" i="12"/>
  <c r="BQ9" i="12"/>
  <c r="BO9" i="12"/>
  <c r="BM9" i="12"/>
  <c r="BK9" i="12"/>
  <c r="BI9" i="12"/>
  <c r="BG9" i="12"/>
  <c r="BE9" i="12"/>
  <c r="BC9" i="12"/>
  <c r="BA9" i="12"/>
  <c r="AY9" i="12"/>
  <c r="AW9" i="12"/>
  <c r="AU9" i="12"/>
  <c r="AS9" i="12"/>
  <c r="AQ9" i="12"/>
  <c r="AO9" i="12"/>
  <c r="AM9" i="12"/>
  <c r="AK9" i="12"/>
  <c r="AI9" i="12"/>
  <c r="AG9" i="12"/>
  <c r="AE9" i="12"/>
  <c r="AC9" i="12"/>
  <c r="AA9" i="12"/>
  <c r="Y9" i="12"/>
  <c r="W9" i="12"/>
  <c r="U9" i="12"/>
  <c r="S9" i="12"/>
  <c r="Q9" i="12"/>
  <c r="O9" i="12"/>
  <c r="M9" i="12"/>
  <c r="K9" i="12"/>
  <c r="I9" i="12"/>
  <c r="G9" i="12"/>
  <c r="E9" i="12"/>
  <c r="C9" i="12"/>
  <c r="C48" i="23"/>
  <c r="B48" i="23"/>
  <c r="C44" i="23"/>
  <c r="B44" i="23"/>
  <c r="U13" i="24"/>
  <c r="V13" i="24" s="1"/>
  <c r="V12" i="24"/>
  <c r="V11" i="24"/>
  <c r="U10" i="24"/>
  <c r="V10" i="24" s="1"/>
  <c r="V8" i="24"/>
  <c r="U8" i="24"/>
  <c r="U9" i="24" s="1"/>
  <c r="U14" i="24" s="1"/>
  <c r="V14" i="24" s="1"/>
  <c r="V6" i="24"/>
  <c r="U5" i="24"/>
  <c r="U3" i="24" s="1"/>
  <c r="V3" i="24" s="1"/>
  <c r="U4" i="24"/>
  <c r="V4" i="24" s="1"/>
  <c r="BH24" i="22"/>
  <c r="BG23" i="22"/>
  <c r="BG22" i="22"/>
  <c r="BG21" i="22"/>
  <c r="BG20" i="22"/>
  <c r="BG19" i="22"/>
  <c r="BG18" i="22"/>
  <c r="BG17" i="22"/>
  <c r="BG16" i="22"/>
  <c r="BG15" i="22"/>
  <c r="BG14" i="22"/>
  <c r="BG13" i="22"/>
  <c r="BG12" i="22"/>
  <c r="BG11" i="22"/>
  <c r="BG10" i="22"/>
  <c r="BG9" i="22"/>
  <c r="BG8" i="22"/>
  <c r="BG7" i="22"/>
  <c r="H3204" i="11"/>
  <c r="H3203" i="11"/>
  <c r="H3202" i="11"/>
  <c r="H3201" i="11"/>
  <c r="H3200" i="11"/>
  <c r="H3199" i="11"/>
  <c r="H3198" i="11"/>
  <c r="H3197" i="11"/>
  <c r="H3196" i="11"/>
  <c r="H3195" i="11"/>
  <c r="H3194" i="11"/>
  <c r="H3193" i="11"/>
  <c r="H3192" i="11"/>
  <c r="H3191" i="11"/>
  <c r="H3190" i="11"/>
  <c r="H3189" i="11"/>
  <c r="H3188" i="11"/>
  <c r="H3187" i="11"/>
  <c r="H3186" i="11"/>
  <c r="H3185" i="11"/>
  <c r="H3184" i="11"/>
  <c r="H3183" i="11"/>
  <c r="H3182" i="11"/>
  <c r="H3181" i="11"/>
  <c r="H3180" i="11"/>
  <c r="H3179" i="11"/>
  <c r="H3178" i="11"/>
  <c r="H3177" i="11"/>
  <c r="H3176" i="11"/>
  <c r="H3175" i="11"/>
  <c r="H3174" i="11"/>
  <c r="H3173" i="11"/>
  <c r="H3172" i="11"/>
  <c r="H3171" i="11"/>
  <c r="H3170" i="11"/>
  <c r="H3169" i="11"/>
  <c r="H3168" i="11"/>
  <c r="H3167" i="11"/>
  <c r="H3166" i="11"/>
  <c r="H3165" i="11"/>
  <c r="H3164" i="11"/>
  <c r="H3163" i="11"/>
  <c r="H3162" i="11"/>
  <c r="H3161" i="11"/>
  <c r="H3160" i="11"/>
  <c r="H3159" i="11"/>
  <c r="H3158" i="11"/>
  <c r="H3157" i="11"/>
  <c r="H3156" i="11"/>
  <c r="H3155" i="11"/>
  <c r="H3154" i="11"/>
  <c r="H3153" i="11"/>
  <c r="H3152" i="11"/>
  <c r="H3151" i="11"/>
  <c r="H3150" i="11"/>
  <c r="H3149" i="11"/>
  <c r="H3148" i="11"/>
  <c r="H3147" i="11"/>
  <c r="H3145" i="11"/>
  <c r="H3144" i="11"/>
  <c r="H3143" i="11"/>
  <c r="H3142" i="11"/>
  <c r="H3141" i="11"/>
  <c r="H3140" i="11"/>
  <c r="H3139" i="11"/>
  <c r="H3138" i="11"/>
  <c r="H3137" i="11"/>
  <c r="H3136" i="11"/>
  <c r="H3135" i="11"/>
  <c r="H3134" i="11"/>
  <c r="H3133" i="11"/>
  <c r="H3132" i="11"/>
  <c r="H3131" i="11"/>
  <c r="H3130" i="11"/>
  <c r="H3129" i="11"/>
  <c r="H3128" i="11"/>
  <c r="H3127" i="11"/>
  <c r="H3126" i="11"/>
  <c r="H3125" i="11"/>
  <c r="H3124" i="11"/>
  <c r="H3123" i="11"/>
  <c r="H3122" i="11"/>
  <c r="H3121" i="11"/>
  <c r="H3120" i="11"/>
  <c r="H3119" i="11"/>
  <c r="H3118" i="11"/>
  <c r="H3117" i="11"/>
  <c r="H3116" i="11"/>
  <c r="H3115" i="11"/>
  <c r="H3114" i="11"/>
  <c r="H3113" i="11"/>
  <c r="H3112" i="11"/>
  <c r="H3111" i="11"/>
  <c r="H3110" i="11"/>
  <c r="H3109" i="11"/>
  <c r="H3108" i="11"/>
  <c r="H3107" i="11"/>
  <c r="H3106" i="11"/>
  <c r="H3105" i="11"/>
  <c r="H3104" i="11"/>
  <c r="H3103" i="11"/>
  <c r="H3102" i="11"/>
  <c r="H3101" i="11"/>
  <c r="H3100" i="11"/>
  <c r="H3099" i="11"/>
  <c r="H3098" i="11"/>
  <c r="H3097" i="11"/>
  <c r="H3096" i="11"/>
  <c r="H3095" i="11"/>
  <c r="H3094" i="11"/>
  <c r="H3093" i="11"/>
  <c r="H3092" i="11"/>
  <c r="H3091" i="11"/>
  <c r="H3090" i="11"/>
  <c r="H3089" i="11"/>
  <c r="H3088" i="11"/>
  <c r="H3087" i="11"/>
  <c r="H3086" i="11"/>
  <c r="H3085" i="11"/>
  <c r="H3084" i="11"/>
  <c r="H3083" i="11"/>
  <c r="H3082" i="11"/>
  <c r="H3081" i="11"/>
  <c r="H3080" i="11"/>
  <c r="H3079" i="11"/>
  <c r="H3078" i="11"/>
  <c r="H3077" i="11"/>
  <c r="H3076" i="11"/>
  <c r="H3075" i="11"/>
  <c r="H3074" i="11"/>
  <c r="H3073" i="11"/>
  <c r="H3072" i="11"/>
  <c r="H3071" i="11"/>
  <c r="H3070" i="11"/>
  <c r="H3069" i="11"/>
  <c r="H3067" i="11"/>
  <c r="H3066" i="11"/>
  <c r="H3065" i="11"/>
  <c r="H3064" i="11"/>
  <c r="H3063" i="11"/>
  <c r="H3062" i="11"/>
  <c r="H3061" i="11"/>
  <c r="H3060" i="11"/>
  <c r="H3059" i="11"/>
  <c r="H3058" i="11"/>
  <c r="H3057" i="11"/>
  <c r="H3056" i="11"/>
  <c r="H3055" i="11"/>
  <c r="H3054" i="11"/>
  <c r="H3053" i="11"/>
  <c r="H3052" i="11"/>
  <c r="H3051" i="11"/>
  <c r="H3050" i="11"/>
  <c r="H3049" i="11"/>
  <c r="H3048" i="11"/>
  <c r="H3047" i="11"/>
  <c r="H3046" i="11"/>
  <c r="H3044" i="11"/>
  <c r="H3043" i="11"/>
  <c r="H3042" i="11"/>
  <c r="H3041" i="11"/>
  <c r="H3040" i="11"/>
  <c r="H3039" i="11"/>
  <c r="H3038" i="11"/>
  <c r="H3037" i="11"/>
  <c r="H3036" i="11"/>
  <c r="H3035" i="11"/>
  <c r="H3034" i="11"/>
  <c r="H3033" i="11"/>
  <c r="H3032" i="11"/>
  <c r="H3031" i="11"/>
  <c r="H3030" i="11"/>
  <c r="H3029" i="11"/>
  <c r="H3028" i="11"/>
  <c r="H3027" i="11"/>
  <c r="H3026" i="11"/>
  <c r="H3025" i="11"/>
  <c r="H3024" i="11"/>
  <c r="H3023" i="11"/>
  <c r="H3022" i="11"/>
  <c r="H3021" i="11"/>
  <c r="H3020" i="11"/>
  <c r="H3019" i="11"/>
  <c r="H3018" i="11"/>
  <c r="H3017" i="11"/>
  <c r="H3016" i="11"/>
  <c r="H3015" i="11"/>
  <c r="H3013" i="11"/>
  <c r="H3012" i="11"/>
  <c r="H3011" i="11"/>
  <c r="H3010" i="11"/>
  <c r="H3009" i="11"/>
  <c r="H3008" i="11"/>
  <c r="H3007" i="11"/>
  <c r="H3006" i="11"/>
  <c r="H3005" i="11"/>
  <c r="H3004" i="11"/>
  <c r="H3003" i="11"/>
  <c r="H3002" i="11"/>
  <c r="H3001" i="11"/>
  <c r="H3000" i="11"/>
  <c r="H2999" i="11"/>
  <c r="H2998" i="11"/>
  <c r="H2997" i="11"/>
  <c r="H2996" i="11"/>
  <c r="H2995" i="11"/>
  <c r="H2994" i="11"/>
  <c r="H2993" i="11"/>
  <c r="H2992" i="11"/>
  <c r="H2991" i="11"/>
  <c r="H2989" i="11"/>
  <c r="H2988" i="11"/>
  <c r="H2987" i="11"/>
  <c r="H2986" i="11"/>
  <c r="H2985" i="11"/>
  <c r="H2984" i="11"/>
  <c r="H2983" i="11"/>
  <c r="H2982" i="11"/>
  <c r="H2981" i="11"/>
  <c r="H2980" i="11"/>
  <c r="H2979" i="11"/>
  <c r="H2978" i="11"/>
  <c r="H2977" i="11"/>
  <c r="H2976" i="11"/>
  <c r="H2975" i="11"/>
  <c r="H2974" i="11"/>
  <c r="H2973" i="11"/>
  <c r="H2972" i="11"/>
  <c r="H2971" i="11"/>
  <c r="H2970" i="11"/>
  <c r="H2968" i="11"/>
  <c r="H2967" i="11"/>
  <c r="H2966" i="11"/>
  <c r="H2965" i="11"/>
  <c r="H2964" i="11"/>
  <c r="H2963" i="11"/>
  <c r="H2962" i="11"/>
  <c r="H2960" i="11"/>
  <c r="H2959" i="11"/>
  <c r="H2958" i="11"/>
  <c r="H2957" i="11"/>
  <c r="H2956" i="11"/>
  <c r="H2955" i="11"/>
  <c r="H2954" i="11"/>
  <c r="H2953" i="11"/>
  <c r="H2952" i="11"/>
  <c r="H2951" i="11"/>
  <c r="H2950" i="11"/>
  <c r="H2949" i="11"/>
  <c r="H2948" i="11"/>
  <c r="H2947" i="11"/>
  <c r="H2946" i="11"/>
  <c r="H2945" i="11"/>
  <c r="H2944" i="11"/>
  <c r="H2943" i="11"/>
  <c r="H2942" i="11"/>
  <c r="H2941" i="11"/>
  <c r="H2940" i="11"/>
  <c r="H2939" i="11"/>
  <c r="H2938" i="11"/>
  <c r="H2937" i="11"/>
  <c r="H2935" i="11"/>
  <c r="H2934" i="11"/>
  <c r="H2933" i="11"/>
  <c r="H2932" i="11"/>
  <c r="H2931" i="11"/>
  <c r="H2930" i="11"/>
  <c r="H2929" i="11"/>
  <c r="H2928" i="11"/>
  <c r="H2927" i="11"/>
  <c r="H2926" i="11"/>
  <c r="H2925" i="11"/>
  <c r="H2924" i="11"/>
  <c r="H2923" i="11"/>
  <c r="H2922" i="11"/>
  <c r="H2921" i="11"/>
  <c r="H2920" i="11"/>
  <c r="H2919" i="11"/>
  <c r="H2918" i="11"/>
  <c r="H2917" i="11"/>
  <c r="H2916" i="11"/>
  <c r="H2915" i="11"/>
  <c r="H2914" i="11"/>
  <c r="H2913" i="11"/>
  <c r="H2911" i="11"/>
  <c r="H2910" i="11"/>
  <c r="H2909" i="11"/>
  <c r="H2908" i="11"/>
  <c r="H2907" i="11"/>
  <c r="H2906" i="11"/>
  <c r="H2905" i="11"/>
  <c r="H2904" i="11"/>
  <c r="H2903" i="11"/>
  <c r="H2902" i="11"/>
  <c r="H2901" i="11"/>
  <c r="H2900" i="11"/>
  <c r="H2899" i="11"/>
  <c r="H2898" i="11"/>
  <c r="H2897" i="11"/>
  <c r="H2896" i="11"/>
  <c r="H2895" i="11"/>
  <c r="H2894" i="11"/>
  <c r="H2893" i="11"/>
  <c r="H2892" i="11"/>
  <c r="H2890" i="11"/>
  <c r="H2889" i="11"/>
  <c r="H2888" i="11"/>
  <c r="H2887" i="11"/>
  <c r="H2885" i="11"/>
  <c r="H2884" i="11"/>
  <c r="H2883" i="11"/>
  <c r="H2882" i="11"/>
  <c r="H2881" i="11"/>
  <c r="H2880" i="11"/>
  <c r="H2879" i="11"/>
  <c r="H2878" i="11"/>
  <c r="H2877" i="11"/>
  <c r="H2876" i="11"/>
  <c r="H2875" i="11"/>
  <c r="H2874" i="11"/>
  <c r="H2873" i="11"/>
  <c r="H2872" i="11"/>
  <c r="H2871" i="11"/>
  <c r="H2870" i="11"/>
  <c r="H2869" i="11"/>
  <c r="H2868" i="11"/>
  <c r="H2867" i="11"/>
  <c r="H2866" i="11"/>
  <c r="H2865" i="11"/>
  <c r="H2864" i="11"/>
  <c r="H2863" i="11"/>
  <c r="H2862" i="11"/>
  <c r="H2861" i="11"/>
  <c r="H2860" i="11"/>
  <c r="H2859" i="11"/>
  <c r="H2858" i="11"/>
  <c r="H2857" i="11"/>
  <c r="H2856" i="11"/>
  <c r="H2855" i="11"/>
  <c r="H2854" i="11"/>
  <c r="H2853" i="11"/>
  <c r="H2852" i="11"/>
  <c r="H2851" i="11"/>
  <c r="H2850" i="11"/>
  <c r="H2849" i="11"/>
  <c r="H2848" i="11"/>
  <c r="H2847" i="11"/>
  <c r="H2846" i="11"/>
  <c r="H2845" i="11"/>
  <c r="H2844" i="11"/>
  <c r="H2843" i="11"/>
  <c r="H2842" i="11"/>
  <c r="H2841" i="11"/>
  <c r="H2840" i="11"/>
  <c r="H2839" i="11"/>
  <c r="H2838" i="11"/>
  <c r="H2837" i="11"/>
  <c r="H2836" i="11"/>
  <c r="H2835" i="11"/>
  <c r="H2833" i="11"/>
  <c r="H2832" i="11"/>
  <c r="H2831" i="11"/>
  <c r="H2830" i="11"/>
  <c r="H2829" i="11"/>
  <c r="H2828" i="11"/>
  <c r="H2827" i="11"/>
  <c r="H2826" i="11"/>
  <c r="H2825" i="11"/>
  <c r="H2824" i="11"/>
  <c r="H2823" i="11"/>
  <c r="H2822" i="11"/>
  <c r="H2821" i="11"/>
  <c r="H2820" i="11"/>
  <c r="H2819" i="11"/>
  <c r="H2818" i="11"/>
  <c r="H2817" i="11"/>
  <c r="H2816" i="11"/>
  <c r="H2815" i="11"/>
  <c r="H2814" i="11"/>
  <c r="H2812" i="11"/>
  <c r="H2811" i="11"/>
  <c r="H2810" i="11"/>
  <c r="H2809" i="11"/>
  <c r="H2807" i="11"/>
  <c r="H2806" i="11"/>
  <c r="H2805" i="11"/>
  <c r="H2804" i="11"/>
  <c r="H2803" i="11"/>
  <c r="H2802" i="11"/>
  <c r="H2801" i="11"/>
  <c r="H2800" i="11"/>
  <c r="H2799" i="11"/>
  <c r="H2798" i="11"/>
  <c r="H2797" i="11"/>
  <c r="H2796" i="11"/>
  <c r="H2795" i="11"/>
  <c r="H2794" i="11"/>
  <c r="H2793" i="11"/>
  <c r="H2792" i="11"/>
  <c r="H2791" i="11"/>
  <c r="H2790" i="11"/>
  <c r="H2789" i="11"/>
  <c r="H2788" i="11"/>
  <c r="H2787" i="11"/>
  <c r="H2786" i="11"/>
  <c r="H2785" i="11"/>
  <c r="H2784" i="11"/>
  <c r="H2783" i="11"/>
  <c r="H2782" i="11"/>
  <c r="H2781" i="11"/>
  <c r="H2780" i="11"/>
  <c r="H2779" i="11"/>
  <c r="H2778" i="11"/>
  <c r="H2777" i="11"/>
  <c r="H2776" i="11"/>
  <c r="H2775" i="11"/>
  <c r="H2774" i="11"/>
  <c r="H2773" i="11"/>
  <c r="H2772" i="11"/>
  <c r="H2771" i="11"/>
  <c r="H2770" i="11"/>
  <c r="H2769" i="11"/>
  <c r="H2768" i="11"/>
  <c r="H2767" i="11"/>
  <c r="H2766" i="11"/>
  <c r="H2765" i="11"/>
  <c r="H2764" i="11"/>
  <c r="H2763" i="11"/>
  <c r="H2762" i="11"/>
  <c r="H2761" i="11"/>
  <c r="H2760" i="11"/>
  <c r="H2759" i="11"/>
  <c r="H2758" i="11"/>
  <c r="H2757" i="11"/>
  <c r="H2755" i="11"/>
  <c r="H2754" i="11"/>
  <c r="H2753" i="11"/>
  <c r="H2752" i="11"/>
  <c r="H2751" i="11"/>
  <c r="H2750" i="11"/>
  <c r="H2749" i="11"/>
  <c r="H2748" i="11"/>
  <c r="H2747" i="11"/>
  <c r="H2746" i="11"/>
  <c r="H2745" i="11"/>
  <c r="H2744" i="11"/>
  <c r="H2743" i="11"/>
  <c r="H2742" i="11"/>
  <c r="H2741" i="11"/>
  <c r="H2740" i="11"/>
  <c r="H2739" i="11"/>
  <c r="H2738" i="11"/>
  <c r="H2737" i="11"/>
  <c r="H2736" i="11"/>
  <c r="H2735" i="11"/>
  <c r="H2734" i="11"/>
  <c r="H2733" i="11"/>
  <c r="H2732" i="11"/>
  <c r="H2731" i="11"/>
  <c r="H2730" i="11"/>
  <c r="H2728" i="11"/>
  <c r="H2726" i="11"/>
  <c r="H2725" i="11"/>
  <c r="H2724" i="11"/>
  <c r="H2723" i="11"/>
  <c r="H2722" i="11"/>
  <c r="H2721" i="11"/>
  <c r="H2720" i="11"/>
  <c r="H2719" i="11"/>
  <c r="H2718" i="11"/>
  <c r="H2717" i="11"/>
  <c r="H2716" i="11"/>
  <c r="H2715" i="11"/>
  <c r="H2714" i="11"/>
  <c r="H2713" i="11"/>
  <c r="H2712" i="11"/>
  <c r="H2711" i="11"/>
  <c r="H2710" i="11"/>
  <c r="H2709" i="11"/>
  <c r="H2708" i="11"/>
  <c r="H2707" i="11"/>
  <c r="H2706" i="11"/>
  <c r="H2705" i="11"/>
  <c r="H2704" i="11"/>
  <c r="H2703" i="11"/>
  <c r="H2701" i="11"/>
  <c r="H2700" i="11"/>
  <c r="H2699" i="11"/>
  <c r="H2698" i="11"/>
  <c r="H2697" i="11"/>
  <c r="H2696" i="11"/>
  <c r="H2695" i="11"/>
  <c r="H2694" i="11"/>
  <c r="H2693" i="11"/>
  <c r="H2692" i="11"/>
  <c r="H2691" i="11"/>
  <c r="H2690" i="11"/>
  <c r="H2689" i="11"/>
  <c r="H2688" i="11"/>
  <c r="H2687" i="11"/>
  <c r="H2686" i="11"/>
  <c r="H2685" i="11"/>
  <c r="H2684" i="11"/>
  <c r="H2683" i="11"/>
  <c r="H2682" i="11"/>
  <c r="H2681" i="11"/>
  <c r="H2680" i="11"/>
  <c r="H2679" i="11"/>
  <c r="H2677" i="11"/>
  <c r="H2676" i="11"/>
  <c r="H2675" i="11"/>
  <c r="H2674" i="11"/>
  <c r="H2673" i="11"/>
  <c r="H2672" i="11"/>
  <c r="H2671" i="11"/>
  <c r="H2670" i="11"/>
  <c r="H2669" i="11"/>
  <c r="H2668" i="11"/>
  <c r="H2667" i="11"/>
  <c r="H2666" i="11"/>
  <c r="H2665" i="11"/>
  <c r="H2664" i="11"/>
  <c r="H2663" i="11"/>
  <c r="H2662" i="11"/>
  <c r="H2661" i="11"/>
  <c r="H2660" i="11"/>
  <c r="H2659" i="11"/>
  <c r="H2658" i="11"/>
  <c r="H2657" i="11"/>
  <c r="H2656" i="11"/>
  <c r="H2655" i="11"/>
  <c r="H2654" i="11"/>
  <c r="H2653" i="11"/>
  <c r="H2652" i="11"/>
  <c r="H2651" i="11"/>
  <c r="H2650" i="11"/>
  <c r="H2648" i="11"/>
  <c r="H2647" i="11"/>
  <c r="H2646" i="11"/>
  <c r="H2645" i="11"/>
  <c r="H2644" i="11"/>
  <c r="H2643" i="11"/>
  <c r="H2642" i="11"/>
  <c r="H2641" i="11"/>
  <c r="H2640" i="11"/>
  <c r="H2639" i="11"/>
  <c r="H2638" i="11"/>
  <c r="H2637" i="11"/>
  <c r="H2636" i="11"/>
  <c r="H2635" i="11"/>
  <c r="H2634" i="11"/>
  <c r="H2633" i="11"/>
  <c r="H2632" i="11"/>
  <c r="H2631" i="11"/>
  <c r="H2630" i="11"/>
  <c r="H2629" i="11"/>
  <c r="H2628" i="11"/>
  <c r="H2627" i="11"/>
  <c r="H2626" i="11"/>
  <c r="H2625" i="11"/>
  <c r="H2624" i="11"/>
  <c r="H2623" i="11"/>
  <c r="H2622" i="11"/>
  <c r="H2621" i="11"/>
  <c r="H2620" i="11"/>
  <c r="H2619" i="11"/>
  <c r="H2618" i="11"/>
  <c r="H2617" i="11"/>
  <c r="H2616" i="11"/>
  <c r="H2615" i="11"/>
  <c r="H2614" i="11"/>
  <c r="H2613" i="11"/>
  <c r="H2612" i="11"/>
  <c r="H2611" i="11"/>
  <c r="H2610" i="11"/>
  <c r="H2609" i="11"/>
  <c r="H2608" i="11"/>
  <c r="H2607" i="11"/>
  <c r="H2606" i="11"/>
  <c r="H2605" i="11"/>
  <c r="H2604" i="11"/>
  <c r="H2603" i="11"/>
  <c r="H2602" i="11"/>
  <c r="H2601" i="11"/>
  <c r="H2599" i="11"/>
  <c r="H2598" i="11"/>
  <c r="H2597" i="11"/>
  <c r="H2596" i="11"/>
  <c r="H2595" i="11"/>
  <c r="H2594" i="11"/>
  <c r="H2593" i="11"/>
  <c r="H2592" i="11"/>
  <c r="H2591" i="11"/>
  <c r="H2590" i="11"/>
  <c r="H2589" i="11"/>
  <c r="H2588" i="11"/>
  <c r="H2587" i="11"/>
  <c r="H2586" i="11"/>
  <c r="H2585" i="11"/>
  <c r="H2584" i="11"/>
  <c r="H2583" i="11"/>
  <c r="H2582" i="11"/>
  <c r="H2581" i="11"/>
  <c r="H2580" i="11"/>
  <c r="H2579" i="11"/>
  <c r="H2578" i="11"/>
  <c r="H2577" i="11"/>
  <c r="H2576" i="11"/>
  <c r="H2575" i="11"/>
  <c r="H2574" i="11"/>
  <c r="H2573" i="11"/>
  <c r="H2572" i="11"/>
  <c r="H2571" i="11"/>
  <c r="H2570" i="11"/>
  <c r="H2569" i="11"/>
  <c r="H2568" i="11"/>
  <c r="H2567" i="11"/>
  <c r="H2566" i="11"/>
  <c r="H2565" i="11"/>
  <c r="H2564" i="11"/>
  <c r="H2563" i="11"/>
  <c r="H2562" i="11"/>
  <c r="H2561" i="11"/>
  <c r="H2560" i="11"/>
  <c r="H2559" i="11"/>
  <c r="H2558" i="11"/>
  <c r="H2557" i="11"/>
  <c r="H2556" i="11"/>
  <c r="H2555" i="11"/>
  <c r="H2554" i="11"/>
  <c r="H2553" i="11"/>
  <c r="H2552" i="11"/>
  <c r="H2551" i="11"/>
  <c r="H2550" i="11"/>
  <c r="H2549" i="11"/>
  <c r="H2548" i="11"/>
  <c r="H2547" i="11"/>
  <c r="H2546" i="11"/>
  <c r="H2545" i="11"/>
  <c r="H2544" i="11"/>
  <c r="H2543" i="11"/>
  <c r="H2542" i="11"/>
  <c r="H2541" i="11"/>
  <c r="H2540" i="11"/>
  <c r="H2539" i="11"/>
  <c r="H2538" i="11"/>
  <c r="H2537" i="11"/>
  <c r="H2536" i="11"/>
  <c r="H2535" i="11"/>
  <c r="H2534" i="11"/>
  <c r="H2533" i="11"/>
  <c r="H2532" i="11"/>
  <c r="H2531" i="11"/>
  <c r="H2530" i="11"/>
  <c r="H2529" i="11"/>
  <c r="H2528" i="11"/>
  <c r="H2527" i="11"/>
  <c r="H2526" i="11"/>
  <c r="H2525" i="11"/>
  <c r="H2524" i="11"/>
  <c r="H2523" i="11"/>
  <c r="H2521" i="11"/>
  <c r="H2520" i="11"/>
  <c r="H2519" i="11"/>
  <c r="H2518" i="11"/>
  <c r="H2517" i="11"/>
  <c r="H2516" i="11"/>
  <c r="H2515" i="11"/>
  <c r="H2514" i="11"/>
  <c r="H2513" i="11"/>
  <c r="H2512" i="11"/>
  <c r="H2511" i="11"/>
  <c r="H2510" i="11"/>
  <c r="H2509" i="11"/>
  <c r="H2508" i="11"/>
  <c r="H2507" i="11"/>
  <c r="H2506" i="11"/>
  <c r="H2505" i="11"/>
  <c r="H2504" i="11"/>
  <c r="H2503" i="11"/>
  <c r="H2502" i="11"/>
  <c r="H2501" i="11"/>
  <c r="H2500" i="11"/>
  <c r="H2499" i="11"/>
  <c r="H2498" i="11"/>
  <c r="H2497" i="11"/>
  <c r="H2496" i="11"/>
  <c r="H2495" i="11"/>
  <c r="H2494" i="11"/>
  <c r="H2493" i="11"/>
  <c r="H2492" i="11"/>
  <c r="H2491" i="11"/>
  <c r="H2490" i="11"/>
  <c r="H2489" i="11"/>
  <c r="H2488" i="11"/>
  <c r="H2487" i="11"/>
  <c r="H2486" i="11"/>
  <c r="H2485" i="11"/>
  <c r="H2484" i="11"/>
  <c r="H2483" i="11"/>
  <c r="H2482" i="11"/>
  <c r="H2481" i="11"/>
  <c r="H2480" i="11"/>
  <c r="H2479" i="11"/>
  <c r="H2478" i="11"/>
  <c r="H2477" i="11"/>
  <c r="H2476" i="11"/>
  <c r="H2475" i="11"/>
  <c r="H2474" i="11"/>
  <c r="H2473" i="11"/>
  <c r="H2472" i="11"/>
  <c r="H2471" i="11"/>
  <c r="H2470" i="11"/>
  <c r="H2469" i="11"/>
  <c r="H2468" i="11"/>
  <c r="H2467" i="11"/>
  <c r="H2466" i="11"/>
  <c r="H2465" i="11"/>
  <c r="H2464" i="11"/>
  <c r="H2463" i="11"/>
  <c r="H2462" i="11"/>
  <c r="H2461" i="11"/>
  <c r="H2460" i="11"/>
  <c r="H2459" i="11"/>
  <c r="H2458" i="11"/>
  <c r="H2457" i="11"/>
  <c r="H2456" i="11"/>
  <c r="H2455" i="11"/>
  <c r="H2454" i="11"/>
  <c r="H2453" i="11"/>
  <c r="H2452" i="11"/>
  <c r="H2451" i="11"/>
  <c r="H2450" i="11"/>
  <c r="H2449" i="11"/>
  <c r="H2448" i="11"/>
  <c r="H2447" i="11"/>
  <c r="H2446" i="11"/>
  <c r="H2445" i="11"/>
  <c r="H2444" i="11"/>
  <c r="H2443" i="11"/>
  <c r="H2442" i="11"/>
  <c r="H2441" i="11"/>
  <c r="H2440" i="11"/>
  <c r="H2439" i="11"/>
  <c r="H2438" i="11"/>
  <c r="H2437" i="11"/>
  <c r="H2436" i="11"/>
  <c r="H2435" i="11"/>
  <c r="H2434" i="11"/>
  <c r="H2433" i="11"/>
  <c r="H2432" i="11"/>
  <c r="H2431" i="11"/>
  <c r="H2430" i="11"/>
  <c r="H2429" i="11"/>
  <c r="H2428" i="11"/>
  <c r="H2427" i="11"/>
  <c r="H2426" i="11"/>
  <c r="H2425" i="11"/>
  <c r="H2424" i="11"/>
  <c r="H2423" i="11"/>
  <c r="H2422" i="11"/>
  <c r="H2421" i="11"/>
  <c r="H2420" i="11"/>
  <c r="H2419" i="11"/>
  <c r="H2418" i="11"/>
  <c r="H2417" i="11"/>
  <c r="H2416" i="11"/>
  <c r="H2415" i="11"/>
  <c r="H2414" i="11"/>
  <c r="H2413" i="11"/>
  <c r="H2412" i="11"/>
  <c r="H2411" i="11"/>
  <c r="H2410" i="11"/>
  <c r="H2409" i="11"/>
  <c r="H2408" i="11"/>
  <c r="H2407" i="11"/>
  <c r="H2406" i="11"/>
  <c r="H2405" i="11"/>
  <c r="H2404" i="11"/>
  <c r="H2403" i="11"/>
  <c r="H2402" i="11"/>
  <c r="H2401" i="11"/>
  <c r="H2400" i="11"/>
  <c r="H2399" i="11"/>
  <c r="H2398" i="11"/>
  <c r="H2397" i="11"/>
  <c r="H2396" i="11"/>
  <c r="H2395" i="11"/>
  <c r="H2394" i="11"/>
  <c r="H2393" i="11"/>
  <c r="H2392" i="11"/>
  <c r="H2391" i="11"/>
  <c r="H2390" i="11"/>
  <c r="H2389" i="11"/>
  <c r="H2388" i="11"/>
  <c r="H2387" i="11"/>
  <c r="H2386" i="11"/>
  <c r="H2385" i="11"/>
  <c r="H2384" i="11"/>
  <c r="H2383" i="11"/>
  <c r="H2382" i="11"/>
  <c r="H2381" i="11"/>
  <c r="H2380" i="11"/>
  <c r="H2379" i="11"/>
  <c r="H2378" i="11"/>
  <c r="H2377" i="11"/>
  <c r="H2376" i="11"/>
  <c r="H2375" i="11"/>
  <c r="H2374" i="11"/>
  <c r="H2373" i="11"/>
  <c r="H2372" i="11"/>
  <c r="H2371" i="11"/>
  <c r="H2370" i="11"/>
  <c r="H2369" i="11"/>
  <c r="H2368" i="11"/>
  <c r="H2367" i="11"/>
  <c r="H2366" i="11"/>
  <c r="H2365" i="11"/>
  <c r="H2364" i="11"/>
  <c r="H2363" i="11"/>
  <c r="H2362" i="11"/>
  <c r="H2361" i="11"/>
  <c r="H2360" i="11"/>
  <c r="H2359" i="11"/>
  <c r="H2358" i="11"/>
  <c r="H2357" i="11"/>
  <c r="H2356" i="11"/>
  <c r="H2355" i="11"/>
  <c r="H2354" i="11"/>
  <c r="H2353" i="11"/>
  <c r="H2352" i="11"/>
  <c r="H2351" i="11"/>
  <c r="H2350" i="11"/>
  <c r="H2349" i="11"/>
  <c r="H2348" i="11"/>
  <c r="H2347" i="11"/>
  <c r="H2346" i="11"/>
  <c r="H2345" i="11"/>
  <c r="H2344" i="11"/>
  <c r="H2343" i="11"/>
  <c r="H2342" i="11"/>
  <c r="H2341" i="11"/>
  <c r="H2340" i="11"/>
  <c r="H2339" i="11"/>
  <c r="H2338" i="11"/>
  <c r="H2337" i="11"/>
  <c r="H2336" i="11"/>
  <c r="H2335" i="11"/>
  <c r="H2334" i="11"/>
  <c r="H2333" i="11"/>
  <c r="H2332" i="11"/>
  <c r="H2331" i="11"/>
  <c r="H2330" i="11"/>
  <c r="H2329" i="11"/>
  <c r="H2328" i="11"/>
  <c r="H2327" i="11"/>
  <c r="H2326" i="11"/>
  <c r="H2325" i="11"/>
  <c r="H2324" i="11"/>
  <c r="H2323" i="11"/>
  <c r="H2322" i="11"/>
  <c r="H2321" i="11"/>
  <c r="H2320" i="11"/>
  <c r="H2319" i="11"/>
  <c r="H2318" i="11"/>
  <c r="H2317" i="11"/>
  <c r="H2316" i="11"/>
  <c r="H2315" i="11"/>
  <c r="H2314" i="11"/>
  <c r="H2313" i="11"/>
  <c r="H2311" i="11"/>
  <c r="H2310" i="11"/>
  <c r="H2309" i="11"/>
  <c r="H2308" i="11"/>
  <c r="H2307" i="11"/>
  <c r="H2306" i="11"/>
  <c r="H2305" i="11"/>
  <c r="H2304" i="11"/>
  <c r="H2303" i="11"/>
  <c r="H2302" i="11"/>
  <c r="H2301" i="11"/>
  <c r="H2300" i="11"/>
  <c r="H2299" i="11"/>
  <c r="H2298" i="11"/>
  <c r="H2297" i="11"/>
  <c r="H2296" i="11"/>
  <c r="H2295" i="11"/>
  <c r="H2294" i="11"/>
  <c r="H2293" i="11"/>
  <c r="H2292" i="11"/>
  <c r="H2291" i="11"/>
  <c r="H2290" i="11"/>
  <c r="H2289" i="11"/>
  <c r="H2287" i="11"/>
  <c r="H2286" i="11"/>
  <c r="H2285" i="11"/>
  <c r="H2284" i="11"/>
  <c r="H2283" i="11"/>
  <c r="H2282" i="11"/>
  <c r="H2281" i="11"/>
  <c r="H2280" i="11"/>
  <c r="H2279" i="11"/>
  <c r="H2278" i="11"/>
  <c r="H2277" i="11"/>
  <c r="H2276" i="11"/>
  <c r="H2275" i="11"/>
  <c r="H2274" i="11"/>
  <c r="H2273" i="11"/>
  <c r="H2272" i="11"/>
  <c r="H2271" i="11"/>
  <c r="H2270" i="11"/>
  <c r="H2269" i="11"/>
  <c r="H2268" i="11"/>
  <c r="H2266" i="11"/>
  <c r="H2265" i="11"/>
  <c r="H2264" i="11"/>
  <c r="H2263" i="11"/>
  <c r="H2262" i="11"/>
  <c r="H2261" i="11"/>
  <c r="H2260" i="11"/>
  <c r="H2259" i="11"/>
  <c r="H2258" i="11"/>
  <c r="H2257" i="11"/>
  <c r="H2256" i="11"/>
  <c r="H2255" i="11"/>
  <c r="H2254" i="11"/>
  <c r="H2253" i="11"/>
  <c r="H2252" i="11"/>
  <c r="H2251" i="11"/>
  <c r="H2250" i="11"/>
  <c r="H2249" i="11"/>
  <c r="H2248" i="11"/>
  <c r="H2247" i="11"/>
  <c r="H2246" i="11"/>
  <c r="H2245" i="11"/>
  <c r="H2244" i="11"/>
  <c r="H2243" i="11"/>
  <c r="H2242" i="11"/>
  <c r="H2241" i="11"/>
  <c r="H2240" i="11"/>
  <c r="H2239" i="11"/>
  <c r="H2238" i="11"/>
  <c r="H2237" i="11"/>
  <c r="H2236" i="11"/>
  <c r="H2235" i="11"/>
  <c r="H2233" i="11"/>
  <c r="H2232" i="11"/>
  <c r="H2231" i="11"/>
  <c r="H2230" i="11"/>
  <c r="H2229" i="11"/>
  <c r="H2228" i="11"/>
  <c r="H2227" i="11"/>
  <c r="H2226" i="11"/>
  <c r="H2225" i="11"/>
  <c r="H2224" i="11"/>
  <c r="H2223" i="11"/>
  <c r="H2222" i="11"/>
  <c r="H2221" i="11"/>
  <c r="H2220" i="11"/>
  <c r="H2219" i="11"/>
  <c r="H2218" i="11"/>
  <c r="H2217" i="11"/>
  <c r="H2216" i="11"/>
  <c r="H2215" i="11"/>
  <c r="H2214" i="11"/>
  <c r="H2213" i="11"/>
  <c r="H2212" i="11"/>
  <c r="H2211" i="11"/>
  <c r="H2209" i="11"/>
  <c r="H2208" i="11"/>
  <c r="H2207" i="11"/>
  <c r="H2206" i="11"/>
  <c r="H2205" i="11"/>
  <c r="H2204" i="11"/>
  <c r="H2203" i="11"/>
  <c r="H2202" i="11"/>
  <c r="H2201" i="11"/>
  <c r="H2200" i="11"/>
  <c r="H2199" i="11"/>
  <c r="H2198" i="11"/>
  <c r="H2197" i="11"/>
  <c r="H2196" i="11"/>
  <c r="H2195" i="11"/>
  <c r="H2194" i="11"/>
  <c r="H2193" i="11"/>
  <c r="H2192" i="11"/>
  <c r="H2191" i="11"/>
  <c r="H2190" i="11"/>
  <c r="H2189" i="11"/>
  <c r="H2188" i="11"/>
  <c r="H2187" i="11"/>
  <c r="H2186" i="11"/>
  <c r="H2185" i="11"/>
  <c r="H2184" i="11"/>
  <c r="H2183" i="11"/>
  <c r="H2182" i="11"/>
  <c r="H2181" i="11"/>
  <c r="H2180" i="11"/>
  <c r="H2179" i="11"/>
  <c r="H2178" i="11"/>
  <c r="H2177" i="11"/>
  <c r="H2176" i="11"/>
  <c r="H2175" i="11"/>
  <c r="H2174" i="11"/>
  <c r="H2173" i="11"/>
  <c r="H2172" i="11"/>
  <c r="H2171" i="11"/>
  <c r="H2170" i="11"/>
  <c r="H2169" i="11"/>
  <c r="H2168" i="11"/>
  <c r="H2167" i="11"/>
  <c r="H2166" i="11"/>
  <c r="H2165" i="11"/>
  <c r="H2164" i="11"/>
  <c r="H2163" i="11"/>
  <c r="H2162" i="11"/>
  <c r="H2161" i="11"/>
  <c r="H2160" i="11"/>
  <c r="H2159" i="11"/>
  <c r="H2158" i="11"/>
  <c r="H2157" i="11"/>
  <c r="H2156" i="11"/>
  <c r="H2155" i="11"/>
  <c r="H2154" i="11"/>
  <c r="H2153" i="11"/>
  <c r="H2152" i="11"/>
  <c r="H2151" i="11"/>
  <c r="H2150" i="11"/>
  <c r="H2149" i="11"/>
  <c r="H2148" i="11"/>
  <c r="H2147" i="11"/>
  <c r="H2146" i="11"/>
  <c r="H2145" i="11"/>
  <c r="H2144" i="11"/>
  <c r="H2143" i="11"/>
  <c r="H2142" i="11"/>
  <c r="H2141" i="11"/>
  <c r="H2140" i="11"/>
  <c r="H2139" i="11"/>
  <c r="H2138" i="11"/>
  <c r="H2137" i="11"/>
  <c r="H2136" i="11"/>
  <c r="H2135" i="11"/>
  <c r="H2134" i="11"/>
  <c r="H2133" i="11"/>
  <c r="H2131" i="11"/>
  <c r="H2130" i="11"/>
  <c r="H2129" i="11"/>
  <c r="H2128" i="11"/>
  <c r="H2127" i="11"/>
  <c r="H2126" i="11"/>
  <c r="H2125" i="11"/>
  <c r="H2124" i="11"/>
  <c r="H2123" i="11"/>
  <c r="H2122" i="11"/>
  <c r="H2121" i="11"/>
  <c r="H2120" i="11"/>
  <c r="H2119" i="11"/>
  <c r="H2118" i="11"/>
  <c r="H2117" i="11"/>
  <c r="H2116" i="11"/>
  <c r="H2115" i="11"/>
  <c r="H2114" i="11"/>
  <c r="H2113" i="11"/>
  <c r="H2112" i="11"/>
  <c r="H2111" i="11"/>
  <c r="H2110" i="11"/>
  <c r="H2108" i="11"/>
  <c r="H2107" i="11"/>
  <c r="H2105" i="11"/>
  <c r="H2104" i="11"/>
  <c r="H2103" i="11"/>
  <c r="H2102" i="11"/>
  <c r="H2101" i="11"/>
  <c r="H2100" i="11"/>
  <c r="H2099" i="11"/>
  <c r="H2098" i="11"/>
  <c r="H2097" i="11"/>
  <c r="H2096" i="11"/>
  <c r="H2095" i="11"/>
  <c r="H2094" i="11"/>
  <c r="H2093" i="11"/>
  <c r="H2092" i="11"/>
  <c r="H2091" i="11"/>
  <c r="H2090" i="11"/>
  <c r="H2089" i="11"/>
  <c r="H2088" i="11"/>
  <c r="H2087" i="11"/>
  <c r="H2086" i="11"/>
  <c r="H2085" i="11"/>
  <c r="H2084" i="11"/>
  <c r="H2083" i="11"/>
  <c r="H2082" i="11"/>
  <c r="H2081" i="11"/>
  <c r="H2080" i="11"/>
  <c r="H2079" i="11"/>
  <c r="H2078" i="11"/>
  <c r="H2077" i="11"/>
  <c r="H2076" i="11"/>
  <c r="H2075" i="11"/>
  <c r="H2074" i="11"/>
  <c r="H2073" i="11"/>
  <c r="H2072" i="11"/>
  <c r="H2071" i="11"/>
  <c r="H2070" i="11"/>
  <c r="H2069" i="11"/>
  <c r="H2068" i="11"/>
  <c r="H2067" i="11"/>
  <c r="H2066" i="11"/>
  <c r="H2065" i="11"/>
  <c r="H2064" i="11"/>
  <c r="H2063" i="11"/>
  <c r="H2062" i="11"/>
  <c r="H2061" i="11"/>
  <c r="H2060" i="11"/>
  <c r="H2059" i="11"/>
  <c r="H2058" i="11"/>
  <c r="H2057" i="11"/>
  <c r="H2056" i="11"/>
  <c r="H2055" i="11"/>
  <c r="H2054" i="11"/>
  <c r="H2053" i="11"/>
  <c r="H2052" i="11"/>
  <c r="H2051" i="11"/>
  <c r="H2050" i="11"/>
  <c r="H2049" i="11"/>
  <c r="H2048" i="11"/>
  <c r="H2047" i="11"/>
  <c r="H2046" i="11"/>
  <c r="H2045" i="11"/>
  <c r="H2044" i="11"/>
  <c r="H2043" i="11"/>
  <c r="H2042" i="11"/>
  <c r="H2041" i="11"/>
  <c r="H2040" i="11"/>
  <c r="H2039" i="11"/>
  <c r="H2038" i="11"/>
  <c r="H2037" i="11"/>
  <c r="H2036" i="11"/>
  <c r="H2035" i="11"/>
  <c r="H2034" i="11"/>
  <c r="H2033" i="11"/>
  <c r="H2032" i="11"/>
  <c r="H2031" i="11"/>
  <c r="H2030" i="11"/>
  <c r="H2029" i="11"/>
  <c r="H2027" i="11"/>
  <c r="H2026" i="11"/>
  <c r="H2024" i="11"/>
  <c r="H2023" i="11"/>
  <c r="H2022" i="11"/>
  <c r="H2021" i="11"/>
  <c r="H2020" i="11"/>
  <c r="H2019" i="11"/>
  <c r="H2018" i="11"/>
  <c r="H2017" i="11"/>
  <c r="H2016" i="11"/>
  <c r="H2015" i="11"/>
  <c r="H2014" i="11"/>
  <c r="H2013" i="11"/>
  <c r="H2012" i="11"/>
  <c r="H2011" i="11"/>
  <c r="H2010" i="11"/>
  <c r="H2009" i="11"/>
  <c r="H2008" i="11"/>
  <c r="H2007" i="11"/>
  <c r="H2006" i="11"/>
  <c r="H2005" i="11"/>
  <c r="H2004" i="11"/>
  <c r="H2003" i="11"/>
  <c r="H2002" i="11"/>
  <c r="H2001" i="11"/>
  <c r="H1999" i="11"/>
  <c r="H1998" i="11"/>
  <c r="H1997" i="11"/>
  <c r="H1996" i="11"/>
  <c r="H1995" i="11"/>
  <c r="H1994" i="11"/>
  <c r="H1993" i="11"/>
  <c r="H1992" i="11"/>
  <c r="H1991" i="11"/>
  <c r="H1990" i="11"/>
  <c r="H1989" i="11"/>
  <c r="H1988" i="11"/>
  <c r="H1987" i="11"/>
  <c r="H1986" i="11"/>
  <c r="H1985" i="11"/>
  <c r="H1984" i="11"/>
  <c r="H1983" i="11"/>
  <c r="H1982" i="11"/>
  <c r="H1981" i="11"/>
  <c r="H1980" i="11"/>
  <c r="H1979" i="11"/>
  <c r="H1978" i="11"/>
  <c r="H1977" i="11"/>
  <c r="H1976" i="11"/>
  <c r="H1975" i="11"/>
  <c r="H1974" i="11"/>
  <c r="H1973" i="11"/>
  <c r="H1972" i="11"/>
  <c r="H1971" i="11"/>
  <c r="H1970" i="11"/>
  <c r="H1969" i="11"/>
  <c r="H1968" i="11"/>
  <c r="H1967" i="11"/>
  <c r="H1966" i="11"/>
  <c r="H1965" i="11"/>
  <c r="H1964" i="11"/>
  <c r="H1963" i="11"/>
  <c r="H1962" i="11"/>
  <c r="H1961" i="11"/>
  <c r="H1960" i="11"/>
  <c r="H1959" i="11"/>
  <c r="H1958" i="11"/>
  <c r="H1957" i="11"/>
  <c r="H1956" i="11"/>
  <c r="H1954" i="11"/>
  <c r="H1953" i="11"/>
  <c r="H1952" i="11"/>
  <c r="H1951" i="11"/>
  <c r="H1949" i="11"/>
  <c r="H1948" i="11"/>
  <c r="H1946" i="11"/>
  <c r="H1945" i="11"/>
  <c r="H1944" i="11"/>
  <c r="H1943" i="11"/>
  <c r="H1942" i="11"/>
  <c r="H1941" i="11"/>
  <c r="H1940" i="11"/>
  <c r="H1939" i="11"/>
  <c r="H1938" i="11"/>
  <c r="H1937" i="11"/>
  <c r="H1936" i="11"/>
  <c r="H1935" i="11"/>
  <c r="H1934" i="11"/>
  <c r="H1933" i="11"/>
  <c r="H1932" i="11"/>
  <c r="H1931" i="11"/>
  <c r="H1930" i="11"/>
  <c r="H1929" i="11"/>
  <c r="H1928" i="11"/>
  <c r="H1927" i="11"/>
  <c r="H1926" i="11"/>
  <c r="H1925" i="11"/>
  <c r="H1924" i="11"/>
  <c r="H1923" i="11"/>
  <c r="H1922" i="11"/>
  <c r="H1921" i="11"/>
  <c r="H1920" i="11"/>
  <c r="H1919" i="11"/>
  <c r="H1918" i="11"/>
  <c r="H1917" i="11"/>
  <c r="H1916" i="11"/>
  <c r="H1915" i="11"/>
  <c r="H1914" i="11"/>
  <c r="H1913" i="11"/>
  <c r="H1912" i="11"/>
  <c r="H1911" i="11"/>
  <c r="H1910" i="11"/>
  <c r="H1909" i="11"/>
  <c r="H1908" i="11"/>
  <c r="H1907" i="11"/>
  <c r="H1906" i="11"/>
  <c r="H1905" i="11"/>
  <c r="H1904" i="11"/>
  <c r="H1903" i="11"/>
  <c r="H1902" i="11"/>
  <c r="H1901" i="11"/>
  <c r="H1900" i="11"/>
  <c r="H1899" i="11"/>
  <c r="H1898" i="11"/>
  <c r="H1897" i="11"/>
  <c r="H1896" i="11"/>
  <c r="H1895" i="11"/>
  <c r="H1894" i="11"/>
  <c r="H1893" i="11"/>
  <c r="H1892" i="11"/>
  <c r="H1891" i="11"/>
  <c r="H1890" i="11"/>
  <c r="H1889" i="11"/>
  <c r="H1888" i="11"/>
  <c r="H1887" i="11"/>
  <c r="H1886" i="11"/>
  <c r="H1885" i="11"/>
  <c r="H1884" i="11"/>
  <c r="H1883" i="11"/>
  <c r="H1882" i="11"/>
  <c r="H1881" i="11"/>
  <c r="H1880" i="11"/>
  <c r="H1879" i="11"/>
  <c r="H1878" i="11"/>
  <c r="H1876" i="11"/>
  <c r="H1875" i="11"/>
  <c r="H1874" i="11"/>
  <c r="H1873" i="11"/>
  <c r="H1871" i="11"/>
  <c r="H1870" i="11"/>
  <c r="H1869" i="11"/>
  <c r="H1868" i="11"/>
  <c r="H1867" i="11"/>
  <c r="H1866" i="11"/>
  <c r="H1865" i="11"/>
  <c r="H1864" i="11"/>
  <c r="H1863" i="11"/>
  <c r="H1862" i="11"/>
  <c r="H1861" i="11"/>
  <c r="H1860" i="11"/>
  <c r="H1859" i="11"/>
  <c r="H1858" i="11"/>
  <c r="H1857" i="11"/>
  <c r="H1856" i="11"/>
  <c r="H1855" i="11"/>
  <c r="H1854" i="11"/>
  <c r="H1853" i="11"/>
  <c r="H1852" i="11"/>
  <c r="H1851" i="11"/>
  <c r="H1850" i="11"/>
  <c r="H1849" i="11"/>
  <c r="H1848" i="11"/>
  <c r="H1847" i="11"/>
  <c r="H1846" i="11"/>
  <c r="H1845" i="11"/>
  <c r="H1844" i="11"/>
  <c r="H1843" i="11"/>
  <c r="H1842" i="11"/>
  <c r="H1841" i="11"/>
  <c r="H1840" i="11"/>
  <c r="H1839" i="11"/>
  <c r="H1838" i="11"/>
  <c r="H1837" i="11"/>
  <c r="H1836" i="11"/>
  <c r="H1835" i="11"/>
  <c r="H1834" i="11"/>
  <c r="H1833" i="11"/>
  <c r="H1832" i="11"/>
  <c r="H1831" i="11"/>
  <c r="H1830" i="11"/>
  <c r="H1829" i="11"/>
  <c r="H1828" i="11"/>
  <c r="H1827" i="11"/>
  <c r="H1826" i="11"/>
  <c r="H1825" i="11"/>
  <c r="H1824" i="11"/>
  <c r="H1823" i="11"/>
  <c r="H1822" i="11"/>
  <c r="H1821" i="11"/>
  <c r="H1819" i="11"/>
  <c r="H1818" i="11"/>
  <c r="H1817" i="11"/>
  <c r="H1816" i="11"/>
  <c r="H1815" i="11"/>
  <c r="H1814" i="11"/>
  <c r="H1813" i="11"/>
  <c r="H1812" i="11"/>
  <c r="H1811" i="11"/>
  <c r="H1810" i="11"/>
  <c r="H1809" i="11"/>
  <c r="H1808" i="11"/>
  <c r="H1807" i="11"/>
  <c r="H1806" i="11"/>
  <c r="H1805" i="11"/>
  <c r="H1804" i="11"/>
  <c r="H1803" i="11"/>
  <c r="H1802" i="11"/>
  <c r="H1801" i="11"/>
  <c r="H1800" i="11"/>
  <c r="H1798" i="11"/>
  <c r="H1797" i="11"/>
  <c r="H1796" i="11"/>
  <c r="H1795" i="11"/>
  <c r="H1794" i="11"/>
  <c r="H1793" i="11"/>
  <c r="H1792" i="11"/>
  <c r="H1791" i="11"/>
  <c r="H1790" i="11"/>
  <c r="H1789" i="11"/>
  <c r="H1788" i="11"/>
  <c r="H1787" i="11"/>
  <c r="H1786" i="11"/>
  <c r="H1785" i="11"/>
  <c r="H1784" i="11"/>
  <c r="H1783" i="11"/>
  <c r="H1782" i="11"/>
  <c r="H1781" i="11"/>
  <c r="H1780" i="11"/>
  <c r="H1779" i="11"/>
  <c r="H1778" i="11"/>
  <c r="H1777" i="11"/>
  <c r="H1776" i="11"/>
  <c r="H1775" i="11"/>
  <c r="H1774" i="11"/>
  <c r="H1773" i="11"/>
  <c r="H1772" i="11"/>
  <c r="H1771" i="11"/>
  <c r="H1770" i="11"/>
  <c r="H1769" i="11"/>
  <c r="H1768" i="11"/>
  <c r="H1767" i="11"/>
  <c r="H1766" i="11"/>
  <c r="H1765" i="11"/>
  <c r="H1764" i="11"/>
  <c r="H1763" i="11"/>
  <c r="H1762" i="11"/>
  <c r="H1761" i="11"/>
  <c r="H1760" i="11"/>
  <c r="H1759" i="11"/>
  <c r="H1758" i="11"/>
  <c r="H1757" i="11"/>
  <c r="H1756" i="11"/>
  <c r="H1755" i="11"/>
  <c r="H1754" i="11"/>
  <c r="H1753" i="11"/>
  <c r="H1752" i="11"/>
  <c r="H1751" i="11"/>
  <c r="H1750" i="11"/>
  <c r="H1749" i="11"/>
  <c r="H1748" i="11"/>
  <c r="H1747" i="11"/>
  <c r="H1746" i="11"/>
  <c r="H1745" i="11"/>
  <c r="H1744" i="11"/>
  <c r="H1743" i="11"/>
  <c r="H1741" i="11"/>
  <c r="H1740" i="11"/>
  <c r="H1739" i="11"/>
  <c r="H1738" i="11"/>
  <c r="H1737" i="11"/>
  <c r="H1736" i="11"/>
  <c r="H1735" i="11"/>
  <c r="H1734" i="11"/>
  <c r="H1733" i="11"/>
  <c r="H1732" i="11"/>
  <c r="H1731" i="11"/>
  <c r="H1730" i="11"/>
  <c r="H1729" i="11"/>
  <c r="H1728" i="11"/>
  <c r="H1727" i="11"/>
  <c r="H1726" i="11"/>
  <c r="H1725" i="11"/>
  <c r="H1724" i="11"/>
  <c r="H1723" i="11"/>
  <c r="H1722" i="11"/>
  <c r="H1721" i="11"/>
  <c r="H1720" i="11"/>
  <c r="H1719" i="11"/>
  <c r="H1718" i="11"/>
  <c r="H1717" i="11"/>
  <c r="H1716" i="11"/>
  <c r="H1715" i="11"/>
  <c r="H1714" i="11"/>
  <c r="H1713" i="11"/>
  <c r="H1712" i="11"/>
  <c r="H1711" i="11"/>
  <c r="H1710" i="11"/>
  <c r="H1709" i="11"/>
  <c r="H1708" i="11"/>
  <c r="H1707" i="11"/>
  <c r="H1706" i="11"/>
  <c r="H1705" i="11"/>
  <c r="H1704" i="11"/>
  <c r="H1703" i="11"/>
  <c r="H1702" i="11"/>
  <c r="H1701" i="11"/>
  <c r="H1700" i="11"/>
  <c r="H1699" i="11"/>
  <c r="H1698" i="11"/>
  <c r="H1697" i="11"/>
  <c r="H1696" i="11"/>
  <c r="H1695" i="11"/>
  <c r="H1694" i="11"/>
  <c r="H1693" i="11"/>
  <c r="H1692" i="11"/>
  <c r="H1691" i="11"/>
  <c r="H1690" i="11"/>
  <c r="H1689" i="11"/>
  <c r="H1688" i="11"/>
  <c r="H1687" i="11"/>
  <c r="H1686" i="11"/>
  <c r="H1685" i="11"/>
  <c r="H1684" i="11"/>
  <c r="H1683" i="11"/>
  <c r="H1682" i="11"/>
  <c r="H1681" i="11"/>
  <c r="H1680" i="11"/>
  <c r="H1679" i="11"/>
  <c r="H1678" i="11"/>
  <c r="H1677" i="11"/>
  <c r="H1676" i="11"/>
  <c r="H1675" i="11"/>
  <c r="H1674" i="11"/>
  <c r="H1673" i="11"/>
  <c r="H1672" i="11"/>
  <c r="H1671" i="11"/>
  <c r="H1670" i="11"/>
  <c r="H1669" i="11"/>
  <c r="H1668" i="11"/>
  <c r="H1667" i="11"/>
  <c r="H1666" i="11"/>
  <c r="H1665" i="11"/>
  <c r="H1663" i="11"/>
  <c r="H1662" i="11"/>
  <c r="H1661" i="11"/>
  <c r="H1660" i="11"/>
  <c r="H1659" i="11"/>
  <c r="H1658" i="11"/>
  <c r="H1657" i="11"/>
  <c r="H1656" i="11"/>
  <c r="H1655" i="11"/>
  <c r="H1654" i="11"/>
  <c r="H1653" i="11"/>
  <c r="H1652" i="11"/>
  <c r="H1651" i="11"/>
  <c r="H1650" i="11"/>
  <c r="H1649" i="11"/>
  <c r="H1648" i="11"/>
  <c r="H1647" i="11"/>
  <c r="H1646" i="11"/>
  <c r="H1645" i="11"/>
  <c r="H1644" i="11"/>
  <c r="H1643" i="11"/>
  <c r="H1642" i="11"/>
  <c r="H1641" i="11"/>
  <c r="H1640" i="11"/>
  <c r="H1639" i="11"/>
  <c r="H1638" i="11"/>
  <c r="H1637" i="11"/>
  <c r="H1636" i="11"/>
  <c r="H1635" i="11"/>
  <c r="H1634" i="11"/>
  <c r="H1633" i="11"/>
  <c r="H1632" i="11"/>
  <c r="H1631" i="11"/>
  <c r="H1630" i="11"/>
  <c r="H1629" i="11"/>
  <c r="H1628" i="11"/>
  <c r="H1627" i="11"/>
  <c r="H1626" i="11"/>
  <c r="H1625" i="11"/>
  <c r="H1624" i="11"/>
  <c r="H1623" i="11"/>
  <c r="H1622" i="11"/>
  <c r="H1621" i="11"/>
  <c r="H1620" i="11"/>
  <c r="H1619" i="11"/>
  <c r="H1618" i="11"/>
  <c r="H1617" i="11"/>
  <c r="H1616" i="11"/>
  <c r="H1615" i="11"/>
  <c r="H1614" i="11"/>
  <c r="H1613" i="11"/>
  <c r="H1612" i="11"/>
  <c r="H1611" i="11"/>
  <c r="H1610" i="11"/>
  <c r="H1609" i="11"/>
  <c r="H1608" i="11"/>
  <c r="H1607" i="11"/>
  <c r="H1606" i="11"/>
  <c r="H1605" i="11"/>
  <c r="H1604" i="11"/>
  <c r="H1603" i="11"/>
  <c r="H1602" i="11"/>
  <c r="H1601" i="11"/>
  <c r="H1600" i="11"/>
  <c r="H1599" i="11"/>
  <c r="H1598" i="11"/>
  <c r="H1597" i="11"/>
  <c r="H1596" i="11"/>
  <c r="H1595" i="11"/>
  <c r="H1594" i="11"/>
  <c r="H1593" i="11"/>
  <c r="H1592" i="11"/>
  <c r="H1591" i="11"/>
  <c r="H1590" i="11"/>
  <c r="H1589" i="11"/>
  <c r="H1588" i="11"/>
  <c r="H1587" i="11"/>
  <c r="H1585" i="11"/>
  <c r="H1584" i="11"/>
  <c r="H1583" i="11"/>
  <c r="H1582" i="11"/>
  <c r="H1581" i="11"/>
  <c r="H1580" i="11"/>
  <c r="H1579" i="11"/>
  <c r="H1578" i="11"/>
  <c r="H1577" i="11"/>
  <c r="H1576" i="11"/>
  <c r="H1575" i="11"/>
  <c r="H1574" i="11"/>
  <c r="H1573" i="11"/>
  <c r="H1572" i="11"/>
  <c r="H1571" i="11"/>
  <c r="H1570" i="11"/>
  <c r="H1569" i="11"/>
  <c r="H1568" i="11"/>
  <c r="H1567" i="11"/>
  <c r="H1566" i="11"/>
  <c r="H1565" i="11"/>
  <c r="H1564" i="11"/>
  <c r="H1563" i="11"/>
  <c r="H1562" i="11"/>
  <c r="H1561" i="11"/>
  <c r="H1560" i="11"/>
  <c r="H1559" i="11"/>
  <c r="H1558" i="11"/>
  <c r="H1557" i="11"/>
  <c r="H1556" i="11"/>
  <c r="H1555" i="11"/>
  <c r="H1554" i="11"/>
  <c r="H1553" i="11"/>
  <c r="H1552" i="11"/>
  <c r="H1551" i="11"/>
  <c r="H1550" i="11"/>
  <c r="H1549" i="11"/>
  <c r="H1548" i="11"/>
  <c r="H1547" i="11"/>
  <c r="H1546" i="11"/>
  <c r="H1545" i="11"/>
  <c r="H1544" i="11"/>
  <c r="H1543" i="11"/>
  <c r="H1542" i="11"/>
  <c r="H1541" i="11"/>
  <c r="H1540" i="11"/>
  <c r="H1539" i="11"/>
  <c r="H1538" i="11"/>
  <c r="H1537" i="11"/>
  <c r="H1536" i="11"/>
  <c r="H1535" i="11"/>
  <c r="H1534" i="11"/>
  <c r="H1533" i="11"/>
  <c r="H1532" i="11"/>
  <c r="H1531" i="11"/>
  <c r="H1530" i="11"/>
  <c r="H1529" i="11"/>
  <c r="H1528" i="11"/>
  <c r="H1527" i="11"/>
  <c r="H1526" i="11"/>
  <c r="H1525" i="11"/>
  <c r="H1524" i="11"/>
  <c r="H1523" i="11"/>
  <c r="H1522" i="11"/>
  <c r="H1521" i="11"/>
  <c r="H1520" i="11"/>
  <c r="H1519" i="11"/>
  <c r="H1518" i="11"/>
  <c r="H1517" i="11"/>
  <c r="H1516" i="11"/>
  <c r="H1515" i="11"/>
  <c r="H1514" i="11"/>
  <c r="H1513" i="11"/>
  <c r="H1512" i="11"/>
  <c r="H1511" i="11"/>
  <c r="H1510" i="11"/>
  <c r="H1509" i="11"/>
  <c r="H1508" i="11"/>
  <c r="H1507" i="11"/>
  <c r="H1506" i="11"/>
  <c r="H1505" i="11"/>
  <c r="H1504" i="11"/>
  <c r="H1503" i="11"/>
  <c r="H1502" i="11"/>
  <c r="H1501" i="11"/>
  <c r="H1500" i="11"/>
  <c r="H1499" i="11"/>
  <c r="H1498" i="11"/>
  <c r="H1497" i="11"/>
  <c r="H1496" i="11"/>
  <c r="H1495" i="11"/>
  <c r="H1494" i="11"/>
  <c r="H1493" i="11"/>
  <c r="H1492" i="11"/>
  <c r="H1491" i="11"/>
  <c r="H1490" i="11"/>
  <c r="H1489" i="11"/>
  <c r="H1488" i="11"/>
  <c r="H1487" i="11"/>
  <c r="H1486" i="11"/>
  <c r="H1485" i="11"/>
  <c r="H1484" i="11"/>
  <c r="H1483" i="11"/>
  <c r="H1481" i="11"/>
  <c r="H1480" i="11"/>
  <c r="H1479" i="11"/>
  <c r="H1478" i="11"/>
  <c r="H1477" i="11"/>
  <c r="H1476" i="11"/>
  <c r="H1475" i="11"/>
  <c r="H1474" i="11"/>
  <c r="H1473" i="11"/>
  <c r="H1472" i="11"/>
  <c r="H1471" i="11"/>
  <c r="H1470" i="11"/>
  <c r="H1469" i="11"/>
  <c r="H1468" i="11"/>
  <c r="H1467" i="11"/>
  <c r="H1466" i="11"/>
  <c r="H1465" i="11"/>
  <c r="H1464" i="11"/>
  <c r="H1463" i="11"/>
  <c r="H1462" i="11"/>
  <c r="H1461" i="11"/>
  <c r="H1460" i="11"/>
  <c r="H1459" i="11"/>
  <c r="H1458" i="11"/>
  <c r="H1457" i="11"/>
  <c r="H1456" i="11"/>
  <c r="H1455" i="11"/>
  <c r="H1454" i="11"/>
  <c r="H1453" i="11"/>
  <c r="H1452" i="11"/>
  <c r="H1451" i="11"/>
  <c r="H1450" i="11"/>
  <c r="H1449" i="11"/>
  <c r="H1448" i="11"/>
  <c r="H1447" i="11"/>
  <c r="H1446" i="11"/>
  <c r="H1445" i="11"/>
  <c r="H1444" i="11"/>
  <c r="H1443" i="11"/>
  <c r="H1442" i="11"/>
  <c r="H1441" i="11"/>
  <c r="H1440" i="11"/>
  <c r="H1439" i="11"/>
  <c r="H1438" i="11"/>
  <c r="H1437" i="11"/>
  <c r="H1436" i="11"/>
  <c r="H1435" i="11"/>
  <c r="H1434" i="11"/>
  <c r="H1433" i="11"/>
  <c r="H1432" i="11"/>
  <c r="H1431" i="11"/>
  <c r="H1429" i="11"/>
  <c r="H1428" i="11"/>
  <c r="H1427" i="11"/>
  <c r="H1426" i="11"/>
  <c r="H1425" i="11"/>
  <c r="H1424" i="11"/>
  <c r="H1423" i="11"/>
  <c r="H1422" i="11"/>
  <c r="H1421" i="11"/>
  <c r="H1420" i="11"/>
  <c r="H1419" i="11"/>
  <c r="H1418" i="11"/>
  <c r="H1417" i="11"/>
  <c r="H1416" i="11"/>
  <c r="H1415" i="11"/>
  <c r="H1414" i="11"/>
  <c r="H1413" i="11"/>
  <c r="H1412" i="11"/>
  <c r="H1411" i="11"/>
  <c r="H1410" i="11"/>
  <c r="H1409" i="11"/>
  <c r="H1408" i="11"/>
  <c r="H1407" i="11"/>
  <c r="H1406" i="11"/>
  <c r="H1405" i="11"/>
  <c r="H1404" i="11"/>
  <c r="H1403" i="11"/>
  <c r="H1402" i="11"/>
  <c r="H1401" i="11"/>
  <c r="H1400" i="11"/>
  <c r="H1399" i="11"/>
  <c r="H1398" i="11"/>
  <c r="H1397" i="11"/>
  <c r="H1396" i="11"/>
  <c r="H1395" i="11"/>
  <c r="H1394" i="11"/>
  <c r="H1393" i="11"/>
  <c r="H1392" i="11"/>
  <c r="H1391" i="11"/>
  <c r="H1390" i="11"/>
  <c r="H1389" i="11"/>
  <c r="H1388" i="11"/>
  <c r="H1387" i="11"/>
  <c r="H1386" i="11"/>
  <c r="H1385" i="11"/>
  <c r="H1384" i="11"/>
  <c r="H1383" i="11"/>
  <c r="H1382" i="11"/>
  <c r="H1381" i="11"/>
  <c r="H1380" i="11"/>
  <c r="H1379" i="11"/>
  <c r="H1378" i="11"/>
  <c r="H1377" i="11"/>
  <c r="H1376" i="11"/>
  <c r="H1375" i="11"/>
  <c r="H1374" i="11"/>
  <c r="H1373" i="11"/>
  <c r="H1372" i="11"/>
  <c r="H1371" i="11"/>
  <c r="H1370" i="11"/>
  <c r="H1369" i="11"/>
  <c r="H1368" i="11"/>
  <c r="H1367" i="11"/>
  <c r="H1366" i="11"/>
  <c r="H1365" i="11"/>
  <c r="H1364" i="11"/>
  <c r="H1363" i="11"/>
  <c r="H1362" i="11"/>
  <c r="H1361" i="11"/>
  <c r="H1360" i="11"/>
  <c r="H1359" i="11"/>
  <c r="H1358" i="11"/>
  <c r="H1357" i="11"/>
  <c r="H1356" i="11"/>
  <c r="H1355" i="11"/>
  <c r="H1354" i="11"/>
  <c r="H1353" i="11"/>
  <c r="H1351" i="11"/>
  <c r="H1350" i="11"/>
  <c r="H1349" i="11"/>
  <c r="H1348" i="11"/>
  <c r="H1347" i="11"/>
  <c r="H1346" i="11"/>
  <c r="H1345" i="11"/>
  <c r="H1344" i="11"/>
  <c r="H1343" i="11"/>
  <c r="H1342" i="11"/>
  <c r="H1341" i="11"/>
  <c r="H1340" i="11"/>
  <c r="H1339" i="11"/>
  <c r="H1338" i="11"/>
  <c r="H1337" i="11"/>
  <c r="H1336" i="11"/>
  <c r="H1335" i="11"/>
  <c r="H1334" i="11"/>
  <c r="H1333" i="11"/>
  <c r="H1332" i="11"/>
  <c r="H1330" i="11"/>
  <c r="H1329" i="11"/>
  <c r="H1328" i="11"/>
  <c r="H1327" i="11"/>
  <c r="H1326" i="11"/>
  <c r="H1325" i="11"/>
  <c r="H1324" i="11"/>
  <c r="H1323" i="11"/>
  <c r="H1322" i="11"/>
  <c r="H1321" i="11"/>
  <c r="H1320" i="11"/>
  <c r="H1319" i="11"/>
  <c r="H1318" i="11"/>
  <c r="H1317" i="11"/>
  <c r="H1316" i="11"/>
  <c r="H1315" i="11"/>
  <c r="H1314" i="11"/>
  <c r="H1313" i="11"/>
  <c r="H1312" i="11"/>
  <c r="H1311" i="11"/>
  <c r="H1310" i="11"/>
  <c r="H1309" i="11"/>
  <c r="H1308" i="11"/>
  <c r="H1307" i="11"/>
  <c r="H1306" i="11"/>
  <c r="H1305" i="11"/>
  <c r="H1304" i="11"/>
  <c r="H1303" i="11"/>
  <c r="H1302" i="11"/>
  <c r="H1301" i="11"/>
  <c r="H1300" i="11"/>
  <c r="H1299" i="11"/>
  <c r="H1298" i="11"/>
  <c r="H1297" i="11"/>
  <c r="H1296" i="11"/>
  <c r="H1295" i="11"/>
  <c r="H1294" i="11"/>
  <c r="H1293" i="11"/>
  <c r="H1292" i="11"/>
  <c r="H1291" i="11"/>
  <c r="H1290" i="11"/>
  <c r="H1289" i="11"/>
  <c r="H1288" i="11"/>
  <c r="H1287" i="11"/>
  <c r="H1286" i="11"/>
  <c r="H1285" i="11"/>
  <c r="H1284" i="11"/>
  <c r="H1283" i="11"/>
  <c r="H1282" i="11"/>
  <c r="H1281" i="11"/>
  <c r="H1280" i="11"/>
  <c r="H1279" i="11"/>
  <c r="H1278" i="11"/>
  <c r="H1277" i="11"/>
  <c r="H1276" i="11"/>
  <c r="H1275" i="11"/>
  <c r="H1273" i="11"/>
  <c r="H1272" i="11"/>
  <c r="H1271" i="11"/>
  <c r="H1270" i="11"/>
  <c r="H1269" i="11"/>
  <c r="H1268" i="11"/>
  <c r="H1267" i="11"/>
  <c r="H1266" i="11"/>
  <c r="H1265" i="11"/>
  <c r="H1264" i="11"/>
  <c r="H1263" i="11"/>
  <c r="H1262" i="11"/>
  <c r="H1261" i="11"/>
  <c r="H1260" i="11"/>
  <c r="H1259" i="11"/>
  <c r="H1258" i="11"/>
  <c r="H1257" i="11"/>
  <c r="H1256" i="11"/>
  <c r="H1255" i="11"/>
  <c r="H1254" i="11"/>
  <c r="H1253" i="11"/>
  <c r="H1252" i="11"/>
  <c r="H1251" i="11"/>
  <c r="H1250" i="11"/>
  <c r="H1249" i="11"/>
  <c r="H1247" i="11"/>
  <c r="H1246" i="11"/>
  <c r="H1244" i="11"/>
  <c r="H1243" i="11"/>
  <c r="H1242" i="11"/>
  <c r="H1241" i="11"/>
  <c r="H1240" i="11"/>
  <c r="H1239" i="11"/>
  <c r="H1238" i="11"/>
  <c r="H1237" i="11"/>
  <c r="H1236" i="11"/>
  <c r="H1235" i="11"/>
  <c r="H1234" i="11"/>
  <c r="H1233" i="11"/>
  <c r="H1232" i="11"/>
  <c r="H1231" i="11"/>
  <c r="H1230" i="11"/>
  <c r="H1229" i="11"/>
  <c r="H1228" i="11"/>
  <c r="H1227" i="11"/>
  <c r="H1226" i="11"/>
  <c r="H1225" i="11"/>
  <c r="H1224" i="11"/>
  <c r="H1223" i="11"/>
  <c r="H1222" i="11"/>
  <c r="H1221" i="11"/>
  <c r="H1219" i="11"/>
  <c r="H1218" i="11"/>
  <c r="H1217" i="11"/>
  <c r="H1216" i="11"/>
  <c r="H1215" i="11"/>
  <c r="H1214" i="11"/>
  <c r="H1213" i="11"/>
  <c r="H1212" i="11"/>
  <c r="H1211" i="11"/>
  <c r="H1210" i="11"/>
  <c r="H1209" i="11"/>
  <c r="H1208" i="11"/>
  <c r="H1207" i="11"/>
  <c r="H1206" i="11"/>
  <c r="H1205" i="11"/>
  <c r="H1204" i="11"/>
  <c r="H1203" i="11"/>
  <c r="H1202" i="11"/>
  <c r="H1201" i="11"/>
  <c r="H1200" i="11"/>
  <c r="H1199" i="11"/>
  <c r="H1198" i="11"/>
  <c r="H1197" i="11"/>
  <c r="H1196" i="11"/>
  <c r="H1195" i="11"/>
  <c r="H1194" i="11"/>
  <c r="H1193" i="11"/>
  <c r="H1192" i="11"/>
  <c r="H1191" i="11"/>
  <c r="H1190" i="11"/>
  <c r="H1189" i="11"/>
  <c r="H1188" i="11"/>
  <c r="H1187" i="11"/>
  <c r="H1186" i="11"/>
  <c r="H1185" i="11"/>
  <c r="H1184" i="11"/>
  <c r="H1183" i="11"/>
  <c r="H1182" i="11"/>
  <c r="H1181" i="11"/>
  <c r="H1180" i="11"/>
  <c r="H1179" i="11"/>
  <c r="H1178" i="11"/>
  <c r="H1177" i="11"/>
  <c r="H1176" i="11"/>
  <c r="H1175" i="11"/>
  <c r="H1174" i="11"/>
  <c r="H1173" i="11"/>
  <c r="H1172" i="11"/>
  <c r="H1171" i="11"/>
  <c r="H1169" i="11"/>
  <c r="H1168" i="11"/>
  <c r="H1166" i="11"/>
  <c r="H1165" i="11"/>
  <c r="H1164" i="11"/>
  <c r="H1163" i="11"/>
  <c r="H1162" i="11"/>
  <c r="H1161" i="11"/>
  <c r="H1160" i="11"/>
  <c r="H1159" i="11"/>
  <c r="H1158" i="11"/>
  <c r="H1157" i="11"/>
  <c r="H1156" i="11"/>
  <c r="H1155" i="11"/>
  <c r="H1154" i="11"/>
  <c r="H1153" i="11"/>
  <c r="H1152" i="11"/>
  <c r="H1151" i="11"/>
  <c r="H1150" i="11"/>
  <c r="H1149" i="11"/>
  <c r="H1148" i="11"/>
  <c r="H1147" i="11"/>
  <c r="H1146" i="11"/>
  <c r="H1145" i="11"/>
  <c r="H1144" i="11"/>
  <c r="H1143" i="11"/>
  <c r="H1141" i="11"/>
  <c r="H1140" i="11"/>
  <c r="H1139" i="11"/>
  <c r="H1138" i="11"/>
  <c r="H1137" i="11"/>
  <c r="H1136" i="11"/>
  <c r="H1135" i="11"/>
  <c r="H1134" i="11"/>
  <c r="H1133" i="11"/>
  <c r="H1132" i="11"/>
  <c r="H1131" i="11"/>
  <c r="H1130" i="11"/>
  <c r="H1129" i="11"/>
  <c r="H1128" i="11"/>
  <c r="H1127" i="11"/>
  <c r="H1126" i="11"/>
  <c r="H1125" i="11"/>
  <c r="H1124" i="11"/>
  <c r="H1123" i="11"/>
  <c r="H1122" i="11"/>
  <c r="H1121" i="11"/>
  <c r="H1120" i="11"/>
  <c r="H1119" i="11"/>
  <c r="H1117" i="11"/>
  <c r="H1116" i="11"/>
  <c r="H1115" i="11"/>
  <c r="H1114" i="11"/>
  <c r="H1113" i="11"/>
  <c r="H1112" i="11"/>
  <c r="H1111" i="11"/>
  <c r="H1110" i="11"/>
  <c r="H1109" i="11"/>
  <c r="H1108" i="11"/>
  <c r="H1107" i="11"/>
  <c r="H1106" i="11"/>
  <c r="H1105" i="11"/>
  <c r="H1104" i="11"/>
  <c r="H1103" i="11"/>
  <c r="H1102" i="11"/>
  <c r="H1101" i="11"/>
  <c r="H1100" i="11"/>
  <c r="H1099" i="11"/>
  <c r="H1098" i="11"/>
  <c r="H1097" i="11"/>
  <c r="H1096" i="11"/>
  <c r="H1095" i="11"/>
  <c r="H1094" i="11"/>
  <c r="H1093" i="11"/>
  <c r="H1092" i="11"/>
  <c r="H1091" i="11"/>
  <c r="H1090" i="11"/>
  <c r="H1089" i="11"/>
  <c r="H1088" i="11"/>
  <c r="H1087" i="11"/>
  <c r="H1086" i="11"/>
  <c r="H1085" i="11"/>
  <c r="H1084" i="11"/>
  <c r="H1083" i="11"/>
  <c r="H1082" i="11"/>
  <c r="H1081" i="11"/>
  <c r="H1080" i="11"/>
  <c r="H1079" i="11"/>
  <c r="H1078" i="11"/>
  <c r="H1077" i="11"/>
  <c r="H1076" i="11"/>
  <c r="H1075" i="11"/>
  <c r="H1074" i="11"/>
  <c r="H1073" i="11"/>
  <c r="H1072" i="11"/>
  <c r="H1071" i="11"/>
  <c r="H1070" i="11"/>
  <c r="H1069" i="11"/>
  <c r="H1068" i="11"/>
  <c r="H1067" i="11"/>
  <c r="H1066" i="11"/>
  <c r="H1065" i="11"/>
  <c r="H1064" i="11"/>
  <c r="H1063" i="11"/>
  <c r="H1062" i="11"/>
  <c r="H1061" i="11"/>
  <c r="H1060" i="11"/>
  <c r="H1059" i="11"/>
  <c r="H1058" i="11"/>
  <c r="H1057" i="11"/>
  <c r="H1056" i="11"/>
  <c r="H1055" i="11"/>
  <c r="H1054" i="11"/>
  <c r="H1053" i="11"/>
  <c r="H1052" i="11"/>
  <c r="H1051" i="11"/>
  <c r="H1050" i="11"/>
  <c r="H1049" i="11"/>
  <c r="H1048" i="11"/>
  <c r="H1047" i="11"/>
  <c r="H1046" i="11"/>
  <c r="H1045" i="11"/>
  <c r="H1044" i="11"/>
  <c r="H1043" i="11"/>
  <c r="H1042" i="11"/>
  <c r="H1041" i="11"/>
  <c r="H1040" i="11"/>
  <c r="H1039" i="11"/>
  <c r="H1038" i="11"/>
  <c r="H1037" i="1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8" i="11"/>
  <c r="H627" i="11"/>
  <c r="H626" i="11"/>
  <c r="H625" i="11"/>
  <c r="H624" i="11"/>
  <c r="H623" i="11"/>
  <c r="H622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89" i="11"/>
  <c r="H388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3" i="11"/>
  <c r="H232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F10" i="3" s="1"/>
  <c r="F9" i="3" s="1"/>
  <c r="H9" i="11"/>
  <c r="H8" i="11"/>
  <c r="H7" i="11"/>
  <c r="BK91" i="14" l="1"/>
  <c r="AS33" i="10"/>
  <c r="H2522" i="11" s="1"/>
  <c r="AG49" i="17"/>
  <c r="BW91" i="14"/>
  <c r="BC33" i="10"/>
  <c r="AY91" i="14"/>
  <c r="AA33" i="10"/>
  <c r="N81" i="17"/>
  <c r="P81" i="17"/>
  <c r="AH118" i="28" s="1"/>
  <c r="D22" i="15"/>
  <c r="N48" i="17"/>
  <c r="Q48" i="17" s="1"/>
  <c r="AA48" i="12"/>
  <c r="N13" i="17"/>
  <c r="Q13" i="17" s="1"/>
  <c r="K21" i="17"/>
  <c r="X48" i="17"/>
  <c r="Y48" i="17" s="1"/>
  <c r="AA48" i="17" s="1"/>
  <c r="AM79" i="17"/>
  <c r="AN79" i="17" s="1"/>
  <c r="AO79" i="17" s="1"/>
  <c r="P85" i="17"/>
  <c r="Y118" i="28" s="1"/>
  <c r="S7" i="14"/>
  <c r="S16" i="14"/>
  <c r="S25" i="14"/>
  <c r="S46" i="14"/>
  <c r="S50" i="14"/>
  <c r="S67" i="14"/>
  <c r="S76" i="14"/>
  <c r="BA87" i="14"/>
  <c r="G94" i="14"/>
  <c r="H36" i="10" s="1"/>
  <c r="I32" i="12" s="1"/>
  <c r="AK94" i="14"/>
  <c r="BP94" i="14"/>
  <c r="AW36" i="10" s="1"/>
  <c r="CK32" i="12" s="1"/>
  <c r="E12" i="15"/>
  <c r="D21" i="15"/>
  <c r="AI16" i="12"/>
  <c r="AC29" i="17"/>
  <c r="Z72" i="17"/>
  <c r="AF77" i="17"/>
  <c r="AG77" i="17" s="1"/>
  <c r="AI77" i="17" s="1"/>
  <c r="X86" i="17"/>
  <c r="BC11" i="13"/>
  <c r="S55" i="14"/>
  <c r="S59" i="14"/>
  <c r="N94" i="14"/>
  <c r="AM94" i="14"/>
  <c r="U36" i="10" s="1"/>
  <c r="BQ94" i="14"/>
  <c r="T64" i="15"/>
  <c r="BE54" i="10"/>
  <c r="BG54" i="10" s="1"/>
  <c r="I16" i="12"/>
  <c r="I15" i="12" s="1"/>
  <c r="AG16" i="12"/>
  <c r="U51" i="17"/>
  <c r="E51" i="17"/>
  <c r="AG48" i="17"/>
  <c r="AF68" i="17"/>
  <c r="N75" i="17"/>
  <c r="Q75" i="17" s="1"/>
  <c r="V86" i="17"/>
  <c r="BC87" i="14"/>
  <c r="N91" i="14"/>
  <c r="O94" i="14"/>
  <c r="AO94" i="14"/>
  <c r="BU94" i="14"/>
  <c r="BG16" i="12"/>
  <c r="BE99" i="10"/>
  <c r="BG99" i="10" s="1"/>
  <c r="AW17" i="12"/>
  <c r="X13" i="17"/>
  <c r="Y13" i="17" s="1"/>
  <c r="AA13" i="17" s="1"/>
  <c r="V21" i="17"/>
  <c r="M21" i="17" s="1"/>
  <c r="M24" i="17" s="1"/>
  <c r="P26" i="17"/>
  <c r="X30" i="17"/>
  <c r="AE47" i="17"/>
  <c r="AF47" i="17" s="1"/>
  <c r="AG47" i="17" s="1"/>
  <c r="AE48" i="17"/>
  <c r="AF48" i="17" s="1"/>
  <c r="N71" i="17"/>
  <c r="P75" i="17"/>
  <c r="AC118" i="28" s="1"/>
  <c r="AD95" i="17"/>
  <c r="V100" i="17"/>
  <c r="Q94" i="14"/>
  <c r="AP94" i="14"/>
  <c r="BW94" i="14"/>
  <c r="BC36" i="10" s="1"/>
  <c r="CW32" i="12" s="1"/>
  <c r="BS16" i="12"/>
  <c r="BI16" i="12"/>
  <c r="BI15" i="12" s="1"/>
  <c r="BG101" i="28"/>
  <c r="G31" i="3"/>
  <c r="P9" i="17"/>
  <c r="N26" i="17"/>
  <c r="AC33" i="17"/>
  <c r="X49" i="17"/>
  <c r="Y49" i="17" s="1"/>
  <c r="AA49" i="17" s="1"/>
  <c r="N97" i="17"/>
  <c r="Z100" i="17"/>
  <c r="S13" i="14"/>
  <c r="S22" i="14"/>
  <c r="S31" i="14"/>
  <c r="S43" i="14"/>
  <c r="S56" i="14"/>
  <c r="S73" i="14"/>
  <c r="BE87" i="14"/>
  <c r="BV87" i="14"/>
  <c r="R94" i="14"/>
  <c r="AI36" i="10" s="1"/>
  <c r="BI32" i="12" s="1"/>
  <c r="AQ94" i="14"/>
  <c r="BY94" i="14"/>
  <c r="BD36" i="10" s="1"/>
  <c r="CY32" i="12" s="1"/>
  <c r="BU16" i="12"/>
  <c r="O16" i="12"/>
  <c r="O15" i="12" s="1"/>
  <c r="C19" i="3"/>
  <c r="P7" i="17"/>
  <c r="Q7" i="17" s="1"/>
  <c r="AG26" i="17"/>
  <c r="AC38" i="17"/>
  <c r="AE36" i="17"/>
  <c r="AF36" i="17" s="1"/>
  <c r="AG36" i="17" s="1"/>
  <c r="AK82" i="17"/>
  <c r="M84" i="17"/>
  <c r="P84" i="17" s="1"/>
  <c r="X91" i="17"/>
  <c r="P97" i="17"/>
  <c r="AT118" i="28" s="1"/>
  <c r="AM104" i="17"/>
  <c r="AN104" i="17" s="1"/>
  <c r="AO104" i="17" s="1"/>
  <c r="S35" i="14"/>
  <c r="S52" i="14"/>
  <c r="U87" i="14"/>
  <c r="BF87" i="14"/>
  <c r="T94" i="14"/>
  <c r="AN36" i="10" s="1"/>
  <c r="BS32" i="12" s="1"/>
  <c r="AW94" i="14"/>
  <c r="BZ94" i="14"/>
  <c r="N22" i="17"/>
  <c r="Q22" i="17" s="1"/>
  <c r="P23" i="17"/>
  <c r="Q23" i="17" s="1"/>
  <c r="AD38" i="17"/>
  <c r="AM76" i="17"/>
  <c r="AN76" i="17" s="1"/>
  <c r="AM93" i="17"/>
  <c r="AN93" i="17" s="1"/>
  <c r="AB95" i="17"/>
  <c r="U94" i="14"/>
  <c r="AO36" i="10" s="1"/>
  <c r="BU32" i="12" s="1"/>
  <c r="BB94" i="14"/>
  <c r="AB98" i="14"/>
  <c r="BG24" i="22"/>
  <c r="I19" i="3"/>
  <c r="I50" i="3" s="1"/>
  <c r="I57" i="3" s="1"/>
  <c r="AG16" i="17"/>
  <c r="AM81" i="17"/>
  <c r="AN81" i="17" s="1"/>
  <c r="AO81" i="17" s="1"/>
  <c r="X98" i="14"/>
  <c r="Y94" i="14"/>
  <c r="BD94" i="14"/>
  <c r="M94" i="14"/>
  <c r="M36" i="10" s="1"/>
  <c r="S32" i="12" s="1"/>
  <c r="AG7" i="17"/>
  <c r="P31" i="17"/>
  <c r="V50" i="17"/>
  <c r="AD94" i="14"/>
  <c r="Y36" i="10" s="1"/>
  <c r="AO32" i="12" s="1"/>
  <c r="BI94" i="14"/>
  <c r="B49" i="3"/>
  <c r="AE7" i="17"/>
  <c r="AF7" i="17" s="1"/>
  <c r="AG34" i="17"/>
  <c r="AD97" i="17"/>
  <c r="BC44" i="13"/>
  <c r="AX87" i="14"/>
  <c r="C94" i="14"/>
  <c r="E36" i="10" s="1"/>
  <c r="C32" i="12" s="1"/>
  <c r="AE94" i="14"/>
  <c r="BJ94" i="14"/>
  <c r="Z94" i="14"/>
  <c r="W36" i="10" s="1"/>
  <c r="AK32" i="12" s="1"/>
  <c r="J9" i="16"/>
  <c r="I51" i="17"/>
  <c r="AG19" i="17"/>
  <c r="Z51" i="17"/>
  <c r="AE23" i="17"/>
  <c r="AF23" i="17" s="1"/>
  <c r="P46" i="17"/>
  <c r="AC115" i="17"/>
  <c r="AF97" i="17"/>
  <c r="AG97" i="17" s="1"/>
  <c r="AI97" i="17" s="1"/>
  <c r="E94" i="14"/>
  <c r="AF94" i="14"/>
  <c r="BH92" i="10"/>
  <c r="BH11" i="10"/>
  <c r="BG19" i="10"/>
  <c r="S15" i="12"/>
  <c r="BH61" i="10"/>
  <c r="BH17" i="10"/>
  <c r="AG15" i="12"/>
  <c r="BG18" i="10"/>
  <c r="BH39" i="10"/>
  <c r="BG13" i="10"/>
  <c r="BH23" i="10"/>
  <c r="BG34" i="10"/>
  <c r="BH54" i="10"/>
  <c r="BG40" i="10"/>
  <c r="BG50" i="10"/>
  <c r="BH14" i="10"/>
  <c r="BH90" i="10"/>
  <c r="BH41" i="10"/>
  <c r="BG52" i="10"/>
  <c r="BG21" i="10"/>
  <c r="BG37" i="10"/>
  <c r="BH69" i="10"/>
  <c r="BG91" i="10"/>
  <c r="BG103" i="10"/>
  <c r="BG35" i="10"/>
  <c r="BG43" i="10"/>
  <c r="BG73" i="10"/>
  <c r="CW15" i="12"/>
  <c r="C58" i="12"/>
  <c r="AY15" i="12"/>
  <c r="BG15" i="12"/>
  <c r="CI22" i="12"/>
  <c r="CA15" i="12"/>
  <c r="AS15" i="12"/>
  <c r="DA15" i="12"/>
  <c r="CE15" i="12"/>
  <c r="C15" i="12"/>
  <c r="AW15" i="12"/>
  <c r="BG32" i="10"/>
  <c r="H362" i="11"/>
  <c r="CK16" i="12"/>
  <c r="CL16" i="12" s="1"/>
  <c r="BG15" i="10"/>
  <c r="CI33" i="12"/>
  <c r="BG29" i="10"/>
  <c r="BG66" i="10"/>
  <c r="BG33" i="12"/>
  <c r="K16" i="12"/>
  <c r="K15" i="12" s="1"/>
  <c r="M15" i="12"/>
  <c r="H231" i="11"/>
  <c r="H1877" i="11"/>
  <c r="BE16" i="12"/>
  <c r="BE15" i="12" s="1"/>
  <c r="CI28" i="12"/>
  <c r="CY16" i="12"/>
  <c r="CY15" i="12" s="1"/>
  <c r="H1482" i="11"/>
  <c r="H1950" i="11"/>
  <c r="H2649" i="11"/>
  <c r="U18" i="12"/>
  <c r="U15" i="12" s="1"/>
  <c r="K34" i="12"/>
  <c r="BG34" i="12"/>
  <c r="AO39" i="12"/>
  <c r="BH38" i="10"/>
  <c r="BG45" i="10"/>
  <c r="AY104" i="10"/>
  <c r="CK18" i="12"/>
  <c r="CL18" i="12" s="1"/>
  <c r="AO15" i="12"/>
  <c r="AK15" i="12"/>
  <c r="H387" i="11"/>
  <c r="CM16" i="12"/>
  <c r="CM15" i="12" s="1"/>
  <c r="BI33" i="12"/>
  <c r="BI27" i="12" s="1"/>
  <c r="BG20" i="10"/>
  <c r="BH49" i="10"/>
  <c r="H941" i="11"/>
  <c r="H1170" i="11"/>
  <c r="H2132" i="11"/>
  <c r="BU18" i="12"/>
  <c r="BU15" i="12" s="1"/>
  <c r="CS18" i="12"/>
  <c r="CS15" i="12" s="1"/>
  <c r="AY22" i="12"/>
  <c r="AK33" i="12"/>
  <c r="AC34" i="12"/>
  <c r="H2891" i="11"/>
  <c r="U104" i="10"/>
  <c r="AC15" i="12"/>
  <c r="H234" i="11"/>
  <c r="H390" i="11"/>
  <c r="AM33" i="12"/>
  <c r="J6" i="24"/>
  <c r="AA18" i="12"/>
  <c r="AB18" i="12" s="1"/>
  <c r="CI37" i="12"/>
  <c r="CI34" i="12" s="1"/>
  <c r="BG46" i="10"/>
  <c r="BG62" i="10"/>
  <c r="H284" i="11"/>
  <c r="H440" i="11"/>
  <c r="E15" i="12"/>
  <c r="AM16" i="12"/>
  <c r="AM15" i="12" s="1"/>
  <c r="BW15" i="12"/>
  <c r="BY27" i="12"/>
  <c r="O33" i="12"/>
  <c r="BI37" i="12"/>
  <c r="BI34" i="12" s="1"/>
  <c r="BG22" i="10"/>
  <c r="BG51" i="10"/>
  <c r="BG55" i="10"/>
  <c r="BG71" i="10"/>
  <c r="F21" i="3"/>
  <c r="H1142" i="11"/>
  <c r="BC15" i="12"/>
  <c r="H1220" i="11"/>
  <c r="H309" i="11"/>
  <c r="H621" i="11"/>
  <c r="H1799" i="11"/>
  <c r="H1955" i="11"/>
  <c r="AQ15" i="12"/>
  <c r="AG32" i="12"/>
  <c r="AG27" i="12" s="1"/>
  <c r="CS34" i="12"/>
  <c r="H2028" i="11"/>
  <c r="BF18" i="12"/>
  <c r="BG31" i="10"/>
  <c r="BG47" i="10"/>
  <c r="BG56" i="10"/>
  <c r="BG86" i="10"/>
  <c r="BA16" i="12"/>
  <c r="BA15" i="12" s="1"/>
  <c r="F37" i="3"/>
  <c r="F6" i="24"/>
  <c r="CC15" i="12"/>
  <c r="BK16" i="12"/>
  <c r="BK15" i="12" s="1"/>
  <c r="F53" i="3"/>
  <c r="BH17" i="12"/>
  <c r="H17" i="12"/>
  <c r="AO8" i="12"/>
  <c r="B38" i="23" s="1"/>
  <c r="I8" i="12"/>
  <c r="J30" i="12" s="1"/>
  <c r="AG8" i="12"/>
  <c r="AH28" i="12" s="1"/>
  <c r="P6" i="24"/>
  <c r="S8" i="12"/>
  <c r="T44" i="12" s="1"/>
  <c r="CN17" i="12"/>
  <c r="AW34" i="12"/>
  <c r="CT17" i="12"/>
  <c r="BL17" i="12"/>
  <c r="U8" i="12"/>
  <c r="V40" i="12" s="1"/>
  <c r="M22" i="12"/>
  <c r="BG22" i="12"/>
  <c r="P17" i="12"/>
  <c r="BN18" i="12"/>
  <c r="AW22" i="12"/>
  <c r="BU22" i="12"/>
  <c r="AQ22" i="12"/>
  <c r="Q58" i="12"/>
  <c r="BW34" i="12"/>
  <c r="CA6" i="12"/>
  <c r="BK22" i="12"/>
  <c r="CN18" i="12"/>
  <c r="AM8" i="12"/>
  <c r="AN30" i="12" s="1"/>
  <c r="D6" i="24"/>
  <c r="BR18" i="12"/>
  <c r="BZ18" i="12"/>
  <c r="H18" i="12"/>
  <c r="CO22" i="12"/>
  <c r="BS22" i="12"/>
  <c r="CJ17" i="12"/>
  <c r="BC6" i="12"/>
  <c r="CI8" i="12"/>
  <c r="CJ25" i="12" s="1"/>
  <c r="AU22" i="12"/>
  <c r="CM8" i="12"/>
  <c r="CN35" i="12" s="1"/>
  <c r="CX18" i="12"/>
  <c r="BB18" i="12"/>
  <c r="CY6" i="12"/>
  <c r="CH18" i="12"/>
  <c r="AM22" i="12"/>
  <c r="O22" i="12"/>
  <c r="AB17" i="12"/>
  <c r="CC6" i="12"/>
  <c r="AA8" i="12"/>
  <c r="CJ30" i="12"/>
  <c r="CU34" i="12"/>
  <c r="AE6" i="12"/>
  <c r="AN18" i="12"/>
  <c r="AF16" i="12"/>
  <c r="DA6" i="12"/>
  <c r="AH18" i="12"/>
  <c r="CD18" i="12"/>
  <c r="AU39" i="12"/>
  <c r="BO8" i="12"/>
  <c r="BP46" i="12" s="1"/>
  <c r="BE6" i="12"/>
  <c r="V16" i="12"/>
  <c r="AT17" i="12"/>
  <c r="CV17" i="12"/>
  <c r="BM27" i="12"/>
  <c r="CQ34" i="12"/>
  <c r="DC43" i="12"/>
  <c r="DG43" i="12" s="1"/>
  <c r="Y39" i="12"/>
  <c r="U6" i="12"/>
  <c r="T18" i="12"/>
  <c r="BH16" i="12"/>
  <c r="X17" i="12"/>
  <c r="AT18" i="12"/>
  <c r="CG22" i="12"/>
  <c r="S27" i="12"/>
  <c r="AA34" i="12"/>
  <c r="BQ27" i="12"/>
  <c r="BE8" i="12"/>
  <c r="BF41" i="12" s="1"/>
  <c r="CD16" i="12"/>
  <c r="BP17" i="12"/>
  <c r="N18" i="12"/>
  <c r="BJ18" i="12"/>
  <c r="AG6" i="12"/>
  <c r="R18" i="12"/>
  <c r="BL18" i="12"/>
  <c r="DB18" i="12"/>
  <c r="BS34" i="12"/>
  <c r="CS39" i="12"/>
  <c r="AS8" i="12"/>
  <c r="AT41" i="12" s="1"/>
  <c r="X16" i="12"/>
  <c r="CX17" i="12"/>
  <c r="DA8" i="12"/>
  <c r="DB47" i="12" s="1"/>
  <c r="BK8" i="12"/>
  <c r="BL29" i="12" s="1"/>
  <c r="BD17" i="12"/>
  <c r="CD17" i="12"/>
  <c r="AV18" i="12"/>
  <c r="CM22" i="12"/>
  <c r="K22" i="12"/>
  <c r="BI22" i="12"/>
  <c r="AG34" i="12"/>
  <c r="J18" i="12"/>
  <c r="I6" i="12"/>
  <c r="AY8" i="12"/>
  <c r="AZ44" i="12" s="1"/>
  <c r="AF18" i="12"/>
  <c r="CP18" i="12"/>
  <c r="CE39" i="12"/>
  <c r="AZ17" i="12"/>
  <c r="AA22" i="12"/>
  <c r="BQ8" i="12"/>
  <c r="BR10" i="12" s="1"/>
  <c r="BQ6" i="12"/>
  <c r="CO6" i="12"/>
  <c r="BW22" i="12"/>
  <c r="CI39" i="12"/>
  <c r="CO8" i="12"/>
  <c r="CP36" i="12" s="1"/>
  <c r="CZ17" i="12"/>
  <c r="G22" i="12"/>
  <c r="Q39" i="12"/>
  <c r="BU6" i="12"/>
  <c r="AF17" i="12"/>
  <c r="BF17" i="12"/>
  <c r="CA22" i="12"/>
  <c r="BX16" i="12"/>
  <c r="AS6" i="12"/>
  <c r="E6" i="12"/>
  <c r="Y6" i="12"/>
  <c r="AW6" i="12"/>
  <c r="CS8" i="12"/>
  <c r="B55" i="23" s="1"/>
  <c r="BQ39" i="12"/>
  <c r="L6" i="24"/>
  <c r="AS39" i="12"/>
  <c r="BD16" i="12"/>
  <c r="AO6" i="12"/>
  <c r="CK6" i="12"/>
  <c r="CP16" i="12"/>
  <c r="T17" i="12"/>
  <c r="CC8" i="12"/>
  <c r="AV17" i="12"/>
  <c r="BX17" i="12"/>
  <c r="AD18" i="12"/>
  <c r="AX18" i="12"/>
  <c r="BM22" i="12"/>
  <c r="CK22" i="12"/>
  <c r="AH17" i="12"/>
  <c r="Y22" i="12"/>
  <c r="Y34" i="12"/>
  <c r="D44" i="23"/>
  <c r="CU8" i="12"/>
  <c r="CV44" i="12" s="1"/>
  <c r="CK8" i="12"/>
  <c r="AN17" i="12"/>
  <c r="F18" i="12"/>
  <c r="CB18" i="12"/>
  <c r="CR18" i="12"/>
  <c r="BE22" i="12"/>
  <c r="DA22" i="12"/>
  <c r="CU22" i="12"/>
  <c r="U34" i="12"/>
  <c r="AK22" i="12"/>
  <c r="DC26" i="12"/>
  <c r="DG26" i="12" s="1"/>
  <c r="BQ34" i="12"/>
  <c r="I39" i="12"/>
  <c r="D48" i="23"/>
  <c r="AR17" i="12"/>
  <c r="BR17" i="12"/>
  <c r="AK34" i="12"/>
  <c r="G15" i="6"/>
  <c r="AT15" i="6"/>
  <c r="BN15" i="6"/>
  <c r="BB15" i="6"/>
  <c r="Q15" i="6"/>
  <c r="BA15" i="6"/>
  <c r="I15" i="6"/>
  <c r="V15" i="6"/>
  <c r="E12" i="6"/>
  <c r="BH51" i="28"/>
  <c r="BH106" i="28"/>
  <c r="BG18" i="28"/>
  <c r="BG98" i="28"/>
  <c r="BH64" i="28"/>
  <c r="BG28" i="28"/>
  <c r="BG79" i="28"/>
  <c r="BH48" i="28"/>
  <c r="BH59" i="28"/>
  <c r="BG43" i="28"/>
  <c r="BH88" i="28"/>
  <c r="BG24" i="28"/>
  <c r="BH52" i="28"/>
  <c r="BG103" i="28"/>
  <c r="BH71" i="28"/>
  <c r="BG107" i="28"/>
  <c r="BH45" i="28"/>
  <c r="BG86" i="28"/>
  <c r="BG31" i="28"/>
  <c r="BH36" i="28"/>
  <c r="BG12" i="28"/>
  <c r="BH17" i="28"/>
  <c r="BG27" i="28"/>
  <c r="BH42" i="28"/>
  <c r="BG54" i="28"/>
  <c r="BH63" i="28"/>
  <c r="BG83" i="28"/>
  <c r="BH101" i="28"/>
  <c r="BH39" i="28"/>
  <c r="BG80" i="28"/>
  <c r="BG49" i="28"/>
  <c r="BG56" i="28"/>
  <c r="BG25" i="28"/>
  <c r="BH50" i="28"/>
  <c r="BH104" i="28"/>
  <c r="BG76" i="28"/>
  <c r="BH53" i="28"/>
  <c r="K15" i="6"/>
  <c r="Z15" i="6"/>
  <c r="AM15" i="6"/>
  <c r="L15" i="6"/>
  <c r="O15" i="6"/>
  <c r="E10" i="6"/>
  <c r="AP15" i="6"/>
  <c r="U15" i="6"/>
  <c r="AU15" i="6"/>
  <c r="AO15" i="6"/>
  <c r="E11" i="6"/>
  <c r="E13" i="6"/>
  <c r="AJ15" i="6"/>
  <c r="BI15" i="6"/>
  <c r="J15" i="6"/>
  <c r="BJ17" i="12"/>
  <c r="CQ39" i="12"/>
  <c r="CS6" i="12"/>
  <c r="BI6" i="12"/>
  <c r="AU8" i="12"/>
  <c r="AV26" i="12" s="1"/>
  <c r="AU6" i="12"/>
  <c r="CF17" i="12"/>
  <c r="DC23" i="12"/>
  <c r="Y8" i="12"/>
  <c r="Z41" i="12" s="1"/>
  <c r="BY39" i="12"/>
  <c r="H6" i="24"/>
  <c r="AK6" i="12"/>
  <c r="AK8" i="12"/>
  <c r="DC13" i="12"/>
  <c r="DG13" i="12" s="1"/>
  <c r="CA39" i="12"/>
  <c r="BY6" i="12"/>
  <c r="CS22" i="12"/>
  <c r="BN17" i="12"/>
  <c r="H2109" i="11"/>
  <c r="BI8" i="12"/>
  <c r="AQ6" i="12"/>
  <c r="AQ8" i="12"/>
  <c r="AR25" i="12" s="1"/>
  <c r="H16" i="12"/>
  <c r="AB16" i="12"/>
  <c r="J16" i="12"/>
  <c r="BC22" i="12"/>
  <c r="O34" i="12"/>
  <c r="AI34" i="12"/>
  <c r="BM8" i="12"/>
  <c r="BN28" i="12" s="1"/>
  <c r="AA6" i="12"/>
  <c r="DF16" i="12"/>
  <c r="DE8" i="12"/>
  <c r="DF9" i="12" s="1"/>
  <c r="CE34" i="12"/>
  <c r="CB16" i="12"/>
  <c r="CR17" i="12"/>
  <c r="CG39" i="12"/>
  <c r="AJ16" i="12"/>
  <c r="BZ17" i="12"/>
  <c r="BY8" i="12"/>
  <c r="CG8" i="12"/>
  <c r="CH45" i="12" s="1"/>
  <c r="CG6" i="12"/>
  <c r="BA34" i="12"/>
  <c r="CO27" i="12"/>
  <c r="C8" i="12"/>
  <c r="AC6" i="12"/>
  <c r="AW8" i="12"/>
  <c r="Q8" i="12"/>
  <c r="R32" i="12" s="1"/>
  <c r="CT16" i="12"/>
  <c r="R17" i="12"/>
  <c r="D18" i="12"/>
  <c r="DC31" i="12"/>
  <c r="C27" i="12"/>
  <c r="AM34" i="12"/>
  <c r="AK39" i="12"/>
  <c r="BO22" i="12"/>
  <c r="AC8" i="12"/>
  <c r="AD17" i="12"/>
  <c r="DC11" i="12"/>
  <c r="CU16" i="12"/>
  <c r="CU15" i="12" s="1"/>
  <c r="DC48" i="12"/>
  <c r="CQ8" i="12"/>
  <c r="CR45" i="12" s="1"/>
  <c r="CQ6" i="12"/>
  <c r="BW6" i="12"/>
  <c r="BW8" i="12"/>
  <c r="CR16" i="12"/>
  <c r="DE52" i="12"/>
  <c r="V9" i="24"/>
  <c r="M8" i="12"/>
  <c r="N43" i="12" s="1"/>
  <c r="M6" i="12"/>
  <c r="BU8" i="12"/>
  <c r="CM6" i="12"/>
  <c r="AV16" i="12"/>
  <c r="BZ16" i="12"/>
  <c r="CQ22" i="12"/>
  <c r="O6" i="12"/>
  <c r="AE8" i="12"/>
  <c r="AF35" i="12" s="1"/>
  <c r="AF9" i="12"/>
  <c r="BK6" i="12"/>
  <c r="CA8" i="12"/>
  <c r="CB44" i="12" s="1"/>
  <c r="AI8" i="12"/>
  <c r="AJ11" i="12" s="1"/>
  <c r="AI6" i="12"/>
  <c r="CE8" i="12"/>
  <c r="CF45" i="12" s="1"/>
  <c r="CF16" i="12"/>
  <c r="CE6" i="12"/>
  <c r="N6" i="24"/>
  <c r="CY22" i="12"/>
  <c r="CC39" i="12"/>
  <c r="BG87" i="10"/>
  <c r="BH87" i="10"/>
  <c r="N17" i="12"/>
  <c r="AX17" i="12"/>
  <c r="Q6" i="12"/>
  <c r="BM6" i="12"/>
  <c r="BY22" i="12"/>
  <c r="I27" i="12"/>
  <c r="E34" i="12"/>
  <c r="BE60" i="10"/>
  <c r="AP16" i="12"/>
  <c r="BT16" i="12"/>
  <c r="CX16" i="12"/>
  <c r="AD16" i="12"/>
  <c r="CI16" i="12"/>
  <c r="CI15" i="12" s="1"/>
  <c r="H2729" i="11"/>
  <c r="N16" i="12"/>
  <c r="AL16" i="12"/>
  <c r="BJ16" i="12"/>
  <c r="F17" i="12"/>
  <c r="V5" i="24"/>
  <c r="E8" i="12"/>
  <c r="AL17" i="12"/>
  <c r="BA8" i="12"/>
  <c r="BB47" i="12" s="1"/>
  <c r="BB17" i="12"/>
  <c r="CH17" i="12"/>
  <c r="CW8" i="12"/>
  <c r="P16" i="12"/>
  <c r="DC17" i="12"/>
  <c r="D17" i="12"/>
  <c r="E22" i="12"/>
  <c r="U39" i="12"/>
  <c r="DC45" i="12"/>
  <c r="C39" i="12"/>
  <c r="BG80" i="10"/>
  <c r="DC9" i="12"/>
  <c r="C6" i="12"/>
  <c r="D16" i="12"/>
  <c r="AZ16" i="12"/>
  <c r="AY6" i="12"/>
  <c r="CU6" i="12"/>
  <c r="W8" i="12"/>
  <c r="X41" i="12" s="1"/>
  <c r="W6" i="12"/>
  <c r="BS8" i="12"/>
  <c r="BS6" i="12"/>
  <c r="R16" i="12"/>
  <c r="BN16" i="12"/>
  <c r="P18" i="12"/>
  <c r="DC35" i="12"/>
  <c r="BW44" i="12"/>
  <c r="BW39" i="12" s="1"/>
  <c r="S6" i="12"/>
  <c r="BO6" i="12"/>
  <c r="BA6" i="12"/>
  <c r="CW6" i="12"/>
  <c r="T16" i="12"/>
  <c r="AR16" i="12"/>
  <c r="BP16" i="12"/>
  <c r="CC22" i="12"/>
  <c r="DC24" i="12"/>
  <c r="Y27" i="12"/>
  <c r="CK34" i="12"/>
  <c r="AZ104" i="10"/>
  <c r="O8" i="12"/>
  <c r="Z17" i="12"/>
  <c r="AP17" i="12"/>
  <c r="CL17" i="12"/>
  <c r="BT17" i="12"/>
  <c r="BT18" i="12"/>
  <c r="M34" i="12"/>
  <c r="AW39" i="12"/>
  <c r="G8" i="12"/>
  <c r="H30" i="12" s="1"/>
  <c r="AM6" i="12"/>
  <c r="BC8" i="12"/>
  <c r="CI6" i="12"/>
  <c r="CY8" i="12"/>
  <c r="K8" i="12"/>
  <c r="L17" i="12"/>
  <c r="K6" i="12"/>
  <c r="BG8" i="12"/>
  <c r="BG6" i="12"/>
  <c r="DC10" i="12"/>
  <c r="DC12" i="12"/>
  <c r="DG12" i="12" s="1"/>
  <c r="B6" i="24"/>
  <c r="BV17" i="12"/>
  <c r="AC22" i="12"/>
  <c r="AE22" i="12"/>
  <c r="Q27" i="12"/>
  <c r="AY34" i="12"/>
  <c r="AJ17" i="12"/>
  <c r="AJ18" i="12"/>
  <c r="AZ18" i="12"/>
  <c r="BP18" i="12"/>
  <c r="AG22" i="12"/>
  <c r="BP33" i="12"/>
  <c r="BK39" i="12"/>
  <c r="BG39" i="12"/>
  <c r="BV16" i="12"/>
  <c r="AT16" i="12"/>
  <c r="AL18" i="12"/>
  <c r="CF18" i="12"/>
  <c r="DC49" i="12"/>
  <c r="DG49" i="12" s="1"/>
  <c r="AI22" i="12"/>
  <c r="CC34" i="12"/>
  <c r="AO104" i="10"/>
  <c r="BU37" i="12"/>
  <c r="BH70" i="10"/>
  <c r="BG70" i="10"/>
  <c r="F18" i="3"/>
  <c r="BE89" i="10"/>
  <c r="AX16" i="12"/>
  <c r="Z18" i="12"/>
  <c r="AP18" i="12"/>
  <c r="BD18" i="12"/>
  <c r="CJ18" i="12"/>
  <c r="I22" i="12"/>
  <c r="CE22" i="12"/>
  <c r="DC25" i="12"/>
  <c r="C22" i="12"/>
  <c r="BY34" i="12"/>
  <c r="W34" i="12"/>
  <c r="BK34" i="12"/>
  <c r="CG34" i="12"/>
  <c r="Q34" i="12"/>
  <c r="BM34" i="12"/>
  <c r="M39" i="12"/>
  <c r="BM39" i="12"/>
  <c r="DC42" i="12"/>
  <c r="E104" i="10"/>
  <c r="AH16" i="12"/>
  <c r="DB17" i="12"/>
  <c r="BA22" i="12"/>
  <c r="CW22" i="12"/>
  <c r="CG27" i="12"/>
  <c r="AG39" i="12"/>
  <c r="DC41" i="12"/>
  <c r="BH25" i="10"/>
  <c r="BG25" i="10"/>
  <c r="BR16" i="12"/>
  <c r="AR18" i="12"/>
  <c r="BH18" i="12"/>
  <c r="BX18" i="12"/>
  <c r="CZ18" i="12"/>
  <c r="AO22" i="12"/>
  <c r="AU34" i="12"/>
  <c r="O39" i="12"/>
  <c r="CO39" i="12"/>
  <c r="E39" i="12"/>
  <c r="BH12" i="10"/>
  <c r="BG16" i="10"/>
  <c r="BH26" i="10"/>
  <c r="BG26" i="10"/>
  <c r="F16" i="12"/>
  <c r="DB16" i="12"/>
  <c r="CB17" i="12"/>
  <c r="W22" i="12"/>
  <c r="BO27" i="12"/>
  <c r="AC39" i="12"/>
  <c r="BG12" i="10"/>
  <c r="BG27" i="10"/>
  <c r="BH27" i="10"/>
  <c r="H104" i="10"/>
  <c r="V104" i="10"/>
  <c r="F34" i="3"/>
  <c r="F31" i="3" s="1"/>
  <c r="BE63" i="10"/>
  <c r="C37" i="12"/>
  <c r="C34" i="12" s="1"/>
  <c r="AF80" i="17"/>
  <c r="AG80" i="17" s="1"/>
  <c r="AI80" i="17" s="1"/>
  <c r="AM80" i="17"/>
  <c r="AN80" i="17" s="1"/>
  <c r="N80" i="17"/>
  <c r="Z16" i="12"/>
  <c r="CH16" i="12"/>
  <c r="V17" i="12"/>
  <c r="X18" i="12"/>
  <c r="S22" i="12"/>
  <c r="Q22" i="12"/>
  <c r="BQ22" i="12"/>
  <c r="G27" i="12"/>
  <c r="I34" i="12"/>
  <c r="BE34" i="12"/>
  <c r="DA34" i="12"/>
  <c r="AY39" i="12"/>
  <c r="BU39" i="12"/>
  <c r="BO39" i="12"/>
  <c r="BH48" i="10"/>
  <c r="BG48" i="10"/>
  <c r="BH64" i="10"/>
  <c r="BG64" i="10"/>
  <c r="BE101" i="10"/>
  <c r="CW34" i="12"/>
  <c r="W39" i="12"/>
  <c r="AM39" i="12"/>
  <c r="BS39" i="12"/>
  <c r="CK39" i="12"/>
  <c r="BH28" i="10"/>
  <c r="BG28" i="10"/>
  <c r="J17" i="12"/>
  <c r="CP17" i="12"/>
  <c r="L18" i="12"/>
  <c r="CV18" i="12"/>
  <c r="AS22" i="12"/>
  <c r="AO34" i="12"/>
  <c r="CU39" i="12"/>
  <c r="DA39" i="12"/>
  <c r="BG53" i="10"/>
  <c r="BH53" i="10"/>
  <c r="BE74" i="10"/>
  <c r="BH76" i="10"/>
  <c r="BG76" i="10"/>
  <c r="BE96" i="10"/>
  <c r="AL104" i="10"/>
  <c r="DC30" i="12"/>
  <c r="AS34" i="12"/>
  <c r="CO34" i="12"/>
  <c r="DC38" i="12"/>
  <c r="BE39" i="12"/>
  <c r="CW39" i="12"/>
  <c r="CC28" i="12"/>
  <c r="BH77" i="10"/>
  <c r="BG77" i="10"/>
  <c r="U22" i="12"/>
  <c r="AI39" i="12"/>
  <c r="K39" i="12"/>
  <c r="AA39" i="12"/>
  <c r="DC40" i="12"/>
  <c r="DA28" i="12"/>
  <c r="AB104" i="10"/>
  <c r="BH67" i="10"/>
  <c r="BG67" i="10"/>
  <c r="BH79" i="10"/>
  <c r="BG79" i="10"/>
  <c r="BE94" i="10"/>
  <c r="DC36" i="12"/>
  <c r="F30" i="3"/>
  <c r="BH68" i="10"/>
  <c r="BG68" i="10"/>
  <c r="AM104" i="10"/>
  <c r="BC104" i="10"/>
  <c r="BE42" i="10"/>
  <c r="BE75" i="10"/>
  <c r="BH84" i="10"/>
  <c r="BG84" i="10"/>
  <c r="BH88" i="10"/>
  <c r="BG88" i="10"/>
  <c r="W27" i="12"/>
  <c r="AI27" i="12"/>
  <c r="AU27" i="12"/>
  <c r="BS27" i="12"/>
  <c r="CQ27" i="12"/>
  <c r="G34" i="12"/>
  <c r="S34" i="12"/>
  <c r="AE34" i="12"/>
  <c r="AQ34" i="12"/>
  <c r="BC34" i="12"/>
  <c r="BO34" i="12"/>
  <c r="CA34" i="12"/>
  <c r="CM34" i="12"/>
  <c r="CY34" i="12"/>
  <c r="G39" i="12"/>
  <c r="BC39" i="12"/>
  <c r="CY39" i="12"/>
  <c r="BE30" i="10"/>
  <c r="AN104" i="10"/>
  <c r="BG44" i="10"/>
  <c r="BE85" i="10"/>
  <c r="BE93" i="10"/>
  <c r="AU104" i="10"/>
  <c r="F16" i="3"/>
  <c r="BE98" i="10"/>
  <c r="S39" i="12"/>
  <c r="AE39" i="12"/>
  <c r="M104" i="10"/>
  <c r="BH58" i="10"/>
  <c r="BG58" i="10"/>
  <c r="BA39" i="12"/>
  <c r="AQ39" i="12"/>
  <c r="CM39" i="12"/>
  <c r="DC46" i="12"/>
  <c r="BI47" i="12"/>
  <c r="BH24" i="10"/>
  <c r="BG24" i="10"/>
  <c r="BH65" i="10"/>
  <c r="DC50" i="12"/>
  <c r="L104" i="10"/>
  <c r="AK104" i="10"/>
  <c r="BE95" i="10"/>
  <c r="BE100" i="10"/>
  <c r="BE102" i="10"/>
  <c r="X82" i="17"/>
  <c r="Z73" i="17"/>
  <c r="Z82" i="17" s="1"/>
  <c r="AQ104" i="10"/>
  <c r="BE57" i="10"/>
  <c r="BH72" i="10"/>
  <c r="BG72" i="10"/>
  <c r="BE97" i="10"/>
  <c r="F27" i="3"/>
  <c r="AE50" i="17"/>
  <c r="AF45" i="17"/>
  <c r="AG45" i="17" s="1"/>
  <c r="AI104" i="10"/>
  <c r="G104" i="10"/>
  <c r="BE83" i="10"/>
  <c r="AD50" i="17"/>
  <c r="BH77" i="28"/>
  <c r="BG77" i="28"/>
  <c r="M8" i="17"/>
  <c r="N8" i="17" s="1"/>
  <c r="AE8" i="17"/>
  <c r="AF8" i="17" s="1"/>
  <c r="AG8" i="17" s="1"/>
  <c r="P8" i="17"/>
  <c r="V10" i="17"/>
  <c r="M6" i="17"/>
  <c r="P6" i="17" s="1"/>
  <c r="P10" i="17" s="1"/>
  <c r="AE6" i="17"/>
  <c r="X6" i="17"/>
  <c r="BH46" i="28"/>
  <c r="BG46" i="28"/>
  <c r="BH112" i="28"/>
  <c r="BG112" i="28"/>
  <c r="N21" i="17"/>
  <c r="K24" i="17"/>
  <c r="AE21" i="17"/>
  <c r="X21" i="17"/>
  <c r="BH22" i="28"/>
  <c r="BG22" i="28"/>
  <c r="BH68" i="28"/>
  <c r="BG68" i="28"/>
  <c r="AD6" i="17"/>
  <c r="AC10" i="17"/>
  <c r="BH37" i="28"/>
  <c r="BG37" i="28"/>
  <c r="G26" i="3"/>
  <c r="AL71" i="17"/>
  <c r="AO71" i="17" s="1"/>
  <c r="AK72" i="17"/>
  <c r="BH47" i="28"/>
  <c r="BG47" i="28"/>
  <c r="AM83" i="17"/>
  <c r="AF83" i="17"/>
  <c r="K86" i="17"/>
  <c r="N83" i="17"/>
  <c r="M103" i="17"/>
  <c r="AF103" i="17"/>
  <c r="AG103" i="17" s="1"/>
  <c r="AI103" i="17" s="1"/>
  <c r="BH19" i="28"/>
  <c r="BG19" i="28"/>
  <c r="H10" i="3"/>
  <c r="G9" i="3"/>
  <c r="G19" i="3" s="1"/>
  <c r="D44" i="17"/>
  <c r="K40" i="17"/>
  <c r="BH44" i="28"/>
  <c r="BG44" i="28"/>
  <c r="BH60" i="28"/>
  <c r="BG60" i="28"/>
  <c r="X17" i="17"/>
  <c r="Y17" i="17" s="1"/>
  <c r="AA17" i="17" s="1"/>
  <c r="N17" i="17"/>
  <c r="AE17" i="17"/>
  <c r="AF17" i="17" s="1"/>
  <c r="AG17" i="17" s="1"/>
  <c r="K20" i="17"/>
  <c r="V82" i="17"/>
  <c r="AF73" i="17"/>
  <c r="M73" i="17"/>
  <c r="W118" i="28"/>
  <c r="BE116" i="28"/>
  <c r="M27" i="17"/>
  <c r="N27" i="17" s="1"/>
  <c r="AE27" i="17"/>
  <c r="AF27" i="17" s="1"/>
  <c r="AG27" i="17" s="1"/>
  <c r="X27" i="17"/>
  <c r="Y27" i="17" s="1"/>
  <c r="AA27" i="17" s="1"/>
  <c r="BH15" i="28"/>
  <c r="BG15" i="28"/>
  <c r="BH99" i="28"/>
  <c r="BG99" i="28"/>
  <c r="BG114" i="28"/>
  <c r="AC24" i="17"/>
  <c r="AD22" i="17"/>
  <c r="AG22" i="17" s="1"/>
  <c r="M43" i="17"/>
  <c r="AE43" i="17"/>
  <c r="AF43" i="17" s="1"/>
  <c r="AG43" i="17" s="1"/>
  <c r="X43" i="17"/>
  <c r="Y43" i="17" s="1"/>
  <c r="AA43" i="17" s="1"/>
  <c r="P92" i="17"/>
  <c r="M92" i="17"/>
  <c r="P96" i="17"/>
  <c r="F51" i="17"/>
  <c r="M70" i="17"/>
  <c r="AM70" i="17"/>
  <c r="AN70" i="17" s="1"/>
  <c r="AO70" i="17" s="1"/>
  <c r="M74" i="17"/>
  <c r="N74" i="17" s="1"/>
  <c r="P74" i="17"/>
  <c r="AA118" i="28" s="1"/>
  <c r="AM78" i="17"/>
  <c r="AN78" i="17" s="1"/>
  <c r="AO78" i="17" s="1"/>
  <c r="AF78" i="17"/>
  <c r="AG78" i="17" s="1"/>
  <c r="AI78" i="17" s="1"/>
  <c r="N78" i="17"/>
  <c r="Q78" i="17" s="1"/>
  <c r="AK108" i="17"/>
  <c r="AL101" i="17"/>
  <c r="BH11" i="28"/>
  <c r="BG11" i="28"/>
  <c r="BH21" i="28"/>
  <c r="BG21" i="28"/>
  <c r="BH114" i="28"/>
  <c r="M14" i="17"/>
  <c r="AE14" i="17"/>
  <c r="AF14" i="17" s="1"/>
  <c r="AD25" i="17"/>
  <c r="AF84" i="17"/>
  <c r="AG84" i="17" s="1"/>
  <c r="AI84" i="17" s="1"/>
  <c r="N84" i="17"/>
  <c r="AM84" i="17"/>
  <c r="AN84" i="17" s="1"/>
  <c r="AO84" i="17" s="1"/>
  <c r="AL86" i="17"/>
  <c r="Z95" i="17"/>
  <c r="BC16" i="13"/>
  <c r="BH57" i="28"/>
  <c r="BG57" i="28"/>
  <c r="BH90" i="28"/>
  <c r="BG90" i="28"/>
  <c r="AE41" i="17"/>
  <c r="AF41" i="17" s="1"/>
  <c r="AG41" i="17" s="1"/>
  <c r="M41" i="17"/>
  <c r="AG68" i="17"/>
  <c r="BE111" i="28"/>
  <c r="V24" i="17"/>
  <c r="P21" i="17"/>
  <c r="P24" i="17" s="1"/>
  <c r="X35" i="17"/>
  <c r="Y35" i="17" s="1"/>
  <c r="AA35" i="17" s="1"/>
  <c r="N46" i="17"/>
  <c r="Q46" i="17" s="1"/>
  <c r="X46" i="17"/>
  <c r="Y46" i="17" s="1"/>
  <c r="AA46" i="17" s="1"/>
  <c r="AE46" i="17"/>
  <c r="AF46" i="17" s="1"/>
  <c r="AM92" i="17"/>
  <c r="N92" i="17"/>
  <c r="AF92" i="17"/>
  <c r="K100" i="17"/>
  <c r="N96" i="17"/>
  <c r="AF96" i="17"/>
  <c r="AM96" i="17"/>
  <c r="BH92" i="28"/>
  <c r="BG92" i="28"/>
  <c r="AA25" i="17"/>
  <c r="V37" i="17"/>
  <c r="S38" i="17"/>
  <c r="S51" i="17" s="1"/>
  <c r="M86" i="17"/>
  <c r="M90" i="17"/>
  <c r="N90" i="17" s="1"/>
  <c r="AG101" i="17"/>
  <c r="AM103" i="17"/>
  <c r="AN103" i="17" s="1"/>
  <c r="AO103" i="17" s="1"/>
  <c r="AG15" i="17"/>
  <c r="N47" i="17"/>
  <c r="P47" i="17"/>
  <c r="AF89" i="17"/>
  <c r="AG89" i="17" s="1"/>
  <c r="AI89" i="17" s="1"/>
  <c r="N89" i="17"/>
  <c r="Q89" i="17" s="1"/>
  <c r="AM89" i="17"/>
  <c r="AN89" i="17" s="1"/>
  <c r="AO89" i="17" s="1"/>
  <c r="AO90" i="17"/>
  <c r="V91" i="17"/>
  <c r="AK95" i="17"/>
  <c r="AL92" i="17"/>
  <c r="T24" i="14"/>
  <c r="S24" i="14"/>
  <c r="BH102" i="28"/>
  <c r="BG102" i="28"/>
  <c r="BG105" i="28"/>
  <c r="M12" i="17"/>
  <c r="N12" i="17" s="1"/>
  <c r="AE12" i="17"/>
  <c r="AF12" i="17" s="1"/>
  <c r="AG12" i="17" s="1"/>
  <c r="T54" i="14"/>
  <c r="S54" i="14"/>
  <c r="D10" i="15"/>
  <c r="G50" i="17"/>
  <c r="AF111" i="17"/>
  <c r="AG111" i="17" s="1"/>
  <c r="AI111" i="17" s="1"/>
  <c r="AM111" i="17"/>
  <c r="AN111" i="17" s="1"/>
  <c r="AO111" i="17" s="1"/>
  <c r="AG23" i="17"/>
  <c r="AC44" i="17"/>
  <c r="AD39" i="17"/>
  <c r="AB82" i="17"/>
  <c r="AB115" i="17" s="1"/>
  <c r="AD73" i="17"/>
  <c r="AD82" i="17" s="1"/>
  <c r="AL87" i="17"/>
  <c r="AK91" i="17"/>
  <c r="C91" i="14"/>
  <c r="C110" i="14"/>
  <c r="BE94" i="14"/>
  <c r="AF36" i="10" s="1"/>
  <c r="AY94" i="14"/>
  <c r="AA36" i="10" s="1"/>
  <c r="AS32" i="12" s="1"/>
  <c r="BA94" i="14"/>
  <c r="AD36" i="10" s="1"/>
  <c r="AX94" i="14"/>
  <c r="Z36" i="10" s="1"/>
  <c r="BG16" i="28"/>
  <c r="BG41" i="28"/>
  <c r="BG65" i="28"/>
  <c r="BG96" i="28"/>
  <c r="BG117" i="28"/>
  <c r="BD58" i="21"/>
  <c r="Y30" i="17"/>
  <c r="N32" i="17"/>
  <c r="X32" i="17"/>
  <c r="Y32" i="17" s="1"/>
  <c r="AA32" i="17" s="1"/>
  <c r="P49" i="17"/>
  <c r="N49" i="17"/>
  <c r="AF88" i="17"/>
  <c r="AG88" i="17" s="1"/>
  <c r="AI88" i="17" s="1"/>
  <c r="AM88" i="17"/>
  <c r="AN88" i="17" s="1"/>
  <c r="AO88" i="17" s="1"/>
  <c r="BG26" i="28"/>
  <c r="BG58" i="28"/>
  <c r="BG62" i="28"/>
  <c r="BG69" i="28"/>
  <c r="BG85" i="28"/>
  <c r="BH100" i="28"/>
  <c r="BG100" i="28"/>
  <c r="J51" i="17"/>
  <c r="M11" i="17"/>
  <c r="V20" i="17"/>
  <c r="AE11" i="17"/>
  <c r="M40" i="17"/>
  <c r="P40" i="17" s="1"/>
  <c r="V44" i="17"/>
  <c r="N79" i="17"/>
  <c r="Q79" i="17" s="1"/>
  <c r="N88" i="17"/>
  <c r="Q88" i="17" s="1"/>
  <c r="AD100" i="17"/>
  <c r="N104" i="17"/>
  <c r="Q104" i="17" s="1"/>
  <c r="AG15" i="6"/>
  <c r="BG23" i="28"/>
  <c r="BG30" i="28"/>
  <c r="BG115" i="28"/>
  <c r="X11" i="17"/>
  <c r="AD24" i="17"/>
  <c r="P36" i="17"/>
  <c r="Q36" i="17" s="1"/>
  <c r="M69" i="17"/>
  <c r="N69" i="17" s="1"/>
  <c r="AF69" i="17"/>
  <c r="AG69" i="17" s="1"/>
  <c r="AI69" i="17" s="1"/>
  <c r="H115" i="17"/>
  <c r="H118" i="17" s="1"/>
  <c r="M93" i="17"/>
  <c r="P93" i="17" s="1"/>
  <c r="R118" i="28" s="1"/>
  <c r="BG13" i="28"/>
  <c r="BG20" i="28"/>
  <c r="BG38" i="28"/>
  <c r="BG82" i="28"/>
  <c r="BG89" i="28"/>
  <c r="BG93" i="28"/>
  <c r="BH97" i="28"/>
  <c r="BG97" i="28"/>
  <c r="BG110" i="28"/>
  <c r="G21" i="3"/>
  <c r="G49" i="3" s="1"/>
  <c r="M49" i="3"/>
  <c r="M50" i="3" s="1"/>
  <c r="M57" i="3" s="1"/>
  <c r="P15" i="17"/>
  <c r="V29" i="17"/>
  <c r="AE25" i="17"/>
  <c r="M25" i="17"/>
  <c r="K50" i="17"/>
  <c r="N45" i="17"/>
  <c r="X45" i="17"/>
  <c r="AG46" i="17"/>
  <c r="N85" i="17"/>
  <c r="Q85" i="17" s="1"/>
  <c r="AM85" i="17"/>
  <c r="AN85" i="17" s="1"/>
  <c r="AO85" i="17" s="1"/>
  <c r="AF85" i="17"/>
  <c r="AG85" i="17" s="1"/>
  <c r="AI85" i="17" s="1"/>
  <c r="V94" i="17"/>
  <c r="V95" i="17" s="1"/>
  <c r="T95" i="17"/>
  <c r="T115" i="17" s="1"/>
  <c r="W15" i="6"/>
  <c r="T18" i="14"/>
  <c r="S18" i="14"/>
  <c r="T69" i="14"/>
  <c r="S69" i="14"/>
  <c r="BG35" i="28"/>
  <c r="BG66" i="28"/>
  <c r="BH113" i="28"/>
  <c r="BG113" i="28"/>
  <c r="AC20" i="17"/>
  <c r="AD11" i="17"/>
  <c r="Q15" i="17"/>
  <c r="AE32" i="17"/>
  <c r="AF32" i="17" s="1"/>
  <c r="AG32" i="17" s="1"/>
  <c r="Q81" i="17"/>
  <c r="V108" i="17"/>
  <c r="AO102" i="17"/>
  <c r="AF109" i="17"/>
  <c r="K114" i="17"/>
  <c r="N109" i="17"/>
  <c r="AM109" i="17"/>
  <c r="AM112" i="17"/>
  <c r="AN112" i="17" s="1"/>
  <c r="AO112" i="17" s="1"/>
  <c r="N112" i="17"/>
  <c r="AF112" i="17"/>
  <c r="AG112" i="17" s="1"/>
  <c r="AI112" i="17" s="1"/>
  <c r="T78" i="14"/>
  <c r="S78" i="14"/>
  <c r="AG14" i="17"/>
  <c r="M35" i="17"/>
  <c r="P35" i="17" s="1"/>
  <c r="AO93" i="17"/>
  <c r="AK100" i="17"/>
  <c r="AL96" i="17"/>
  <c r="K108" i="17"/>
  <c r="AF102" i="17"/>
  <c r="AG102" i="17" s="1"/>
  <c r="AI102" i="17" s="1"/>
  <c r="N102" i="17"/>
  <c r="Q102" i="17" s="1"/>
  <c r="P109" i="17"/>
  <c r="AD110" i="17"/>
  <c r="AB114" i="17"/>
  <c r="AI15" i="6"/>
  <c r="P6" i="6"/>
  <c r="R80" i="14"/>
  <c r="AD30" i="17"/>
  <c r="P32" i="17"/>
  <c r="X34" i="17"/>
  <c r="K38" i="17"/>
  <c r="N34" i="17"/>
  <c r="AE39" i="17"/>
  <c r="X39" i="17"/>
  <c r="I115" i="17"/>
  <c r="I118" i="17" s="1"/>
  <c r="AF75" i="17"/>
  <c r="AG75" i="17" s="1"/>
  <c r="AI75" i="17" s="1"/>
  <c r="K82" i="17"/>
  <c r="P77" i="17"/>
  <c r="AE118" i="28" s="1"/>
  <c r="N105" i="17"/>
  <c r="Q105" i="17" s="1"/>
  <c r="AM105" i="17"/>
  <c r="AN105" i="17" s="1"/>
  <c r="AO105" i="17" s="1"/>
  <c r="M106" i="17"/>
  <c r="N106" i="17" s="1"/>
  <c r="P113" i="17"/>
  <c r="AF113" i="17"/>
  <c r="AG113" i="17" s="1"/>
  <c r="AI113" i="17" s="1"/>
  <c r="H15" i="6"/>
  <c r="P5" i="6"/>
  <c r="AV15" i="6"/>
  <c r="BH15" i="6"/>
  <c r="T63" i="14"/>
  <c r="S63" i="14"/>
  <c r="BG75" i="28"/>
  <c r="BG78" i="28"/>
  <c r="BG81" i="28"/>
  <c r="BG84" i="28"/>
  <c r="BG109" i="28"/>
  <c r="G51" i="17"/>
  <c r="M68" i="17"/>
  <c r="N68" i="17" s="1"/>
  <c r="V72" i="17"/>
  <c r="Q71" i="17"/>
  <c r="J115" i="17"/>
  <c r="J118" i="17" s="1"/>
  <c r="N76" i="17"/>
  <c r="Q76" i="17" s="1"/>
  <c r="AF93" i="17"/>
  <c r="AG93" i="17" s="1"/>
  <c r="AI93" i="17" s="1"/>
  <c r="AO107" i="17"/>
  <c r="H51" i="17"/>
  <c r="AG13" i="17"/>
  <c r="N18" i="17"/>
  <c r="Q18" i="17" s="1"/>
  <c r="X18" i="17"/>
  <c r="Y18" i="17" s="1"/>
  <c r="AA18" i="17" s="1"/>
  <c r="X26" i="17"/>
  <c r="Y26" i="17" s="1"/>
  <c r="AA26" i="17" s="1"/>
  <c r="K31" i="17"/>
  <c r="D33" i="17"/>
  <c r="P34" i="17"/>
  <c r="N39" i="17"/>
  <c r="M42" i="17"/>
  <c r="AE42" i="17"/>
  <c r="AF42" i="17" s="1"/>
  <c r="AG42" i="17" s="1"/>
  <c r="AC50" i="17"/>
  <c r="X72" i="17"/>
  <c r="P76" i="17"/>
  <c r="AD118" i="28" s="1"/>
  <c r="M87" i="17"/>
  <c r="AF90" i="17"/>
  <c r="AG90" i="17" s="1"/>
  <c r="AI90" i="17" s="1"/>
  <c r="N93" i="17"/>
  <c r="D95" i="17"/>
  <c r="K94" i="17"/>
  <c r="Y15" i="6"/>
  <c r="AL15" i="6"/>
  <c r="BJ15" i="6"/>
  <c r="T9" i="14"/>
  <c r="S9" i="14"/>
  <c r="L80" i="14"/>
  <c r="L82" i="14" s="1"/>
  <c r="AH115" i="17"/>
  <c r="P80" i="17"/>
  <c r="AG118" i="28" s="1"/>
  <c r="N87" i="17"/>
  <c r="K91" i="17"/>
  <c r="AM87" i="17"/>
  <c r="AO97" i="17"/>
  <c r="AK15" i="6"/>
  <c r="T42" i="14"/>
  <c r="S42" i="14"/>
  <c r="M17" i="17"/>
  <c r="P17" i="17" s="1"/>
  <c r="M19" i="17"/>
  <c r="N19" i="17" s="1"/>
  <c r="M50" i="17"/>
  <c r="S115" i="17"/>
  <c r="N99" i="17"/>
  <c r="AF99" i="17"/>
  <c r="AG99" i="17" s="1"/>
  <c r="AI99" i="17" s="1"/>
  <c r="G114" i="17"/>
  <c r="G115" i="17" s="1"/>
  <c r="G118" i="17" s="1"/>
  <c r="T27" i="14"/>
  <c r="S27" i="14"/>
  <c r="T51" i="14"/>
  <c r="S51" i="14"/>
  <c r="BL87" i="14"/>
  <c r="BP87" i="14"/>
  <c r="X8" i="17"/>
  <c r="Y8" i="17" s="1"/>
  <c r="AA8" i="17" s="1"/>
  <c r="K28" i="17"/>
  <c r="AM69" i="17"/>
  <c r="AN69" i="17" s="1"/>
  <c r="AO69" i="17" s="1"/>
  <c r="X95" i="17"/>
  <c r="M98" i="17"/>
  <c r="M100" i="17" s="1"/>
  <c r="P99" i="17"/>
  <c r="AW118" i="28" s="1"/>
  <c r="AM101" i="17"/>
  <c r="K110" i="17"/>
  <c r="BC33" i="13"/>
  <c r="BC57" i="13"/>
  <c r="BM15" i="6"/>
  <c r="T15" i="14"/>
  <c r="S15" i="14"/>
  <c r="BZ91" i="14"/>
  <c r="BU98" i="14"/>
  <c r="BO99" i="14"/>
  <c r="K9" i="17"/>
  <c r="X14" i="17"/>
  <c r="Y14" i="17" s="1"/>
  <c r="AA14" i="17" s="1"/>
  <c r="X15" i="17"/>
  <c r="Y15" i="17" s="1"/>
  <c r="AA15" i="17" s="1"/>
  <c r="P45" i="17"/>
  <c r="AF70" i="17"/>
  <c r="AG70" i="17" s="1"/>
  <c r="AI70" i="17" s="1"/>
  <c r="D115" i="17"/>
  <c r="D118" i="17" s="1"/>
  <c r="U115" i="17"/>
  <c r="Z83" i="17"/>
  <c r="Z86" i="17" s="1"/>
  <c r="AF87" i="17"/>
  <c r="X100" i="17"/>
  <c r="AF107" i="17"/>
  <c r="AG107" i="17" s="1"/>
  <c r="AI107" i="17" s="1"/>
  <c r="N107" i="17"/>
  <c r="Q107" i="17" s="1"/>
  <c r="M110" i="17"/>
  <c r="P110" i="17" s="1"/>
  <c r="AX118" i="28" s="1"/>
  <c r="BC24" i="13"/>
  <c r="E5" i="6"/>
  <c r="E9" i="6"/>
  <c r="AN91" i="14"/>
  <c r="AJ98" i="14"/>
  <c r="M30" i="17"/>
  <c r="P30" i="17" s="1"/>
  <c r="P33" i="17" s="1"/>
  <c r="AG35" i="17"/>
  <c r="AM68" i="17"/>
  <c r="E115" i="17"/>
  <c r="E118" i="17" s="1"/>
  <c r="AO75" i="17"/>
  <c r="AO76" i="17"/>
  <c r="AO80" i="17"/>
  <c r="M101" i="17"/>
  <c r="P101" i="17" s="1"/>
  <c r="T36" i="14"/>
  <c r="S36" i="14"/>
  <c r="BJ98" i="14"/>
  <c r="BJ91" i="14"/>
  <c r="N95" i="14"/>
  <c r="E38" i="15"/>
  <c r="E101" i="15" s="1"/>
  <c r="W97" i="15" s="1"/>
  <c r="D39" i="15"/>
  <c r="D40" i="15" s="1"/>
  <c r="BC49" i="13"/>
  <c r="AD15" i="6"/>
  <c r="AQ15" i="6"/>
  <c r="BO15" i="6"/>
  <c r="P71" i="17"/>
  <c r="I118" i="28" s="1"/>
  <c r="Y115" i="17"/>
  <c r="AM73" i="17"/>
  <c r="AL73" i="17"/>
  <c r="N98" i="17"/>
  <c r="AM98" i="17"/>
  <c r="AN98" i="17" s="1"/>
  <c r="AO98" i="17" s="1"/>
  <c r="X114" i="17"/>
  <c r="AE15" i="6"/>
  <c r="AR15" i="6"/>
  <c r="BD15" i="6"/>
  <c r="BP15" i="6"/>
  <c r="E7" i="6"/>
  <c r="R15" i="6"/>
  <c r="E8" i="6"/>
  <c r="BF15" i="6"/>
  <c r="T6" i="14"/>
  <c r="S6" i="14"/>
  <c r="T33" i="14"/>
  <c r="S33" i="14"/>
  <c r="T60" i="14"/>
  <c r="S60" i="14"/>
  <c r="T45" i="14"/>
  <c r="S45" i="14"/>
  <c r="T72" i="14"/>
  <c r="S72" i="14"/>
  <c r="O100" i="14"/>
  <c r="Z87" i="14"/>
  <c r="AD87" i="14"/>
  <c r="H101" i="15"/>
  <c r="T12" i="15"/>
  <c r="AF74" i="17"/>
  <c r="AG74" i="17" s="1"/>
  <c r="AI74" i="17" s="1"/>
  <c r="AM74" i="17"/>
  <c r="AN74" i="17" s="1"/>
  <c r="AO74" i="17" s="1"/>
  <c r="AF79" i="17"/>
  <c r="AG79" i="17" s="1"/>
  <c r="AI79" i="17" s="1"/>
  <c r="X108" i="17"/>
  <c r="Z101" i="17"/>
  <c r="Z108" i="17" s="1"/>
  <c r="AD114" i="17"/>
  <c r="I81" i="14"/>
  <c r="I82" i="14" s="1"/>
  <c r="V87" i="14"/>
  <c r="AC99" i="14"/>
  <c r="V114" i="17"/>
  <c r="T12" i="14"/>
  <c r="T80" i="14" s="1"/>
  <c r="S12" i="14"/>
  <c r="T30" i="14"/>
  <c r="S30" i="14"/>
  <c r="T48" i="14"/>
  <c r="S48" i="14"/>
  <c r="T66" i="14"/>
  <c r="S66" i="14"/>
  <c r="BT94" i="14"/>
  <c r="BA36" i="10" s="1"/>
  <c r="CS32" i="12" s="1"/>
  <c r="BH94" i="14"/>
  <c r="AH36" i="10" s="1"/>
  <c r="BG32" i="12" s="1"/>
  <c r="AV94" i="14"/>
  <c r="AJ94" i="14"/>
  <c r="AJ95" i="14" s="1"/>
  <c r="X94" i="14"/>
  <c r="X95" i="14" s="1"/>
  <c r="L94" i="14"/>
  <c r="K36" i="10" s="1"/>
  <c r="BS94" i="14"/>
  <c r="AX36" i="10" s="1"/>
  <c r="CM32" i="12" s="1"/>
  <c r="BG94" i="14"/>
  <c r="BJ95" i="14" s="1"/>
  <c r="AU94" i="14"/>
  <c r="AI94" i="14"/>
  <c r="S36" i="10" s="1"/>
  <c r="AC32" i="12" s="1"/>
  <c r="W94" i="14"/>
  <c r="AR36" i="10" s="1"/>
  <c r="K94" i="14"/>
  <c r="J36" i="10" s="1"/>
  <c r="M32" i="12" s="1"/>
  <c r="M27" i="12" s="1"/>
  <c r="BR94" i="14"/>
  <c r="BN95" i="14" s="1"/>
  <c r="BF94" i="14"/>
  <c r="AG36" i="10" s="1"/>
  <c r="AT94" i="14"/>
  <c r="AH94" i="14"/>
  <c r="R36" i="10" s="1"/>
  <c r="AA32" i="12" s="1"/>
  <c r="V94" i="14"/>
  <c r="AP36" i="10" s="1"/>
  <c r="BW32" i="12" s="1"/>
  <c r="J94" i="14"/>
  <c r="BX94" i="14"/>
  <c r="BU95" i="14" s="1"/>
  <c r="BL94" i="14"/>
  <c r="AT36" i="10" s="1"/>
  <c r="CE32" i="12" s="1"/>
  <c r="AZ94" i="14"/>
  <c r="AC36" i="10" s="1"/>
  <c r="AW32" i="12" s="1"/>
  <c r="AW27" i="12" s="1"/>
  <c r="AN94" i="14"/>
  <c r="AB94" i="14"/>
  <c r="P94" i="14"/>
  <c r="N36" i="10" s="1"/>
  <c r="D94" i="14"/>
  <c r="F36" i="10" s="1"/>
  <c r="S94" i="14"/>
  <c r="AJ36" i="10" s="1"/>
  <c r="BK32" i="12" s="1"/>
  <c r="AL94" i="14"/>
  <c r="T36" i="10" s="1"/>
  <c r="BC94" i="14"/>
  <c r="AE36" i="10" s="1"/>
  <c r="BV94" i="14"/>
  <c r="BB36" i="10" s="1"/>
  <c r="H1" i="16"/>
  <c r="BT87" i="14"/>
  <c r="BS87" i="14"/>
  <c r="BV99" i="14"/>
  <c r="BY87" i="14"/>
  <c r="G1" i="16"/>
  <c r="AK114" i="17"/>
  <c r="T15" i="6"/>
  <c r="AS15" i="6"/>
  <c r="BE15" i="6"/>
  <c r="E6" i="6"/>
  <c r="BN98" i="14"/>
  <c r="BN91" i="14"/>
  <c r="H94" i="14"/>
  <c r="AA94" i="14"/>
  <c r="X36" i="10" s="1"/>
  <c r="AM32" i="12" s="1"/>
  <c r="AR94" i="14"/>
  <c r="BK94" i="14"/>
  <c r="AS36" i="10" s="1"/>
  <c r="CC32" i="12" s="1"/>
  <c r="AL109" i="17"/>
  <c r="M112" i="17"/>
  <c r="BC31" i="13"/>
  <c r="T21" i="14"/>
  <c r="S21" i="14"/>
  <c r="T39" i="14"/>
  <c r="S39" i="14"/>
  <c r="T57" i="14"/>
  <c r="S57" i="14"/>
  <c r="T75" i="14"/>
  <c r="S75" i="14"/>
  <c r="E98" i="14"/>
  <c r="E91" i="14"/>
  <c r="I94" i="14"/>
  <c r="I36" i="10" s="1"/>
  <c r="AC94" i="14"/>
  <c r="AS94" i="14"/>
  <c r="BM94" i="14"/>
  <c r="AV36" i="10" s="1"/>
  <c r="J5" i="16"/>
  <c r="J1" i="16" s="1"/>
  <c r="AM106" i="17"/>
  <c r="AN106" i="17" s="1"/>
  <c r="AO106" i="17" s="1"/>
  <c r="X118" i="28" l="1"/>
  <c r="P86" i="17"/>
  <c r="Z33" i="10"/>
  <c r="AX91" i="14"/>
  <c r="M114" i="17"/>
  <c r="AL72" i="17"/>
  <c r="Q97" i="17"/>
  <c r="Z115" i="17"/>
  <c r="Q77" i="17"/>
  <c r="N35" i="17"/>
  <c r="Q35" i="17" s="1"/>
  <c r="P68" i="17"/>
  <c r="BH99" i="10"/>
  <c r="BV91" i="14"/>
  <c r="BB33" i="10"/>
  <c r="Q49" i="17"/>
  <c r="P27" i="17"/>
  <c r="AF33" i="10"/>
  <c r="BE91" i="14"/>
  <c r="Q26" i="17"/>
  <c r="H1430" i="11"/>
  <c r="AS28" i="12"/>
  <c r="AS27" i="12" s="1"/>
  <c r="P98" i="17"/>
  <c r="AV118" i="28" s="1"/>
  <c r="G50" i="3"/>
  <c r="G57" i="3" s="1"/>
  <c r="BC91" i="14"/>
  <c r="AE33" i="10"/>
  <c r="H3068" i="11"/>
  <c r="CW28" i="12"/>
  <c r="CW27" i="12" s="1"/>
  <c r="E95" i="14"/>
  <c r="Q93" i="17"/>
  <c r="D101" i="15"/>
  <c r="Q84" i="17"/>
  <c r="BF91" i="14"/>
  <c r="AG33" i="10"/>
  <c r="U91" i="14"/>
  <c r="AO33" i="10"/>
  <c r="BA91" i="14"/>
  <c r="AD33" i="10"/>
  <c r="Q99" i="17"/>
  <c r="P106" i="17"/>
  <c r="AQ118" i="28" s="1"/>
  <c r="P69" i="17"/>
  <c r="F118" i="28" s="1"/>
  <c r="BF16" i="12"/>
  <c r="CJ29" i="12"/>
  <c r="AN33" i="12"/>
  <c r="AN26" i="12"/>
  <c r="T31" i="12"/>
  <c r="BP10" i="12"/>
  <c r="BP29" i="12"/>
  <c r="BP9" i="12"/>
  <c r="BP40" i="12"/>
  <c r="BP38" i="12"/>
  <c r="T39" i="12"/>
  <c r="AH30" i="12"/>
  <c r="T10" i="12"/>
  <c r="BB16" i="12"/>
  <c r="T26" i="12"/>
  <c r="T36" i="12"/>
  <c r="AH50" i="12"/>
  <c r="AH47" i="12"/>
  <c r="AH48" i="12"/>
  <c r="AH46" i="12"/>
  <c r="AH26" i="12"/>
  <c r="AH44" i="12"/>
  <c r="AP29" i="12"/>
  <c r="AN10" i="12"/>
  <c r="AH41" i="12"/>
  <c r="BP47" i="12"/>
  <c r="B32" i="23"/>
  <c r="AH27" i="12"/>
  <c r="AP48" i="12"/>
  <c r="AH33" i="12"/>
  <c r="AH45" i="12"/>
  <c r="V42" i="12"/>
  <c r="AP10" i="12"/>
  <c r="AP50" i="12"/>
  <c r="AP9" i="12"/>
  <c r="J10" i="12"/>
  <c r="DC33" i="12"/>
  <c r="DG33" i="12" s="1"/>
  <c r="J50" i="12"/>
  <c r="AN46" i="12"/>
  <c r="BF26" i="12"/>
  <c r="AN9" i="12"/>
  <c r="J45" i="12"/>
  <c r="AN43" i="12"/>
  <c r="AN28" i="12"/>
  <c r="AN6" i="12"/>
  <c r="J41" i="12"/>
  <c r="CJ47" i="12"/>
  <c r="F14" i="3"/>
  <c r="F19" i="3" s="1"/>
  <c r="J46" i="12"/>
  <c r="CJ44" i="12"/>
  <c r="AN40" i="12"/>
  <c r="BP37" i="12"/>
  <c r="BP42" i="12"/>
  <c r="J38" i="12"/>
  <c r="AH32" i="12"/>
  <c r="AN11" i="12"/>
  <c r="BP28" i="12"/>
  <c r="AP30" i="12"/>
  <c r="AN16" i="12"/>
  <c r="BP26" i="12"/>
  <c r="AP38" i="12"/>
  <c r="V34" i="12"/>
  <c r="J36" i="12"/>
  <c r="BV18" i="12"/>
  <c r="AN22" i="12"/>
  <c r="AH23" i="12"/>
  <c r="J35" i="12"/>
  <c r="AN50" i="12"/>
  <c r="BL22" i="12"/>
  <c r="AN25" i="12"/>
  <c r="AN39" i="12"/>
  <c r="J23" i="12"/>
  <c r="AJ48" i="12"/>
  <c r="AN31" i="12"/>
  <c r="AN34" i="12"/>
  <c r="AH25" i="12"/>
  <c r="AH39" i="12"/>
  <c r="AH37" i="12"/>
  <c r="J44" i="12"/>
  <c r="AH35" i="12"/>
  <c r="AJ39" i="12"/>
  <c r="J25" i="12"/>
  <c r="AP33" i="12"/>
  <c r="AH10" i="12"/>
  <c r="J40" i="12"/>
  <c r="AP23" i="12"/>
  <c r="J48" i="12"/>
  <c r="AH40" i="12"/>
  <c r="BF9" i="12"/>
  <c r="BR33" i="12"/>
  <c r="BX39" i="12"/>
  <c r="AN44" i="12"/>
  <c r="J39" i="12"/>
  <c r="J11" i="12"/>
  <c r="N26" i="12"/>
  <c r="AH24" i="12"/>
  <c r="AH11" i="12"/>
  <c r="J29" i="12"/>
  <c r="J24" i="12"/>
  <c r="BF25" i="12"/>
  <c r="J31" i="12"/>
  <c r="AJ45" i="12"/>
  <c r="AN37" i="12"/>
  <c r="AN29" i="12"/>
  <c r="AP6" i="12"/>
  <c r="BF47" i="12"/>
  <c r="AH9" i="12"/>
  <c r="DB33" i="12"/>
  <c r="AN38" i="12"/>
  <c r="CR35" i="12"/>
  <c r="J27" i="12"/>
  <c r="AN47" i="12"/>
  <c r="BF10" i="12"/>
  <c r="AH6" i="12"/>
  <c r="F26" i="3"/>
  <c r="F49" i="3" s="1"/>
  <c r="AJ27" i="12"/>
  <c r="J47" i="12"/>
  <c r="AP34" i="12"/>
  <c r="J34" i="12"/>
  <c r="AP46" i="12"/>
  <c r="AJ23" i="12"/>
  <c r="BF30" i="12"/>
  <c r="CX39" i="12"/>
  <c r="AT11" i="12"/>
  <c r="AT9" i="12"/>
  <c r="Z39" i="12"/>
  <c r="T23" i="12"/>
  <c r="AA104" i="10"/>
  <c r="BF37" i="12"/>
  <c r="CZ44" i="12"/>
  <c r="DC18" i="12"/>
  <c r="DD18" i="12" s="1"/>
  <c r="AR35" i="12"/>
  <c r="AT43" i="12"/>
  <c r="AP36" i="12"/>
  <c r="AP44" i="12"/>
  <c r="BP44" i="12"/>
  <c r="CZ16" i="12"/>
  <c r="T9" i="12"/>
  <c r="T37" i="12"/>
  <c r="BP23" i="12"/>
  <c r="BP32" i="12"/>
  <c r="CT24" i="12"/>
  <c r="CR34" i="12"/>
  <c r="DB6" i="12"/>
  <c r="AH36" i="12"/>
  <c r="AA15" i="12"/>
  <c r="CV23" i="12"/>
  <c r="AB42" i="12"/>
  <c r="L44" i="12"/>
  <c r="D45" i="12"/>
  <c r="CD43" i="12"/>
  <c r="AZ10" i="12"/>
  <c r="B11" i="23"/>
  <c r="BB24" i="12"/>
  <c r="BP30" i="12"/>
  <c r="BX25" i="12"/>
  <c r="T46" i="12"/>
  <c r="BP43" i="12"/>
  <c r="BP34" i="12"/>
  <c r="X47" i="12"/>
  <c r="S104" i="10"/>
  <c r="AT34" i="12"/>
  <c r="BF23" i="12"/>
  <c r="AP47" i="12"/>
  <c r="BP39" i="12"/>
  <c r="T33" i="12"/>
  <c r="BF45" i="12"/>
  <c r="AT40" i="12"/>
  <c r="F44" i="12"/>
  <c r="CR6" i="12"/>
  <c r="AD36" i="12"/>
  <c r="BP48" i="12"/>
  <c r="BJ45" i="12"/>
  <c r="T24" i="12"/>
  <c r="BF24" i="12"/>
  <c r="T27" i="12"/>
  <c r="AT10" i="12"/>
  <c r="J26" i="12"/>
  <c r="L16" i="12"/>
  <c r="AL50" i="12"/>
  <c r="AT38" i="12"/>
  <c r="AT25" i="12"/>
  <c r="Z6" i="12"/>
  <c r="AP32" i="12"/>
  <c r="BP45" i="12"/>
  <c r="BP35" i="12"/>
  <c r="CF23" i="12"/>
  <c r="T11" i="12"/>
  <c r="BP36" i="12"/>
  <c r="T45" i="12"/>
  <c r="AP31" i="12"/>
  <c r="AP24" i="12"/>
  <c r="BP50" i="12"/>
  <c r="CX48" i="12"/>
  <c r="AS104" i="10"/>
  <c r="BP25" i="12"/>
  <c r="BF29" i="12"/>
  <c r="T35" i="12"/>
  <c r="AT29" i="12"/>
  <c r="BT6" i="12"/>
  <c r="BV23" i="12"/>
  <c r="BP24" i="12"/>
  <c r="BP41" i="12"/>
  <c r="AP35" i="12"/>
  <c r="AT6" i="12"/>
  <c r="B23" i="23"/>
  <c r="AT36" i="12"/>
  <c r="V18" i="12"/>
  <c r="AN23" i="12"/>
  <c r="AT35" i="12"/>
  <c r="BF38" i="12"/>
  <c r="BD35" i="12"/>
  <c r="BF43" i="12"/>
  <c r="CF47" i="12"/>
  <c r="AT42" i="12"/>
  <c r="BF34" i="12"/>
  <c r="BP27" i="12"/>
  <c r="AT48" i="12"/>
  <c r="BT28" i="12"/>
  <c r="BL16" i="12"/>
  <c r="AX37" i="12"/>
  <c r="BP31" i="12"/>
  <c r="BZ41" i="12"/>
  <c r="AP39" i="12"/>
  <c r="CN16" i="12"/>
  <c r="AP40" i="12"/>
  <c r="BP11" i="12"/>
  <c r="BF31" i="12"/>
  <c r="BL37" i="12"/>
  <c r="CT18" i="12"/>
  <c r="B54" i="23"/>
  <c r="V46" i="12"/>
  <c r="CK15" i="12"/>
  <c r="AT47" i="12"/>
  <c r="AP43" i="12"/>
  <c r="AT50" i="12"/>
  <c r="BH6" i="12"/>
  <c r="BP6" i="12"/>
  <c r="X6" i="12"/>
  <c r="AP11" i="12"/>
  <c r="CB38" i="12"/>
  <c r="N41" i="12"/>
  <c r="T41" i="12"/>
  <c r="AP42" i="12"/>
  <c r="BF6" i="12"/>
  <c r="BF11" i="12"/>
  <c r="R7" i="24"/>
  <c r="R5" i="24" s="1"/>
  <c r="BH24" i="12"/>
  <c r="Z11" i="12"/>
  <c r="T47" i="12"/>
  <c r="CJ26" i="12"/>
  <c r="CN44" i="12"/>
  <c r="CN30" i="12"/>
  <c r="V38" i="12"/>
  <c r="V45" i="12"/>
  <c r="AD41" i="12"/>
  <c r="V26" i="12"/>
  <c r="V48" i="12"/>
  <c r="CJ36" i="12"/>
  <c r="CP40" i="12"/>
  <c r="AB48" i="12"/>
  <c r="BB6" i="12"/>
  <c r="B17" i="23"/>
  <c r="CN26" i="12"/>
  <c r="V43" i="12"/>
  <c r="AF34" i="12"/>
  <c r="V47" i="12"/>
  <c r="V44" i="12"/>
  <c r="AD26" i="12"/>
  <c r="T30" i="12"/>
  <c r="CJ11" i="12"/>
  <c r="CN42" i="12"/>
  <c r="CL6" i="12"/>
  <c r="V29" i="12"/>
  <c r="AB22" i="12"/>
  <c r="V10" i="12"/>
  <c r="T42" i="12"/>
  <c r="V36" i="12"/>
  <c r="T34" i="12"/>
  <c r="T25" i="12"/>
  <c r="J33" i="12"/>
  <c r="R3" i="24"/>
  <c r="J32" i="12"/>
  <c r="BN48" i="12"/>
  <c r="T48" i="12"/>
  <c r="J37" i="12"/>
  <c r="T38" i="12"/>
  <c r="V31" i="12"/>
  <c r="CJ41" i="12"/>
  <c r="J42" i="12"/>
  <c r="AD28" i="12"/>
  <c r="CN25" i="12"/>
  <c r="AH29" i="12"/>
  <c r="V28" i="12"/>
  <c r="CJ6" i="12"/>
  <c r="R6" i="12"/>
  <c r="T40" i="12"/>
  <c r="BH25" i="12"/>
  <c r="B28" i="23"/>
  <c r="AP25" i="12"/>
  <c r="CN48" i="12"/>
  <c r="BF50" i="12"/>
  <c r="CN47" i="12"/>
  <c r="CN50" i="12"/>
  <c r="V37" i="12"/>
  <c r="AD37" i="12"/>
  <c r="CN31" i="12"/>
  <c r="V11" i="12"/>
  <c r="CN22" i="12"/>
  <c r="AD32" i="12"/>
  <c r="AD39" i="12"/>
  <c r="V23" i="12"/>
  <c r="CN24" i="12"/>
  <c r="CP45" i="12"/>
  <c r="AD38" i="12"/>
  <c r="V33" i="12"/>
  <c r="CJ33" i="12"/>
  <c r="B18" i="23"/>
  <c r="CJ24" i="12"/>
  <c r="AD44" i="12"/>
  <c r="BN47" i="12"/>
  <c r="CP35" i="12"/>
  <c r="V30" i="12"/>
  <c r="V35" i="12"/>
  <c r="CP43" i="12"/>
  <c r="CN45" i="12"/>
  <c r="T50" i="12"/>
  <c r="T43" i="12"/>
  <c r="CN10" i="12"/>
  <c r="CN33" i="12"/>
  <c r="V9" i="12"/>
  <c r="AB28" i="12"/>
  <c r="AH31" i="12"/>
  <c r="AD23" i="12"/>
  <c r="T6" i="12"/>
  <c r="CN9" i="12"/>
  <c r="CH50" i="12"/>
  <c r="J43" i="12"/>
  <c r="T32" i="12"/>
  <c r="J28" i="12"/>
  <c r="J9" i="12"/>
  <c r="AD43" i="12"/>
  <c r="V25" i="12"/>
  <c r="CJ9" i="12"/>
  <c r="BZ24" i="12"/>
  <c r="T29" i="12"/>
  <c r="CJ42" i="12"/>
  <c r="CN41" i="12"/>
  <c r="V41" i="12"/>
  <c r="AP41" i="12"/>
  <c r="AH42" i="12"/>
  <c r="AP37" i="12"/>
  <c r="CJ40" i="12"/>
  <c r="AP26" i="12"/>
  <c r="AH38" i="12"/>
  <c r="AH43" i="12"/>
  <c r="BH31" i="12"/>
  <c r="T28" i="12"/>
  <c r="V50" i="12"/>
  <c r="V39" i="12"/>
  <c r="CJ10" i="12"/>
  <c r="AP45" i="12"/>
  <c r="V24" i="12"/>
  <c r="J6" i="12"/>
  <c r="V6" i="12"/>
  <c r="BR27" i="12"/>
  <c r="BR32" i="12"/>
  <c r="CR31" i="12"/>
  <c r="BR48" i="12"/>
  <c r="BR50" i="12"/>
  <c r="CN37" i="12"/>
  <c r="BD37" i="12"/>
  <c r="CJ28" i="12"/>
  <c r="BR37" i="12"/>
  <c r="CB28" i="12"/>
  <c r="BR41" i="12"/>
  <c r="F37" i="12"/>
  <c r="CJ34" i="12"/>
  <c r="BN41" i="12"/>
  <c r="CN38" i="12"/>
  <c r="BN23" i="12"/>
  <c r="N45" i="12"/>
  <c r="AN24" i="12"/>
  <c r="AL35" i="12"/>
  <c r="CJ48" i="12"/>
  <c r="BR34" i="12"/>
  <c r="Y52" i="12"/>
  <c r="Y53" i="12" s="1"/>
  <c r="CP47" i="12"/>
  <c r="CJ39" i="12"/>
  <c r="F12" i="24"/>
  <c r="BR43" i="12"/>
  <c r="X34" i="12"/>
  <c r="CV22" i="12"/>
  <c r="BX35" i="12"/>
  <c r="BR47" i="12"/>
  <c r="X35" i="12"/>
  <c r="X10" i="12"/>
  <c r="AB29" i="12"/>
  <c r="CN43" i="12"/>
  <c r="BN44" i="12"/>
  <c r="BX31" i="12"/>
  <c r="CN29" i="12"/>
  <c r="CJ43" i="12"/>
  <c r="AF25" i="12"/>
  <c r="AB30" i="12"/>
  <c r="BR42" i="12"/>
  <c r="CN32" i="12"/>
  <c r="BX46" i="12"/>
  <c r="AF45" i="12"/>
  <c r="F47" i="12"/>
  <c r="AN36" i="12"/>
  <c r="CJ35" i="12"/>
  <c r="AN41" i="12"/>
  <c r="N24" i="12"/>
  <c r="D9" i="12"/>
  <c r="B40" i="23"/>
  <c r="CV25" i="12"/>
  <c r="X44" i="12"/>
  <c r="CJ23" i="12"/>
  <c r="F11" i="12"/>
  <c r="CN36" i="12"/>
  <c r="CJ38" i="12"/>
  <c r="AT26" i="12"/>
  <c r="AT39" i="12"/>
  <c r="BR30" i="12"/>
  <c r="BR36" i="12"/>
  <c r="CL48" i="12"/>
  <c r="BR44" i="12"/>
  <c r="DF27" i="12"/>
  <c r="X37" i="12"/>
  <c r="CR41" i="12"/>
  <c r="L34" i="12"/>
  <c r="BL41" i="12"/>
  <c r="CB11" i="12"/>
  <c r="F6" i="12"/>
  <c r="CV40" i="12"/>
  <c r="AN35" i="12"/>
  <c r="AB33" i="12"/>
  <c r="CJ37" i="12"/>
  <c r="AB47" i="12"/>
  <c r="CN40" i="12"/>
  <c r="CB34" i="12"/>
  <c r="CV50" i="12"/>
  <c r="CB31" i="12"/>
  <c r="AN48" i="12"/>
  <c r="AN42" i="12"/>
  <c r="D11" i="12"/>
  <c r="CJ50" i="12"/>
  <c r="CN46" i="12"/>
  <c r="AN45" i="12"/>
  <c r="DB30" i="12"/>
  <c r="CP26" i="12"/>
  <c r="BR45" i="12"/>
  <c r="DF22" i="12"/>
  <c r="AB44" i="12"/>
  <c r="AN32" i="12"/>
  <c r="BX32" i="12"/>
  <c r="AB45" i="12"/>
  <c r="CX34" i="12"/>
  <c r="DF34" i="12"/>
  <c r="CJ45" i="12"/>
  <c r="CJ22" i="12"/>
  <c r="CJ46" i="12"/>
  <c r="CN11" i="12"/>
  <c r="BN26" i="12"/>
  <c r="CN23" i="12"/>
  <c r="CJ31" i="12"/>
  <c r="BL25" i="12"/>
  <c r="BD33" i="12"/>
  <c r="BL23" i="12"/>
  <c r="DB45" i="12"/>
  <c r="CR23" i="12"/>
  <c r="AJ40" i="12"/>
  <c r="B45" i="23"/>
  <c r="DB31" i="12"/>
  <c r="BL24" i="12"/>
  <c r="DB44" i="12"/>
  <c r="DB50" i="12"/>
  <c r="AL30" i="12"/>
  <c r="CR38" i="12"/>
  <c r="AB38" i="12"/>
  <c r="BL45" i="12"/>
  <c r="AB23" i="12"/>
  <c r="AL41" i="12"/>
  <c r="AJ38" i="12"/>
  <c r="CP48" i="12"/>
  <c r="DB35" i="12"/>
  <c r="Z26" i="12"/>
  <c r="AT30" i="12"/>
  <c r="AB31" i="12"/>
  <c r="AB24" i="12"/>
  <c r="CL22" i="12"/>
  <c r="AH34" i="12"/>
  <c r="AB34" i="12"/>
  <c r="DB10" i="12"/>
  <c r="BL11" i="12"/>
  <c r="AB10" i="12"/>
  <c r="DB46" i="12"/>
  <c r="CR28" i="12"/>
  <c r="CR48" i="12"/>
  <c r="DB42" i="12"/>
  <c r="BF35" i="12"/>
  <c r="CP46" i="12"/>
  <c r="AT28" i="12"/>
  <c r="AB25" i="12"/>
  <c r="CH39" i="12"/>
  <c r="CV11" i="12"/>
  <c r="B22" i="23"/>
  <c r="Z22" i="12"/>
  <c r="DB48" i="12"/>
  <c r="BD39" i="12"/>
  <c r="CR27" i="12"/>
  <c r="AB40" i="12"/>
  <c r="BF39" i="12"/>
  <c r="AJ28" i="12"/>
  <c r="AB36" i="12"/>
  <c r="AJ32" i="12"/>
  <c r="BF42" i="12"/>
  <c r="AL45" i="12"/>
  <c r="BF36" i="12"/>
  <c r="CR43" i="12"/>
  <c r="BL34" i="12"/>
  <c r="BL40" i="12"/>
  <c r="CF26" i="12"/>
  <c r="AT45" i="12"/>
  <c r="CB47" i="12"/>
  <c r="CR24" i="12"/>
  <c r="AL10" i="12"/>
  <c r="DC16" i="12"/>
  <c r="DF39" i="12"/>
  <c r="CB50" i="12"/>
  <c r="AB11" i="12"/>
  <c r="BL44" i="12"/>
  <c r="AZ33" i="12"/>
  <c r="AB50" i="12"/>
  <c r="B29" i="23"/>
  <c r="DB37" i="12"/>
  <c r="CP6" i="12"/>
  <c r="CP10" i="12"/>
  <c r="DB26" i="12"/>
  <c r="CF40" i="12"/>
  <c r="BL50" i="12"/>
  <c r="AJ47" i="12"/>
  <c r="DB38" i="12"/>
  <c r="BD34" i="12"/>
  <c r="BL9" i="12"/>
  <c r="DB43" i="12"/>
  <c r="AB46" i="12"/>
  <c r="DB41" i="12"/>
  <c r="BL30" i="12"/>
  <c r="BL6" i="12"/>
  <c r="AT32" i="12"/>
  <c r="AR45" i="12"/>
  <c r="BZ46" i="12"/>
  <c r="Z34" i="12"/>
  <c r="CB24" i="12"/>
  <c r="AB43" i="12"/>
  <c r="CR33" i="12"/>
  <c r="AT33" i="12"/>
  <c r="BL43" i="12"/>
  <c r="CB25" i="12"/>
  <c r="DB40" i="12"/>
  <c r="CL25" i="12"/>
  <c r="AL11" i="12"/>
  <c r="BL33" i="12"/>
  <c r="AB37" i="12"/>
  <c r="CR39" i="12"/>
  <c r="AJ41" i="12"/>
  <c r="D41" i="12"/>
  <c r="B6" i="23"/>
  <c r="BT43" i="12"/>
  <c r="AT37" i="12"/>
  <c r="BL10" i="12"/>
  <c r="DB11" i="12"/>
  <c r="AL43" i="12"/>
  <c r="AJ31" i="12"/>
  <c r="BF40" i="12"/>
  <c r="BL38" i="12"/>
  <c r="BL35" i="12"/>
  <c r="BL39" i="12"/>
  <c r="L26" i="12"/>
  <c r="AT24" i="12"/>
  <c r="AJ24" i="12"/>
  <c r="AL42" i="12"/>
  <c r="AL32" i="12"/>
  <c r="BL26" i="12"/>
  <c r="AZ23" i="12"/>
  <c r="AB26" i="12"/>
  <c r="CL31" i="12"/>
  <c r="DB36" i="12"/>
  <c r="DB24" i="12"/>
  <c r="BR6" i="12"/>
  <c r="AT23" i="12"/>
  <c r="AX6" i="12"/>
  <c r="AZ40" i="12"/>
  <c r="AR9" i="12"/>
  <c r="CR32" i="12"/>
  <c r="CB33" i="12"/>
  <c r="BL28" i="12"/>
  <c r="BL31" i="12"/>
  <c r="DB29" i="12"/>
  <c r="AL22" i="12"/>
  <c r="DB25" i="12"/>
  <c r="D10" i="24"/>
  <c r="AL38" i="12"/>
  <c r="AR11" i="12"/>
  <c r="DB23" i="12"/>
  <c r="BL47" i="12"/>
  <c r="CR47" i="12"/>
  <c r="BL48" i="12"/>
  <c r="AR33" i="12"/>
  <c r="AT46" i="12"/>
  <c r="BF46" i="12"/>
  <c r="BF22" i="12"/>
  <c r="AB9" i="12"/>
  <c r="BL42" i="12"/>
  <c r="AZ26" i="12"/>
  <c r="AV27" i="12"/>
  <c r="D43" i="12"/>
  <c r="D38" i="12"/>
  <c r="BF48" i="12"/>
  <c r="AB35" i="12"/>
  <c r="BL46" i="12"/>
  <c r="AB41" i="12"/>
  <c r="DB9" i="12"/>
  <c r="BF44" i="12"/>
  <c r="BF33" i="12"/>
  <c r="AT44" i="12"/>
  <c r="BL36" i="12"/>
  <c r="BV32" i="12"/>
  <c r="AV6" i="12"/>
  <c r="AT31" i="12"/>
  <c r="P31" i="12"/>
  <c r="P25" i="12"/>
  <c r="P9" i="12"/>
  <c r="CT29" i="12"/>
  <c r="CT41" i="12"/>
  <c r="CT23" i="12"/>
  <c r="CT11" i="12"/>
  <c r="CT44" i="12"/>
  <c r="CT38" i="12"/>
  <c r="CT45" i="12"/>
  <c r="CT36" i="12"/>
  <c r="AV33" i="12"/>
  <c r="AV37" i="12"/>
  <c r="AV45" i="12"/>
  <c r="CT46" i="12"/>
  <c r="B26" i="23"/>
  <c r="CD29" i="12"/>
  <c r="CD50" i="12"/>
  <c r="CD44" i="12"/>
  <c r="CD36" i="12"/>
  <c r="CD23" i="12"/>
  <c r="CD10" i="12"/>
  <c r="AV47" i="12"/>
  <c r="CD31" i="12"/>
  <c r="AV28" i="12"/>
  <c r="H11" i="12"/>
  <c r="CT34" i="12"/>
  <c r="CT31" i="12"/>
  <c r="CT9" i="12"/>
  <c r="AX22" i="12"/>
  <c r="CT26" i="12"/>
  <c r="BH11" i="12"/>
  <c r="Z24" i="12"/>
  <c r="Z23" i="12"/>
  <c r="Z10" i="12"/>
  <c r="Z50" i="12"/>
  <c r="Z42" i="12"/>
  <c r="Z30" i="12"/>
  <c r="CL35" i="12"/>
  <c r="CL26" i="12"/>
  <c r="CL24" i="12"/>
  <c r="CL43" i="12"/>
  <c r="CL41" i="12"/>
  <c r="CL38" i="12"/>
  <c r="CL23" i="12"/>
  <c r="CL9" i="12"/>
  <c r="CL45" i="12"/>
  <c r="CL46" i="12"/>
  <c r="CL42" i="12"/>
  <c r="CL37" i="12"/>
  <c r="CL40" i="12"/>
  <c r="CT47" i="12"/>
  <c r="Z38" i="12"/>
  <c r="CT39" i="12"/>
  <c r="CL29" i="12"/>
  <c r="BL32" i="12"/>
  <c r="BK27" i="12"/>
  <c r="BL27" i="12" s="1"/>
  <c r="Z48" i="12"/>
  <c r="CD42" i="12"/>
  <c r="AZ41" i="12"/>
  <c r="AZ36" i="12"/>
  <c r="CD45" i="12"/>
  <c r="CT37" i="12"/>
  <c r="BB38" i="12"/>
  <c r="BB37" i="12"/>
  <c r="AX45" i="12"/>
  <c r="CF38" i="12"/>
  <c r="CF31" i="12"/>
  <c r="AZ30" i="12"/>
  <c r="CT32" i="12"/>
  <c r="AV35" i="12"/>
  <c r="AX47" i="12"/>
  <c r="CV35" i="12"/>
  <c r="CT35" i="12"/>
  <c r="CV6" i="12"/>
  <c r="CH37" i="12"/>
  <c r="CH10" i="12"/>
  <c r="CH33" i="12"/>
  <c r="CH35" i="12"/>
  <c r="CH30" i="12"/>
  <c r="AZ38" i="12"/>
  <c r="B56" i="23"/>
  <c r="Z43" i="12"/>
  <c r="CT43" i="12"/>
  <c r="CD38" i="12"/>
  <c r="CL36" i="12"/>
  <c r="CH43" i="12"/>
  <c r="CP33" i="12"/>
  <c r="Z37" i="12"/>
  <c r="BH43" i="12"/>
  <c r="CD30" i="12"/>
  <c r="CD46" i="12"/>
  <c r="AZ35" i="12"/>
  <c r="BH34" i="12"/>
  <c r="AZ9" i="12"/>
  <c r="F36" i="12"/>
  <c r="F23" i="12"/>
  <c r="F43" i="12"/>
  <c r="F46" i="12"/>
  <c r="BN6" i="12"/>
  <c r="AV25" i="12"/>
  <c r="CV45" i="12"/>
  <c r="CD32" i="12"/>
  <c r="CZ39" i="12"/>
  <c r="F41" i="12"/>
  <c r="CB45" i="12"/>
  <c r="AV24" i="12"/>
  <c r="CP39" i="12"/>
  <c r="CP9" i="12"/>
  <c r="CD25" i="12"/>
  <c r="BH41" i="12"/>
  <c r="AZ6" i="12"/>
  <c r="CV34" i="12"/>
  <c r="BX36" i="12"/>
  <c r="BX24" i="12"/>
  <c r="BX41" i="12"/>
  <c r="BX11" i="12"/>
  <c r="BX50" i="12"/>
  <c r="BX40" i="12"/>
  <c r="BX9" i="12"/>
  <c r="AV38" i="12"/>
  <c r="AX11" i="12"/>
  <c r="CT40" i="12"/>
  <c r="CV42" i="12"/>
  <c r="DB22" i="12"/>
  <c r="R10" i="24"/>
  <c r="CD26" i="12"/>
  <c r="CL44" i="12"/>
  <c r="AV41" i="12"/>
  <c r="F24" i="12"/>
  <c r="CP42" i="12"/>
  <c r="AC27" i="12"/>
  <c r="AD27" i="12" s="1"/>
  <c r="CD9" i="12"/>
  <c r="CD48" i="12"/>
  <c r="CP44" i="12"/>
  <c r="CL11" i="12"/>
  <c r="AV32" i="12"/>
  <c r="CP25" i="12"/>
  <c r="D12" i="12"/>
  <c r="AX39" i="12"/>
  <c r="Z28" i="12"/>
  <c r="CL32" i="12"/>
  <c r="AV31" i="12"/>
  <c r="AZ37" i="12"/>
  <c r="CL33" i="12"/>
  <c r="CT25" i="12"/>
  <c r="CB22" i="12"/>
  <c r="L10" i="24"/>
  <c r="P36" i="12"/>
  <c r="BH23" i="12"/>
  <c r="BH35" i="12"/>
  <c r="BH40" i="12"/>
  <c r="BH47" i="12"/>
  <c r="Z45" i="12"/>
  <c r="CT42" i="12"/>
  <c r="AV40" i="12"/>
  <c r="CT50" i="12"/>
  <c r="CV33" i="12"/>
  <c r="CV9" i="12"/>
  <c r="CV31" i="12"/>
  <c r="CV41" i="12"/>
  <c r="CV24" i="12"/>
  <c r="CV48" i="12"/>
  <c r="CV10" i="12"/>
  <c r="CV38" i="12"/>
  <c r="CV47" i="12"/>
  <c r="CV30" i="12"/>
  <c r="CV26" i="12"/>
  <c r="AZ11" i="12"/>
  <c r="AZ47" i="12"/>
  <c r="B8" i="23"/>
  <c r="AZ31" i="12"/>
  <c r="AZ42" i="12"/>
  <c r="AZ46" i="12"/>
  <c r="AZ50" i="12"/>
  <c r="AZ24" i="12"/>
  <c r="AZ48" i="12"/>
  <c r="AZ45" i="12"/>
  <c r="BH32" i="12"/>
  <c r="CV43" i="12"/>
  <c r="AV34" i="12"/>
  <c r="BH22" i="12"/>
  <c r="AV43" i="12"/>
  <c r="AV39" i="12"/>
  <c r="CL50" i="12"/>
  <c r="CD37" i="12"/>
  <c r="CD24" i="12"/>
  <c r="CD11" i="12"/>
  <c r="P48" i="12"/>
  <c r="AZ43" i="12"/>
  <c r="CD33" i="12"/>
  <c r="BH45" i="12"/>
  <c r="CL34" i="12"/>
  <c r="CD40" i="12"/>
  <c r="BN25" i="12"/>
  <c r="BN10" i="12"/>
  <c r="CD41" i="12"/>
  <c r="CP24" i="12"/>
  <c r="CP41" i="12"/>
  <c r="CP23" i="12"/>
  <c r="CP11" i="12"/>
  <c r="CP32" i="12"/>
  <c r="CP31" i="12"/>
  <c r="CP38" i="12"/>
  <c r="CP28" i="12"/>
  <c r="CP22" i="12"/>
  <c r="CP50" i="12"/>
  <c r="CP30" i="12"/>
  <c r="CV46" i="12"/>
  <c r="CP37" i="12"/>
  <c r="CV39" i="12"/>
  <c r="CT30" i="12"/>
  <c r="AZ34" i="12"/>
  <c r="CZ9" i="12"/>
  <c r="CZ45" i="12"/>
  <c r="CZ11" i="12"/>
  <c r="CL10" i="12"/>
  <c r="H10" i="24"/>
  <c r="N22" i="12"/>
  <c r="N40" i="12"/>
  <c r="N50" i="12"/>
  <c r="CT10" i="12"/>
  <c r="D46" i="12"/>
  <c r="D25" i="12"/>
  <c r="D28" i="12"/>
  <c r="AZ29" i="12"/>
  <c r="CV37" i="12"/>
  <c r="CF39" i="12"/>
  <c r="BH26" i="12"/>
  <c r="CL30" i="12"/>
  <c r="L43" i="12"/>
  <c r="AX43" i="12"/>
  <c r="CB9" i="12"/>
  <c r="CB35" i="12"/>
  <c r="CB48" i="12"/>
  <c r="BZ10" i="12"/>
  <c r="CD6" i="12"/>
  <c r="H34" i="12"/>
  <c r="AZ25" i="12"/>
  <c r="F30" i="12"/>
  <c r="CP29" i="12"/>
  <c r="AX40" i="12"/>
  <c r="D35" i="12"/>
  <c r="CF32" i="12"/>
  <c r="CD47" i="12"/>
  <c r="AV23" i="12"/>
  <c r="CP34" i="12"/>
  <c r="CT48" i="12"/>
  <c r="CV36" i="12"/>
  <c r="CH26" i="12"/>
  <c r="CF41" i="12"/>
  <c r="BX43" i="12"/>
  <c r="F25" i="12"/>
  <c r="BN39" i="12"/>
  <c r="CL47" i="12"/>
  <c r="AX48" i="12"/>
  <c r="BD25" i="12"/>
  <c r="BD44" i="12"/>
  <c r="BD11" i="12"/>
  <c r="BD38" i="12"/>
  <c r="Z27" i="12"/>
  <c r="AD30" i="12"/>
  <c r="AD33" i="12"/>
  <c r="AD47" i="12"/>
  <c r="AD24" i="12"/>
  <c r="AD34" i="12"/>
  <c r="AD11" i="12"/>
  <c r="AD46" i="12"/>
  <c r="R26" i="12"/>
  <c r="R44" i="12"/>
  <c r="AV22" i="12"/>
  <c r="AZ22" i="12"/>
  <c r="AL37" i="12"/>
  <c r="AL48" i="12"/>
  <c r="AL33" i="12"/>
  <c r="AL26" i="12"/>
  <c r="AL40" i="12"/>
  <c r="AL36" i="12"/>
  <c r="BN11" i="12"/>
  <c r="BH28" i="12"/>
  <c r="CT33" i="12"/>
  <c r="CV29" i="12"/>
  <c r="CD35" i="12"/>
  <c r="BR25" i="12"/>
  <c r="BR11" i="12"/>
  <c r="BR23" i="12"/>
  <c r="BR46" i="12"/>
  <c r="BR31" i="12"/>
  <c r="BR35" i="12"/>
  <c r="BR29" i="12"/>
  <c r="BR40" i="12"/>
  <c r="BR9" i="12"/>
  <c r="BR26" i="12"/>
  <c r="M52" i="12"/>
  <c r="M53" i="12" s="1"/>
  <c r="BX6" i="12"/>
  <c r="CB39" i="12"/>
  <c r="BR28" i="12"/>
  <c r="BR24" i="12"/>
  <c r="BB39" i="12"/>
  <c r="BR38" i="12"/>
  <c r="CL39" i="12"/>
  <c r="BX44" i="12"/>
  <c r="F34" i="12"/>
  <c r="CT6" i="12"/>
  <c r="AZ39" i="12"/>
  <c r="CX27" i="12"/>
  <c r="BR39" i="12"/>
  <c r="P15" i="6"/>
  <c r="BI112" i="28"/>
  <c r="AB32" i="12"/>
  <c r="AA27" i="12"/>
  <c r="T104" i="10"/>
  <c r="AE32" i="12"/>
  <c r="CX50" i="12"/>
  <c r="CX42" i="12"/>
  <c r="CX45" i="12"/>
  <c r="CX24" i="12"/>
  <c r="CX40" i="12"/>
  <c r="CX38" i="12"/>
  <c r="CX23" i="12"/>
  <c r="CX31" i="12"/>
  <c r="CX9" i="12"/>
  <c r="B52" i="23"/>
  <c r="CX35" i="12"/>
  <c r="CX29" i="12"/>
  <c r="CX33" i="12"/>
  <c r="P7" i="24"/>
  <c r="CX47" i="12"/>
  <c r="CX41" i="12"/>
  <c r="CX36" i="12"/>
  <c r="CX43" i="12"/>
  <c r="CX32" i="12"/>
  <c r="CA87" i="14"/>
  <c r="CC87" i="14" s="1"/>
  <c r="S80" i="14"/>
  <c r="Q106" i="17"/>
  <c r="N86" i="17"/>
  <c r="Q83" i="17"/>
  <c r="Q86" i="17" s="1"/>
  <c r="AX27" i="12"/>
  <c r="AW52" i="12"/>
  <c r="AW53" i="12" s="1"/>
  <c r="R104" i="10"/>
  <c r="DG35" i="12"/>
  <c r="CX10" i="12"/>
  <c r="AF40" i="12"/>
  <c r="AF46" i="12"/>
  <c r="AF26" i="12"/>
  <c r="AF50" i="12"/>
  <c r="AF42" i="12"/>
  <c r="AF24" i="12"/>
  <c r="AF23" i="12"/>
  <c r="AF30" i="12"/>
  <c r="AF48" i="12"/>
  <c r="AF29" i="12"/>
  <c r="AF10" i="12"/>
  <c r="AF36" i="12"/>
  <c r="AF6" i="12"/>
  <c r="AF44" i="12"/>
  <c r="AF33" i="12"/>
  <c r="AF11" i="12"/>
  <c r="AF41" i="12"/>
  <c r="AF38" i="12"/>
  <c r="AF43" i="12"/>
  <c r="AF37" i="12"/>
  <c r="CX26" i="12"/>
  <c r="CX11" i="12"/>
  <c r="CU32" i="12"/>
  <c r="BB104" i="10"/>
  <c r="BP91" i="14"/>
  <c r="AW33" i="10"/>
  <c r="N91" i="17"/>
  <c r="Q34" i="17"/>
  <c r="Q69" i="17"/>
  <c r="AL95" i="17"/>
  <c r="E118" i="28"/>
  <c r="CN39" i="12"/>
  <c r="P13" i="24"/>
  <c r="BT47" i="12"/>
  <c r="BJ34" i="12"/>
  <c r="BT35" i="12"/>
  <c r="CI32" i="12"/>
  <c r="AV104" i="10"/>
  <c r="AW95" i="14"/>
  <c r="O36" i="10" s="1"/>
  <c r="C52" i="12"/>
  <c r="C53" i="12" s="1"/>
  <c r="D22" i="12"/>
  <c r="B10" i="24"/>
  <c r="H29" i="12"/>
  <c r="H23" i="12"/>
  <c r="H41" i="12"/>
  <c r="H10" i="12"/>
  <c r="H26" i="12"/>
  <c r="H42" i="12"/>
  <c r="H36" i="12"/>
  <c r="H24" i="12"/>
  <c r="H46" i="12"/>
  <c r="H9" i="12"/>
  <c r="H28" i="12"/>
  <c r="H33" i="12"/>
  <c r="H22" i="12"/>
  <c r="H48" i="12"/>
  <c r="H43" i="12"/>
  <c r="H47" i="12"/>
  <c r="H31" i="12"/>
  <c r="H35" i="12"/>
  <c r="H40" i="12"/>
  <c r="H50" i="12"/>
  <c r="H45" i="12"/>
  <c r="H38" i="12"/>
  <c r="H37" i="12"/>
  <c r="CX25" i="12"/>
  <c r="N40" i="17"/>
  <c r="Q40" i="17" s="1"/>
  <c r="AE40" i="17"/>
  <c r="AF40" i="17" s="1"/>
  <c r="AG40" i="17" s="1"/>
  <c r="X40" i="17"/>
  <c r="Y40" i="17" s="1"/>
  <c r="AA40" i="17" s="1"/>
  <c r="K44" i="17"/>
  <c r="BH95" i="10"/>
  <c r="BG95" i="10"/>
  <c r="DG38" i="12"/>
  <c r="CX30" i="12"/>
  <c r="BT40" i="12"/>
  <c r="H27" i="12"/>
  <c r="G52" i="12"/>
  <c r="G53" i="12" s="1"/>
  <c r="DG25" i="12"/>
  <c r="AI52" i="12"/>
  <c r="AI53" i="12" s="1"/>
  <c r="AJ22" i="12"/>
  <c r="AF47" i="12"/>
  <c r="DG31" i="12"/>
  <c r="R50" i="12"/>
  <c r="R29" i="12"/>
  <c r="R42" i="12"/>
  <c r="R45" i="12"/>
  <c r="R48" i="12"/>
  <c r="R33" i="12"/>
  <c r="R43" i="12"/>
  <c r="R31" i="12"/>
  <c r="R35" i="12"/>
  <c r="R23" i="12"/>
  <c r="R9" i="12"/>
  <c r="R40" i="12"/>
  <c r="R25" i="12"/>
  <c r="R36" i="12"/>
  <c r="R30" i="12"/>
  <c r="R38" i="12"/>
  <c r="R47" i="12"/>
  <c r="R37" i="12"/>
  <c r="R24" i="12"/>
  <c r="R39" i="12"/>
  <c r="R11" i="12"/>
  <c r="R28" i="12"/>
  <c r="CT22" i="12"/>
  <c r="P10" i="24"/>
  <c r="O32" i="12"/>
  <c r="K104" i="10"/>
  <c r="AF91" i="17"/>
  <c r="AG87" i="17"/>
  <c r="AF100" i="17"/>
  <c r="AG96" i="17"/>
  <c r="BB118" i="28"/>
  <c r="Q113" i="17"/>
  <c r="N25" i="17"/>
  <c r="M29" i="17"/>
  <c r="P25" i="17"/>
  <c r="P29" i="17" s="1"/>
  <c r="Q96" i="17"/>
  <c r="N100" i="17"/>
  <c r="BV37" i="12"/>
  <c r="BU34" i="12"/>
  <c r="BV34" i="12" s="1"/>
  <c r="BT50" i="12"/>
  <c r="BT46" i="12"/>
  <c r="BT36" i="12"/>
  <c r="BT29" i="12"/>
  <c r="BT24" i="12"/>
  <c r="BT44" i="12"/>
  <c r="BT42" i="12"/>
  <c r="BT30" i="12"/>
  <c r="BT9" i="12"/>
  <c r="BT48" i="12"/>
  <c r="BT11" i="12"/>
  <c r="BT38" i="12"/>
  <c r="BT33" i="12"/>
  <c r="BT26" i="12"/>
  <c r="BT22" i="12"/>
  <c r="BT31" i="12"/>
  <c r="BT34" i="12"/>
  <c r="BT32" i="12"/>
  <c r="BT37" i="12"/>
  <c r="BT41" i="12"/>
  <c r="BT45" i="12"/>
  <c r="BT23" i="12"/>
  <c r="BJ29" i="12"/>
  <c r="BJ48" i="12"/>
  <c r="BJ44" i="12"/>
  <c r="BJ33" i="12"/>
  <c r="BJ28" i="12"/>
  <c r="BJ46" i="12"/>
  <c r="B46" i="23"/>
  <c r="BJ32" i="12"/>
  <c r="BJ31" i="12"/>
  <c r="BJ24" i="12"/>
  <c r="L7" i="24"/>
  <c r="BJ23" i="12"/>
  <c r="BJ41" i="12"/>
  <c r="BJ40" i="12"/>
  <c r="BJ36" i="12"/>
  <c r="BJ25" i="12"/>
  <c r="BJ9" i="12"/>
  <c r="BJ50" i="12"/>
  <c r="BJ22" i="12"/>
  <c r="BJ37" i="12"/>
  <c r="BJ26" i="12"/>
  <c r="BJ42" i="12"/>
  <c r="BJ38" i="12"/>
  <c r="BJ11" i="12"/>
  <c r="BJ30" i="12"/>
  <c r="BJ47" i="12"/>
  <c r="BI39" i="12"/>
  <c r="DC47" i="12"/>
  <c r="CP27" i="12"/>
  <c r="CO52" i="12"/>
  <c r="CO53" i="12" s="1"/>
  <c r="AD20" i="17"/>
  <c r="D34" i="12"/>
  <c r="B12" i="24"/>
  <c r="BT10" i="12"/>
  <c r="BJ35" i="12"/>
  <c r="Q17" i="17"/>
  <c r="DB34" i="12"/>
  <c r="R12" i="24"/>
  <c r="DG41" i="12"/>
  <c r="CZ35" i="12"/>
  <c r="D39" i="12"/>
  <c r="B13" i="24"/>
  <c r="H32" i="12"/>
  <c r="R10" i="12"/>
  <c r="BJ10" i="12"/>
  <c r="AR118" i="28"/>
  <c r="Q90" i="17"/>
  <c r="AN109" i="17"/>
  <c r="V22" i="12"/>
  <c r="H25" i="12"/>
  <c r="H44" i="12"/>
  <c r="CX37" i="12"/>
  <c r="BZ47" i="12"/>
  <c r="CH34" i="12"/>
  <c r="CG52" i="12"/>
  <c r="CG53" i="12" s="1"/>
  <c r="L50" i="12"/>
  <c r="L36" i="12"/>
  <c r="L46" i="12"/>
  <c r="L42" i="12"/>
  <c r="L24" i="12"/>
  <c r="L37" i="12"/>
  <c r="L48" i="12"/>
  <c r="L33" i="12"/>
  <c r="L30" i="12"/>
  <c r="L25" i="12"/>
  <c r="L38" i="12"/>
  <c r="L9" i="12"/>
  <c r="L29" i="12"/>
  <c r="L10" i="12"/>
  <c r="B33" i="23"/>
  <c r="L47" i="12"/>
  <c r="L23" i="12"/>
  <c r="L28" i="12"/>
  <c r="L45" i="12"/>
  <c r="L41" i="12"/>
  <c r="L40" i="12"/>
  <c r="L31" i="12"/>
  <c r="L11" i="12"/>
  <c r="L22" i="12"/>
  <c r="L35" i="12"/>
  <c r="DG24" i="12"/>
  <c r="CX6" i="12"/>
  <c r="BG60" i="10"/>
  <c r="BH60" i="10"/>
  <c r="BZ39" i="12"/>
  <c r="CC27" i="12"/>
  <c r="CD28" i="12"/>
  <c r="BH101" i="10"/>
  <c r="BG101" i="10"/>
  <c r="B3" i="24"/>
  <c r="D6" i="12"/>
  <c r="BA32" i="12"/>
  <c r="AE104" i="10"/>
  <c r="M108" i="17"/>
  <c r="N101" i="17"/>
  <c r="AF25" i="17"/>
  <c r="AG25" i="17" s="1"/>
  <c r="BH97" i="10"/>
  <c r="BG97" i="10"/>
  <c r="BH30" i="10"/>
  <c r="BG30" i="10"/>
  <c r="M94" i="17"/>
  <c r="P94" i="17" s="1"/>
  <c r="F22" i="12"/>
  <c r="AG108" i="17"/>
  <c r="AI101" i="17"/>
  <c r="AI108" i="17" s="1"/>
  <c r="N42" i="17"/>
  <c r="Q42" i="17" s="1"/>
  <c r="P42" i="17"/>
  <c r="Q39" i="17"/>
  <c r="AL100" i="17"/>
  <c r="AO96" i="17"/>
  <c r="AO100" i="17" s="1"/>
  <c r="P90" i="17"/>
  <c r="N118" i="28" s="1"/>
  <c r="N114" i="17"/>
  <c r="Q109" i="17"/>
  <c r="AM94" i="17"/>
  <c r="AN94" i="17" s="1"/>
  <c r="AO94" i="17" s="1"/>
  <c r="AF94" i="17"/>
  <c r="AG94" i="17" s="1"/>
  <c r="AI94" i="17" s="1"/>
  <c r="K95" i="17"/>
  <c r="K115" i="17" s="1"/>
  <c r="D51" i="17"/>
  <c r="DG50" i="12"/>
  <c r="BJ43" i="12"/>
  <c r="BZ43" i="12"/>
  <c r="BZ37" i="12"/>
  <c r="BT25" i="12"/>
  <c r="DG45" i="12"/>
  <c r="CN6" i="12"/>
  <c r="P3" i="24"/>
  <c r="AF31" i="12"/>
  <c r="AF39" i="17"/>
  <c r="AF44" i="17" s="1"/>
  <c r="AE44" i="17"/>
  <c r="DG40" i="12"/>
  <c r="BH74" i="10"/>
  <c r="BG74" i="10"/>
  <c r="BV44" i="12"/>
  <c r="BV46" i="12"/>
  <c r="BV40" i="12"/>
  <c r="BV24" i="12"/>
  <c r="BV29" i="12"/>
  <c r="BV48" i="12"/>
  <c r="BV25" i="12"/>
  <c r="BV31" i="12"/>
  <c r="B47" i="23"/>
  <c r="BV36" i="12"/>
  <c r="BV9" i="12"/>
  <c r="BV6" i="12"/>
  <c r="BV35" i="12"/>
  <c r="BV10" i="12"/>
  <c r="BV41" i="12"/>
  <c r="BV43" i="12"/>
  <c r="BV11" i="12"/>
  <c r="BV22" i="12"/>
  <c r="BV30" i="12"/>
  <c r="BV45" i="12"/>
  <c r="BV47" i="12"/>
  <c r="BV33" i="12"/>
  <c r="BV38" i="12"/>
  <c r="BV42" i="12"/>
  <c r="BV50" i="12"/>
  <c r="J3" i="24"/>
  <c r="AR6" i="12"/>
  <c r="DG11" i="12"/>
  <c r="BL91" i="14"/>
  <c r="AT33" i="10"/>
  <c r="N103" i="17"/>
  <c r="Q103" i="17" s="1"/>
  <c r="P103" i="17"/>
  <c r="AO118" i="28" s="1"/>
  <c r="BV26" i="12"/>
  <c r="AF86" i="17"/>
  <c r="AG83" i="17"/>
  <c r="Q8" i="17"/>
  <c r="CX46" i="12"/>
  <c r="BT39" i="12"/>
  <c r="AD115" i="17"/>
  <c r="BT91" i="14"/>
  <c r="BA33" i="10"/>
  <c r="M33" i="17"/>
  <c r="N30" i="17"/>
  <c r="N28" i="17"/>
  <c r="Q28" i="17" s="1"/>
  <c r="AE28" i="17"/>
  <c r="AF28" i="17" s="1"/>
  <c r="AG28" i="17" s="1"/>
  <c r="X28" i="17"/>
  <c r="Y28" i="17" s="1"/>
  <c r="AA28" i="17" s="1"/>
  <c r="AA29" i="17" s="1"/>
  <c r="K29" i="17"/>
  <c r="AN87" i="17"/>
  <c r="AN91" i="17" s="1"/>
  <c r="AM91" i="17"/>
  <c r="Y39" i="17"/>
  <c r="X44" i="17"/>
  <c r="Z104" i="10"/>
  <c r="AQ32" i="12"/>
  <c r="P12" i="17"/>
  <c r="Q12" i="17" s="1"/>
  <c r="AM100" i="17"/>
  <c r="AN96" i="17"/>
  <c r="AN100" i="17" s="1"/>
  <c r="M44" i="17"/>
  <c r="R46" i="12"/>
  <c r="R41" i="12"/>
  <c r="DG42" i="12"/>
  <c r="AF22" i="12"/>
  <c r="CZ40" i="12"/>
  <c r="CZ50" i="12"/>
  <c r="CZ46" i="12"/>
  <c r="CZ43" i="12"/>
  <c r="CZ26" i="12"/>
  <c r="CZ24" i="12"/>
  <c r="CZ41" i="12"/>
  <c r="CZ36" i="12"/>
  <c r="CZ10" i="12"/>
  <c r="CZ29" i="12"/>
  <c r="B53" i="23"/>
  <c r="CZ23" i="12"/>
  <c r="CZ30" i="12"/>
  <c r="CZ42" i="12"/>
  <c r="CZ37" i="12"/>
  <c r="CZ6" i="12"/>
  <c r="CZ31" i="12"/>
  <c r="CZ32" i="12"/>
  <c r="CZ33" i="12"/>
  <c r="CZ25" i="12"/>
  <c r="CZ38" i="12"/>
  <c r="CZ47" i="12"/>
  <c r="CZ48" i="12"/>
  <c r="AF28" i="12"/>
  <c r="BZ45" i="12"/>
  <c r="BZ42" i="12"/>
  <c r="BZ50" i="12"/>
  <c r="BZ35" i="12"/>
  <c r="BZ29" i="12"/>
  <c r="BZ31" i="12"/>
  <c r="BZ32" i="12"/>
  <c r="BZ9" i="12"/>
  <c r="BZ40" i="12"/>
  <c r="BZ44" i="12"/>
  <c r="BZ38" i="12"/>
  <c r="BZ36" i="12"/>
  <c r="BZ30" i="12"/>
  <c r="BZ48" i="12"/>
  <c r="BZ27" i="12"/>
  <c r="BZ33" i="12"/>
  <c r="BZ28" i="12"/>
  <c r="BZ26" i="12"/>
  <c r="BZ23" i="12"/>
  <c r="BZ25" i="12"/>
  <c r="BZ11" i="12"/>
  <c r="CX44" i="12"/>
  <c r="AR40" i="12"/>
  <c r="AR29" i="12"/>
  <c r="AR46" i="12"/>
  <c r="AR36" i="12"/>
  <c r="AR26" i="12"/>
  <c r="AR24" i="12"/>
  <c r="AR42" i="12"/>
  <c r="AR10" i="12"/>
  <c r="AR48" i="12"/>
  <c r="AR23" i="12"/>
  <c r="AR41" i="12"/>
  <c r="B5" i="23"/>
  <c r="AR30" i="12"/>
  <c r="AR31" i="12"/>
  <c r="AR38" i="12"/>
  <c r="AR47" i="12"/>
  <c r="AR43" i="12"/>
  <c r="AR37" i="12"/>
  <c r="AR22" i="12"/>
  <c r="AR50" i="12"/>
  <c r="AR44" i="12"/>
  <c r="BH39" i="12"/>
  <c r="J13" i="24"/>
  <c r="P42" i="12"/>
  <c r="P26" i="12"/>
  <c r="P33" i="12"/>
  <c r="P30" i="12"/>
  <c r="P24" i="12"/>
  <c r="P38" i="12"/>
  <c r="P44" i="12"/>
  <c r="B16" i="23"/>
  <c r="P37" i="12"/>
  <c r="P47" i="12"/>
  <c r="P29" i="12"/>
  <c r="P10" i="12"/>
  <c r="P11" i="12"/>
  <c r="P45" i="12"/>
  <c r="P23" i="12"/>
  <c r="P6" i="12"/>
  <c r="H111" i="15"/>
  <c r="H112" i="15" s="1"/>
  <c r="H116" i="15" s="1"/>
  <c r="AC51" i="17"/>
  <c r="BT27" i="12"/>
  <c r="BH42" i="10"/>
  <c r="BG42" i="10"/>
  <c r="DC37" i="12"/>
  <c r="DC34" i="12" s="1"/>
  <c r="D37" i="12"/>
  <c r="CX22" i="12"/>
  <c r="CW52" i="12"/>
  <c r="CW53" i="12" s="1"/>
  <c r="X50" i="12"/>
  <c r="X24" i="12"/>
  <c r="X25" i="12"/>
  <c r="X33" i="12"/>
  <c r="X30" i="12"/>
  <c r="X42" i="12"/>
  <c r="X38" i="12"/>
  <c r="X29" i="12"/>
  <c r="X48" i="12"/>
  <c r="X9" i="12"/>
  <c r="X46" i="12"/>
  <c r="X36" i="12"/>
  <c r="X11" i="12"/>
  <c r="N44" i="12"/>
  <c r="N46" i="12"/>
  <c r="N29" i="12"/>
  <c r="N36" i="12"/>
  <c r="N47" i="12"/>
  <c r="B15" i="23"/>
  <c r="N33" i="12"/>
  <c r="N31" i="12"/>
  <c r="D7" i="24"/>
  <c r="N23" i="12"/>
  <c r="N25" i="12"/>
  <c r="N9" i="12"/>
  <c r="H13" i="24"/>
  <c r="AL39" i="12"/>
  <c r="AX46" i="12"/>
  <c r="AX33" i="12"/>
  <c r="AX28" i="12"/>
  <c r="AX38" i="12"/>
  <c r="AX41" i="12"/>
  <c r="AX25" i="12"/>
  <c r="AX31" i="12"/>
  <c r="AX36" i="12"/>
  <c r="AX44" i="12"/>
  <c r="AX29" i="12"/>
  <c r="B7" i="23"/>
  <c r="AX35" i="12"/>
  <c r="AX24" i="12"/>
  <c r="AX23" i="12"/>
  <c r="N27" i="12"/>
  <c r="BB11" i="12"/>
  <c r="N35" i="12"/>
  <c r="D13" i="12"/>
  <c r="P112" i="17"/>
  <c r="BA118" i="28" s="1"/>
  <c r="E32" i="12"/>
  <c r="F104" i="10"/>
  <c r="AD91" i="14"/>
  <c r="CA91" i="14" s="1"/>
  <c r="CA104" i="14" s="1"/>
  <c r="Y33" i="10"/>
  <c r="E15" i="6"/>
  <c r="N31" i="17"/>
  <c r="Q31" i="17" s="1"/>
  <c r="K33" i="17"/>
  <c r="AE31" i="17"/>
  <c r="X31" i="17"/>
  <c r="M72" i="17"/>
  <c r="AG30" i="17"/>
  <c r="AD33" i="17"/>
  <c r="X20" i="17"/>
  <c r="Y11" i="17"/>
  <c r="BC32" i="12"/>
  <c r="AF104" i="10"/>
  <c r="AD44" i="17"/>
  <c r="BH111" i="28"/>
  <c r="BG111" i="28"/>
  <c r="AD29" i="17"/>
  <c r="P70" i="17"/>
  <c r="H118" i="28" s="1"/>
  <c r="N70" i="17"/>
  <c r="AD10" i="17"/>
  <c r="Y21" i="17"/>
  <c r="X24" i="17"/>
  <c r="Y6" i="17"/>
  <c r="AH104" i="10"/>
  <c r="CZ34" i="12"/>
  <c r="BG27" i="12"/>
  <c r="X45" i="12"/>
  <c r="F13" i="24"/>
  <c r="AB39" i="12"/>
  <c r="X43" i="12"/>
  <c r="DG30" i="12"/>
  <c r="DB39" i="12"/>
  <c r="R13" i="24"/>
  <c r="X40" i="12"/>
  <c r="BE58" i="19"/>
  <c r="BH63" i="10"/>
  <c r="BG63" i="10"/>
  <c r="BB22" i="12"/>
  <c r="BB46" i="12"/>
  <c r="N39" i="12"/>
  <c r="D13" i="24"/>
  <c r="BZ34" i="12"/>
  <c r="I52" i="12"/>
  <c r="I53" i="12" s="1"/>
  <c r="J22" i="12"/>
  <c r="DC44" i="12"/>
  <c r="BN32" i="12"/>
  <c r="N38" i="12"/>
  <c r="X28" i="12"/>
  <c r="BN37" i="12"/>
  <c r="BB10" i="12"/>
  <c r="CF29" i="12"/>
  <c r="CF46" i="12"/>
  <c r="CF30" i="12"/>
  <c r="CF36" i="12"/>
  <c r="CF50" i="12"/>
  <c r="CF42" i="12"/>
  <c r="B27" i="23"/>
  <c r="CF25" i="12"/>
  <c r="N7" i="24"/>
  <c r="O6" i="24" s="1"/>
  <c r="CF33" i="12"/>
  <c r="CF9" i="12"/>
  <c r="CF44" i="12"/>
  <c r="CF10" i="12"/>
  <c r="CF24" i="12"/>
  <c r="CF43" i="12"/>
  <c r="CQ52" i="12"/>
  <c r="CQ53" i="12" s="1"/>
  <c r="CR22" i="12"/>
  <c r="CR50" i="12"/>
  <c r="CR42" i="12"/>
  <c r="CR25" i="12"/>
  <c r="CR46" i="12"/>
  <c r="CR44" i="12"/>
  <c r="CR30" i="12"/>
  <c r="CR29" i="12"/>
  <c r="CR37" i="12"/>
  <c r="CR9" i="12"/>
  <c r="CR11" i="12"/>
  <c r="CR36" i="12"/>
  <c r="AD48" i="12"/>
  <c r="AD42" i="12"/>
  <c r="AD35" i="12"/>
  <c r="AD45" i="12"/>
  <c r="AD50" i="12"/>
  <c r="B21" i="23"/>
  <c r="AD25" i="12"/>
  <c r="AD31" i="12"/>
  <c r="AD29" i="12"/>
  <c r="AD9" i="12"/>
  <c r="AD40" i="12"/>
  <c r="CF37" i="12"/>
  <c r="AD6" i="12"/>
  <c r="N28" i="12"/>
  <c r="CH42" i="12"/>
  <c r="CF34" i="12"/>
  <c r="AJ34" i="12"/>
  <c r="BD22" i="12"/>
  <c r="CR26" i="12"/>
  <c r="Z44" i="12"/>
  <c r="Z31" i="12"/>
  <c r="Z47" i="12"/>
  <c r="Z40" i="12"/>
  <c r="Z36" i="12"/>
  <c r="Z35" i="12"/>
  <c r="Z25" i="12"/>
  <c r="Z29" i="12"/>
  <c r="Z46" i="12"/>
  <c r="Z32" i="12"/>
  <c r="Z9" i="12"/>
  <c r="Z33" i="12"/>
  <c r="DG23" i="12"/>
  <c r="DC22" i="12"/>
  <c r="CR40" i="12"/>
  <c r="CF11" i="12"/>
  <c r="Q80" i="17"/>
  <c r="AL114" i="17"/>
  <c r="AO109" i="17"/>
  <c r="U32" i="12"/>
  <c r="N104" i="10"/>
  <c r="Z91" i="14"/>
  <c r="W33" i="10"/>
  <c r="P50" i="17"/>
  <c r="M91" i="17"/>
  <c r="P19" i="17"/>
  <c r="Y45" i="17"/>
  <c r="X50" i="17"/>
  <c r="Q32" i="17"/>
  <c r="Q92" i="17"/>
  <c r="Q27" i="17"/>
  <c r="N73" i="17"/>
  <c r="M82" i="17"/>
  <c r="AE24" i="17"/>
  <c r="AF21" i="17"/>
  <c r="AF6" i="17"/>
  <c r="AF10" i="17" s="1"/>
  <c r="AG50" i="17"/>
  <c r="AF39" i="12"/>
  <c r="BG93" i="10"/>
  <c r="BH93" i="10"/>
  <c r="CN34" i="12"/>
  <c r="P12" i="24"/>
  <c r="BB44" i="12"/>
  <c r="DB28" i="12"/>
  <c r="BB30" i="12"/>
  <c r="X39" i="12"/>
  <c r="F39" i="12"/>
  <c r="X23" i="12"/>
  <c r="BD45" i="12"/>
  <c r="AX34" i="12"/>
  <c r="BH48" i="12"/>
  <c r="AG52" i="12"/>
  <c r="AG53" i="12" s="1"/>
  <c r="AH22" i="12"/>
  <c r="BD9" i="12"/>
  <c r="BY52" i="12"/>
  <c r="BY53" i="12" s="1"/>
  <c r="BZ22" i="12"/>
  <c r="CZ22" i="12"/>
  <c r="AJ6" i="12"/>
  <c r="CH47" i="12"/>
  <c r="AD10" i="12"/>
  <c r="BB34" i="12"/>
  <c r="CF35" i="12"/>
  <c r="DF40" i="12"/>
  <c r="DF46" i="12"/>
  <c r="DF44" i="12"/>
  <c r="DF47" i="12"/>
  <c r="DF43" i="12"/>
  <c r="DF31" i="12"/>
  <c r="DF38" i="12"/>
  <c r="DF30" i="12"/>
  <c r="DF25" i="12"/>
  <c r="DF45" i="12"/>
  <c r="DF41" i="12"/>
  <c r="DF35" i="12"/>
  <c r="DF37" i="12"/>
  <c r="DF29" i="12"/>
  <c r="DF33" i="12"/>
  <c r="DF50" i="12"/>
  <c r="DF42" i="12"/>
  <c r="DF32" i="12"/>
  <c r="DF28" i="12"/>
  <c r="DF23" i="12"/>
  <c r="DF48" i="12"/>
  <c r="DF26" i="12"/>
  <c r="DF11" i="12"/>
  <c r="DF36" i="12"/>
  <c r="DF10" i="12"/>
  <c r="DF24" i="12"/>
  <c r="AJ35" i="12"/>
  <c r="BZ6" i="12"/>
  <c r="AL29" i="12"/>
  <c r="AL25" i="12"/>
  <c r="AL31" i="12"/>
  <c r="AL44" i="12"/>
  <c r="B39" i="23"/>
  <c r="AL24" i="12"/>
  <c r="AL9" i="12"/>
  <c r="H7" i="24"/>
  <c r="I6" i="24" s="1"/>
  <c r="AL46" i="12"/>
  <c r="AL47" i="12"/>
  <c r="AL23" i="12"/>
  <c r="AV42" i="12"/>
  <c r="AV46" i="12"/>
  <c r="AV50" i="12"/>
  <c r="AV30" i="12"/>
  <c r="AV48" i="12"/>
  <c r="AV36" i="12"/>
  <c r="AV29" i="12"/>
  <c r="AV9" i="12"/>
  <c r="AV10" i="12"/>
  <c r="AV44" i="12"/>
  <c r="AV11" i="12"/>
  <c r="H12" i="24"/>
  <c r="CF48" i="12"/>
  <c r="Y34" i="17"/>
  <c r="BH57" i="10"/>
  <c r="BG57" i="10"/>
  <c r="BH75" i="10"/>
  <c r="BG75" i="10"/>
  <c r="DC8" i="12"/>
  <c r="DD41" i="12" s="1"/>
  <c r="DC6" i="12"/>
  <c r="DG9" i="12"/>
  <c r="CF6" i="12"/>
  <c r="N3" i="24"/>
  <c r="P28" i="12"/>
  <c r="AG104" i="10"/>
  <c r="BE32" i="12"/>
  <c r="V115" i="17"/>
  <c r="AG109" i="17"/>
  <c r="AE37" i="17"/>
  <c r="X37" i="17"/>
  <c r="Y37" i="17" s="1"/>
  <c r="AA37" i="17" s="1"/>
  <c r="M37" i="17"/>
  <c r="P37" i="17" s="1"/>
  <c r="P38" i="17" s="1"/>
  <c r="V38" i="17"/>
  <c r="DG46" i="12"/>
  <c r="W52" i="12"/>
  <c r="W53" i="12" s="1"/>
  <c r="X22" i="12"/>
  <c r="AD22" i="12"/>
  <c r="N34" i="12"/>
  <c r="D12" i="24"/>
  <c r="CD22" i="12"/>
  <c r="N10" i="24"/>
  <c r="DD17" i="12"/>
  <c r="DG17" i="12"/>
  <c r="BB50" i="12"/>
  <c r="BB42" i="12"/>
  <c r="BB31" i="12"/>
  <c r="BB40" i="12"/>
  <c r="BB23" i="12"/>
  <c r="BB29" i="12"/>
  <c r="BB9" i="12"/>
  <c r="BB45" i="12"/>
  <c r="B9" i="23"/>
  <c r="BB35" i="12"/>
  <c r="BB26" i="12"/>
  <c r="D29" i="12"/>
  <c r="D33" i="12"/>
  <c r="D30" i="12"/>
  <c r="D26" i="12"/>
  <c r="D24" i="12"/>
  <c r="D47" i="12"/>
  <c r="D23" i="12"/>
  <c r="D50" i="12"/>
  <c r="D44" i="12"/>
  <c r="D42" i="12"/>
  <c r="B34" i="23"/>
  <c r="D10" i="12"/>
  <c r="B7" i="24"/>
  <c r="D31" i="12"/>
  <c r="N32" i="12"/>
  <c r="Q98" i="17"/>
  <c r="AM110" i="17"/>
  <c r="AN110" i="17" s="1"/>
  <c r="AO110" i="17" s="1"/>
  <c r="N110" i="17"/>
  <c r="Q110" i="17" s="1"/>
  <c r="AF110" i="17"/>
  <c r="AG110" i="17" s="1"/>
  <c r="AI110" i="17" s="1"/>
  <c r="Q19" i="17"/>
  <c r="AB95" i="14"/>
  <c r="AR104" i="10"/>
  <c r="CA32" i="12"/>
  <c r="AL82" i="17"/>
  <c r="AM108" i="17"/>
  <c r="AN101" i="17"/>
  <c r="AN108" i="17" s="1"/>
  <c r="P87" i="17"/>
  <c r="Q87" i="17" s="1"/>
  <c r="P114" i="17"/>
  <c r="BC118" i="28"/>
  <c r="Q45" i="17"/>
  <c r="N50" i="17"/>
  <c r="AE20" i="17"/>
  <c r="AF11" i="17"/>
  <c r="AF20" i="17" s="1"/>
  <c r="AA30" i="17"/>
  <c r="Q47" i="17"/>
  <c r="AN92" i="17"/>
  <c r="AN95" i="17" s="1"/>
  <c r="AM95" i="17"/>
  <c r="N14" i="17"/>
  <c r="P14" i="17"/>
  <c r="P100" i="17"/>
  <c r="AS118" i="28"/>
  <c r="AF82" i="17"/>
  <c r="AG73" i="17"/>
  <c r="AK115" i="17"/>
  <c r="N48" i="12"/>
  <c r="BH85" i="10"/>
  <c r="BG85" i="10"/>
  <c r="X104" i="10"/>
  <c r="AX42" i="12"/>
  <c r="L39" i="12"/>
  <c r="J10" i="24"/>
  <c r="AT22" i="12"/>
  <c r="AX30" i="12"/>
  <c r="BV39" i="12"/>
  <c r="BQ52" i="12"/>
  <c r="BR22" i="12"/>
  <c r="N37" i="12"/>
  <c r="AP22" i="12"/>
  <c r="BN34" i="12"/>
  <c r="DG10" i="12"/>
  <c r="BD40" i="12"/>
  <c r="BD43" i="12"/>
  <c r="BD48" i="12"/>
  <c r="BD36" i="12"/>
  <c r="BD26" i="12"/>
  <c r="BD24" i="12"/>
  <c r="BD23" i="12"/>
  <c r="BD46" i="12"/>
  <c r="BD29" i="12"/>
  <c r="BD10" i="12"/>
  <c r="B10" i="23"/>
  <c r="BD31" i="12"/>
  <c r="BD30" i="12"/>
  <c r="BD50" i="12"/>
  <c r="BD42" i="12"/>
  <c r="BD6" i="12"/>
  <c r="BD41" i="12"/>
  <c r="BN27" i="12"/>
  <c r="N11" i="12"/>
  <c r="CH41" i="12"/>
  <c r="AJ50" i="12"/>
  <c r="AJ33" i="12"/>
  <c r="AJ30" i="12"/>
  <c r="AJ29" i="12"/>
  <c r="AJ25" i="12"/>
  <c r="AJ44" i="12"/>
  <c r="AJ36" i="12"/>
  <c r="AJ46" i="12"/>
  <c r="AJ43" i="12"/>
  <c r="AJ42" i="12"/>
  <c r="AJ9" i="12"/>
  <c r="AJ10" i="12"/>
  <c r="AJ37" i="12"/>
  <c r="BD47" i="12"/>
  <c r="D48" i="12"/>
  <c r="CV16" i="12"/>
  <c r="BB36" i="12"/>
  <c r="P34" i="12"/>
  <c r="AL6" i="12"/>
  <c r="H3" i="24"/>
  <c r="BJ6" i="12"/>
  <c r="L3" i="24"/>
  <c r="AL34" i="12"/>
  <c r="Q74" i="17"/>
  <c r="H39" i="12"/>
  <c r="AX50" i="12"/>
  <c r="X27" i="12"/>
  <c r="J104" i="10"/>
  <c r="BB41" i="12"/>
  <c r="P41" i="12"/>
  <c r="X31" i="12"/>
  <c r="CH22" i="12"/>
  <c r="BN38" i="12"/>
  <c r="Q52" i="12"/>
  <c r="Q53" i="12" s="1"/>
  <c r="R22" i="12"/>
  <c r="AM27" i="12"/>
  <c r="BB43" i="12"/>
  <c r="BN36" i="12"/>
  <c r="N30" i="12"/>
  <c r="D40" i="12"/>
  <c r="X26" i="12"/>
  <c r="F50" i="12"/>
  <c r="F45" i="12"/>
  <c r="F42" i="12"/>
  <c r="F48" i="12"/>
  <c r="F29" i="12"/>
  <c r="F40" i="12"/>
  <c r="F31" i="12"/>
  <c r="F38" i="12"/>
  <c r="F35" i="12"/>
  <c r="B35" i="23"/>
  <c r="F9" i="12"/>
  <c r="F10" i="24"/>
  <c r="DG48" i="12"/>
  <c r="F33" i="12"/>
  <c r="P35" i="12"/>
  <c r="AU52" i="12"/>
  <c r="AU53" i="12" s="1"/>
  <c r="BM52" i="12"/>
  <c r="BM53" i="12" s="1"/>
  <c r="AD104" i="10"/>
  <c r="AY32" i="12"/>
  <c r="AM86" i="17"/>
  <c r="AN83" i="17"/>
  <c r="CF22" i="12"/>
  <c r="K32" i="12"/>
  <c r="I104" i="10"/>
  <c r="V91" i="14"/>
  <c r="AP33" i="10"/>
  <c r="AN73" i="17"/>
  <c r="AN82" i="17" s="1"/>
  <c r="AM82" i="17"/>
  <c r="AN68" i="17"/>
  <c r="AM72" i="17"/>
  <c r="BD100" i="21"/>
  <c r="BD99" i="21"/>
  <c r="BF58" i="21"/>
  <c r="AG72" i="17"/>
  <c r="AI68" i="17"/>
  <c r="AI72" i="17" s="1"/>
  <c r="BH116" i="28"/>
  <c r="BG116" i="28"/>
  <c r="Q21" i="17"/>
  <c r="Q24" i="17" s="1"/>
  <c r="N24" i="17"/>
  <c r="N6" i="17"/>
  <c r="M10" i="17"/>
  <c r="AX32" i="12"/>
  <c r="Q68" i="17"/>
  <c r="AE9" i="17"/>
  <c r="AF9" i="17" s="1"/>
  <c r="AG9" i="17" s="1"/>
  <c r="K10" i="17"/>
  <c r="X9" i="17"/>
  <c r="Y9" i="17" s="1"/>
  <c r="AA9" i="17" s="1"/>
  <c r="N9" i="17"/>
  <c r="Q9" i="17" s="1"/>
  <c r="N11" i="17"/>
  <c r="M20" i="17"/>
  <c r="P11" i="17"/>
  <c r="AF72" i="17"/>
  <c r="AL108" i="17"/>
  <c r="P73" i="17"/>
  <c r="V51" i="17"/>
  <c r="BG83" i="10"/>
  <c r="BH83" i="10"/>
  <c r="AF50" i="17"/>
  <c r="BH102" i="10"/>
  <c r="BG102" i="10"/>
  <c r="BB48" i="12"/>
  <c r="DG36" i="12"/>
  <c r="BH94" i="10"/>
  <c r="BG94" i="10"/>
  <c r="X32" i="12"/>
  <c r="BG96" i="10"/>
  <c r="BH96" i="10"/>
  <c r="BN46" i="12"/>
  <c r="N42" i="12"/>
  <c r="BN30" i="12"/>
  <c r="D36" i="12"/>
  <c r="P39" i="12"/>
  <c r="P43" i="12"/>
  <c r="CH27" i="12"/>
  <c r="R34" i="12"/>
  <c r="BG89" i="10"/>
  <c r="BH89" i="10"/>
  <c r="BH50" i="12"/>
  <c r="BH46" i="12"/>
  <c r="BH37" i="12"/>
  <c r="BH44" i="12"/>
  <c r="BH42" i="12"/>
  <c r="BH33" i="12"/>
  <c r="B12" i="23"/>
  <c r="BH30" i="12"/>
  <c r="BH36" i="12"/>
  <c r="BH38" i="12"/>
  <c r="J7" i="24"/>
  <c r="BH29" i="12"/>
  <c r="BH10" i="12"/>
  <c r="BH9" i="12"/>
  <c r="F28" i="12"/>
  <c r="F26" i="12"/>
  <c r="F10" i="12"/>
  <c r="CD39" i="12"/>
  <c r="N13" i="24"/>
  <c r="CB40" i="12"/>
  <c r="CB29" i="12"/>
  <c r="CB42" i="12"/>
  <c r="CB43" i="12"/>
  <c r="CB46" i="12"/>
  <c r="CB30" i="12"/>
  <c r="CB10" i="12"/>
  <c r="CB23" i="12"/>
  <c r="CB26" i="12"/>
  <c r="CB37" i="12"/>
  <c r="CB6" i="12"/>
  <c r="B43" i="23"/>
  <c r="CB36" i="12"/>
  <c r="BX47" i="12"/>
  <c r="BX48" i="12"/>
  <c r="BX29" i="12"/>
  <c r="BX26" i="12"/>
  <c r="BX37" i="12"/>
  <c r="BX42" i="12"/>
  <c r="BX33" i="12"/>
  <c r="BX45" i="12"/>
  <c r="B49" i="23"/>
  <c r="BX38" i="12"/>
  <c r="BX23" i="12"/>
  <c r="BX22" i="12"/>
  <c r="BX34" i="12"/>
  <c r="BX10" i="12"/>
  <c r="BO52" i="12"/>
  <c r="BO53" i="12" s="1"/>
  <c r="BP22" i="12"/>
  <c r="CH6" i="12"/>
  <c r="AB6" i="12"/>
  <c r="F3" i="24"/>
  <c r="BB25" i="12"/>
  <c r="AX10" i="12"/>
  <c r="AJ26" i="12"/>
  <c r="CB41" i="12"/>
  <c r="F7" i="24"/>
  <c r="BX30" i="12"/>
  <c r="CR10" i="12"/>
  <c r="N43" i="17"/>
  <c r="P43" i="17"/>
  <c r="AR39" i="12"/>
  <c r="BH98" i="10"/>
  <c r="BG98" i="10"/>
  <c r="CD34" i="12"/>
  <c r="N12" i="24"/>
  <c r="N6" i="12"/>
  <c r="D3" i="24"/>
  <c r="AF95" i="17"/>
  <c r="AG92" i="17"/>
  <c r="BY91" i="14"/>
  <c r="BD33" i="10"/>
  <c r="BS91" i="14"/>
  <c r="AX33" i="10"/>
  <c r="X115" i="17"/>
  <c r="AL91" i="17"/>
  <c r="AF108" i="17"/>
  <c r="N41" i="17"/>
  <c r="P41" i="17"/>
  <c r="P44" i="17" s="1"/>
  <c r="S118" i="28"/>
  <c r="AJ104" i="10"/>
  <c r="BH100" i="10"/>
  <c r="BG100" i="10"/>
  <c r="AC104" i="10"/>
  <c r="AR34" i="12"/>
  <c r="J12" i="24"/>
  <c r="P50" i="12"/>
  <c r="D32" i="12"/>
  <c r="P46" i="12"/>
  <c r="BJ27" i="12"/>
  <c r="S52" i="12"/>
  <c r="S53" i="12" s="1"/>
  <c r="T22" i="12"/>
  <c r="P40" i="12"/>
  <c r="R27" i="12"/>
  <c r="L6" i="12"/>
  <c r="AX26" i="12"/>
  <c r="AX9" i="12"/>
  <c r="CJ16" i="12"/>
  <c r="D27" i="12"/>
  <c r="CH46" i="12"/>
  <c r="CH44" i="12"/>
  <c r="CH29" i="12"/>
  <c r="CH48" i="12"/>
  <c r="CH36" i="12"/>
  <c r="CH23" i="12"/>
  <c r="CH24" i="12"/>
  <c r="CH40" i="12"/>
  <c r="CH28" i="12"/>
  <c r="CH9" i="12"/>
  <c r="CH25" i="12"/>
  <c r="CH32" i="12"/>
  <c r="CH31" i="12"/>
  <c r="CH38" i="12"/>
  <c r="BN29" i="12"/>
  <c r="BN50" i="12"/>
  <c r="BN42" i="12"/>
  <c r="BN45" i="12"/>
  <c r="BN31" i="12"/>
  <c r="BN35" i="12"/>
  <c r="BN40" i="12"/>
  <c r="BN9" i="12"/>
  <c r="BN33" i="12"/>
  <c r="BN24" i="12"/>
  <c r="BN43" i="12"/>
  <c r="BN22" i="12"/>
  <c r="BB33" i="12"/>
  <c r="N10" i="12"/>
  <c r="CH11" i="12"/>
  <c r="BS52" i="12"/>
  <c r="BS53" i="12" s="1"/>
  <c r="P22" i="12"/>
  <c r="AT27" i="12" l="1"/>
  <c r="AS52" i="12"/>
  <c r="AS53" i="12" s="1"/>
  <c r="H2210" i="11"/>
  <c r="BU28" i="12"/>
  <c r="CX28" i="12"/>
  <c r="P20" i="17"/>
  <c r="P51" i="17" s="1"/>
  <c r="AG6" i="17"/>
  <c r="AG10" i="17" s="1"/>
  <c r="H1820" i="11"/>
  <c r="BE28" i="12"/>
  <c r="BF28" i="12" s="1"/>
  <c r="Q50" i="17"/>
  <c r="AE10" i="17"/>
  <c r="AO114" i="17"/>
  <c r="Q70" i="17"/>
  <c r="X10" i="17"/>
  <c r="BC28" i="12"/>
  <c r="BD28" i="12" s="1"/>
  <c r="H1742" i="11"/>
  <c r="N94" i="17"/>
  <c r="N95" i="17" s="1"/>
  <c r="Q100" i="17"/>
  <c r="AL115" i="17"/>
  <c r="AQ28" i="12"/>
  <c r="AR28" i="12" s="1"/>
  <c r="H1352" i="11"/>
  <c r="AY28" i="12"/>
  <c r="AZ28" i="12" s="1"/>
  <c r="H1586" i="11"/>
  <c r="H1664" i="11"/>
  <c r="BA28" i="12"/>
  <c r="BB28" i="12" s="1"/>
  <c r="H2990" i="11"/>
  <c r="CU28" i="12"/>
  <c r="CV28" i="12" s="1"/>
  <c r="AG11" i="17"/>
  <c r="AG20" i="17" s="1"/>
  <c r="M95" i="17"/>
  <c r="AG39" i="17"/>
  <c r="AG44" i="17" s="1"/>
  <c r="P108" i="17"/>
  <c r="BI98" i="10"/>
  <c r="F50" i="3"/>
  <c r="F57" i="3" s="1"/>
  <c r="B20" i="23"/>
  <c r="G12" i="24"/>
  <c r="B37" i="23"/>
  <c r="DG18" i="12"/>
  <c r="DH18" i="12" s="1"/>
  <c r="BI52" i="12"/>
  <c r="BI53" i="12" s="1"/>
  <c r="DG16" i="12"/>
  <c r="DH16" i="12" s="1"/>
  <c r="DC15" i="12"/>
  <c r="R4" i="24"/>
  <c r="CC52" i="12"/>
  <c r="CC53" i="12" s="1"/>
  <c r="I10" i="24"/>
  <c r="DD16" i="12"/>
  <c r="E10" i="24"/>
  <c r="AC52" i="12"/>
  <c r="AC53" i="12" s="1"/>
  <c r="B31" i="23"/>
  <c r="B25" i="23"/>
  <c r="BK52" i="12"/>
  <c r="BK53" i="12" s="1"/>
  <c r="K10" i="24"/>
  <c r="L12" i="24"/>
  <c r="M12" i="24" s="1"/>
  <c r="E12" i="24"/>
  <c r="E13" i="24"/>
  <c r="O13" i="24"/>
  <c r="DC39" i="12"/>
  <c r="DD39" i="12" s="1"/>
  <c r="G10" i="24"/>
  <c r="Q10" i="24"/>
  <c r="O10" i="24"/>
  <c r="I12" i="24"/>
  <c r="DD6" i="12"/>
  <c r="B14" i="23"/>
  <c r="I13" i="24"/>
  <c r="O12" i="24"/>
  <c r="BG119" i="28"/>
  <c r="U118" i="28"/>
  <c r="P95" i="17"/>
  <c r="BB32" i="12"/>
  <c r="BA27" i="12"/>
  <c r="Q41" i="17"/>
  <c r="B42" i="23"/>
  <c r="AN27" i="12"/>
  <c r="AM52" i="12"/>
  <c r="AF37" i="17"/>
  <c r="AE38" i="17"/>
  <c r="Y50" i="17"/>
  <c r="AA45" i="17"/>
  <c r="AA50" i="17" s="1"/>
  <c r="P5" i="24"/>
  <c r="Q5" i="24" s="1"/>
  <c r="Q6" i="24"/>
  <c r="K6" i="24"/>
  <c r="J5" i="24"/>
  <c r="K5" i="24" s="1"/>
  <c r="AF114" i="17"/>
  <c r="Q73" i="17"/>
  <c r="Q82" i="17" s="1"/>
  <c r="N82" i="17"/>
  <c r="N20" i="17"/>
  <c r="Q11" i="17"/>
  <c r="N5" i="24"/>
  <c r="O5" i="24" s="1"/>
  <c r="AA6" i="17"/>
  <c r="AA10" i="17" s="1"/>
  <c r="Y10" i="17"/>
  <c r="AO87" i="17"/>
  <c r="AO91" i="17" s="1"/>
  <c r="DD33" i="12"/>
  <c r="K13" i="24"/>
  <c r="DD38" i="12"/>
  <c r="CV32" i="12"/>
  <c r="K12" i="24"/>
  <c r="X29" i="17"/>
  <c r="K51" i="17"/>
  <c r="AN72" i="17"/>
  <c r="AO68" i="17"/>
  <c r="AO72" i="17" s="1"/>
  <c r="AF24" i="17"/>
  <c r="AG21" i="17"/>
  <c r="AG24" i="17" s="1"/>
  <c r="G13" i="24"/>
  <c r="N44" i="17"/>
  <c r="DD24" i="12"/>
  <c r="DD47" i="12"/>
  <c r="DG47" i="12"/>
  <c r="AG91" i="17"/>
  <c r="AI87" i="17"/>
  <c r="AI91" i="17" s="1"/>
  <c r="P72" i="17"/>
  <c r="B51" i="23"/>
  <c r="E3" i="24"/>
  <c r="D4" i="24"/>
  <c r="E4" i="24" s="1"/>
  <c r="Y38" i="17"/>
  <c r="AA34" i="17"/>
  <c r="AA38" i="17" s="1"/>
  <c r="G3" i="24"/>
  <c r="F4" i="24"/>
  <c r="G4" i="24" s="1"/>
  <c r="DD46" i="12"/>
  <c r="DG22" i="12"/>
  <c r="P91" i="17"/>
  <c r="J118" i="28"/>
  <c r="BF32" i="12"/>
  <c r="Q12" i="24"/>
  <c r="DG37" i="12"/>
  <c r="DG34" i="12" s="1"/>
  <c r="DD37" i="12"/>
  <c r="AI83" i="17"/>
  <c r="AI86" i="17" s="1"/>
  <c r="AG86" i="17"/>
  <c r="AF32" i="12"/>
  <c r="AE27" i="12"/>
  <c r="BD104" i="10"/>
  <c r="CY28" i="12"/>
  <c r="H3146" i="11"/>
  <c r="AG95" i="17"/>
  <c r="AI92" i="17"/>
  <c r="AI95" i="17" s="1"/>
  <c r="F5" i="24"/>
  <c r="G5" i="24" s="1"/>
  <c r="G6" i="24"/>
  <c r="Z118" i="28"/>
  <c r="P82" i="17"/>
  <c r="AN86" i="17"/>
  <c r="AO83" i="17"/>
  <c r="AO86" i="17" s="1"/>
  <c r="S7" i="24"/>
  <c r="B5" i="24"/>
  <c r="C5" i="24" s="1"/>
  <c r="Y29" i="17"/>
  <c r="AA21" i="17"/>
  <c r="AA24" i="17" s="1"/>
  <c r="Y24" i="17"/>
  <c r="AG29" i="17"/>
  <c r="AT104" i="10"/>
  <c r="CE28" i="12"/>
  <c r="H2600" i="11"/>
  <c r="AE29" i="17"/>
  <c r="BJ39" i="12"/>
  <c r="L13" i="24"/>
  <c r="M13" i="24" s="1"/>
  <c r="AO92" i="17"/>
  <c r="AO95" i="17" s="1"/>
  <c r="C6" i="24"/>
  <c r="AB27" i="12"/>
  <c r="F11" i="24"/>
  <c r="G11" i="24" s="1"/>
  <c r="AA52" i="12"/>
  <c r="L32" i="12"/>
  <c r="K27" i="12"/>
  <c r="Q91" i="17"/>
  <c r="BG3" i="22"/>
  <c r="DD26" i="12"/>
  <c r="DD43" i="12"/>
  <c r="DD29" i="12"/>
  <c r="DD42" i="12"/>
  <c r="Y44" i="17"/>
  <c r="AA39" i="17"/>
  <c r="AA44" i="17" s="1"/>
  <c r="DA32" i="12"/>
  <c r="DC32" i="12" s="1"/>
  <c r="O104" i="10"/>
  <c r="DD30" i="12"/>
  <c r="B4" i="24"/>
  <c r="C4" i="24" s="1"/>
  <c r="C3" i="24"/>
  <c r="AW104" i="10"/>
  <c r="H2756" i="11"/>
  <c r="CK28" i="12"/>
  <c r="DD34" i="12"/>
  <c r="Q14" i="17"/>
  <c r="K3" i="24"/>
  <c r="J4" i="24"/>
  <c r="K4" i="24" s="1"/>
  <c r="CJ32" i="12"/>
  <c r="CI27" i="12"/>
  <c r="Y20" i="17"/>
  <c r="AA11" i="17"/>
  <c r="AA20" i="17" s="1"/>
  <c r="DD35" i="12"/>
  <c r="E27" i="12"/>
  <c r="F32" i="12"/>
  <c r="AO73" i="17"/>
  <c r="AO82" i="17" s="1"/>
  <c r="N4" i="24"/>
  <c r="O4" i="24" s="1"/>
  <c r="O3" i="24"/>
  <c r="H5" i="24"/>
  <c r="I5" i="24" s="1"/>
  <c r="W104" i="10"/>
  <c r="AK28" i="12"/>
  <c r="H1118" i="11"/>
  <c r="BE33" i="10"/>
  <c r="DG44" i="12"/>
  <c r="DD44" i="12"/>
  <c r="M115" i="17"/>
  <c r="M118" i="17" s="1"/>
  <c r="D5" i="24"/>
  <c r="E5" i="24" s="1"/>
  <c r="E6" i="24"/>
  <c r="Q30" i="17"/>
  <c r="Q33" i="17" s="1"/>
  <c r="N33" i="17"/>
  <c r="Q3" i="24"/>
  <c r="P4" i="24"/>
  <c r="Q4" i="24" s="1"/>
  <c r="AF29" i="17"/>
  <c r="DD25" i="12"/>
  <c r="DD22" i="12"/>
  <c r="C10" i="24"/>
  <c r="BD32" i="12"/>
  <c r="BC27" i="12"/>
  <c r="M10" i="24"/>
  <c r="L5" i="24"/>
  <c r="M5" i="24" s="1"/>
  <c r="M6" i="24"/>
  <c r="AG100" i="17"/>
  <c r="AI96" i="17"/>
  <c r="AI100" i="17" s="1"/>
  <c r="Q13" i="24"/>
  <c r="L4" i="24"/>
  <c r="M4" i="24" s="1"/>
  <c r="M3" i="24"/>
  <c r="AG114" i="17"/>
  <c r="AI109" i="17"/>
  <c r="AI114" i="17" s="1"/>
  <c r="DD23" i="12"/>
  <c r="DD40" i="12"/>
  <c r="Q25" i="17"/>
  <c r="Q29" i="17" s="1"/>
  <c r="N29" i="17"/>
  <c r="DD31" i="12"/>
  <c r="I3" i="24"/>
  <c r="H4" i="24"/>
  <c r="I4" i="24" s="1"/>
  <c r="N72" i="17"/>
  <c r="AO101" i="17"/>
  <c r="AO108" i="17" s="1"/>
  <c r="Q72" i="17"/>
  <c r="Q6" i="17"/>
  <c r="Q10" i="17" s="1"/>
  <c r="N10" i="17"/>
  <c r="BW28" i="12"/>
  <c r="H2288" i="11"/>
  <c r="AP104" i="10"/>
  <c r="AZ32" i="12"/>
  <c r="AY27" i="12"/>
  <c r="DD48" i="12"/>
  <c r="BQ53" i="12"/>
  <c r="CB32" i="12"/>
  <c r="CA27" i="12"/>
  <c r="DH8" i="12"/>
  <c r="BH27" i="12"/>
  <c r="BG52" i="12"/>
  <c r="BG53" i="12" s="1"/>
  <c r="Y31" i="17"/>
  <c r="X33" i="17"/>
  <c r="X51" i="17" s="1"/>
  <c r="B4" i="23"/>
  <c r="DD11" i="12"/>
  <c r="DD50" i="12"/>
  <c r="BE36" i="10"/>
  <c r="Q101" i="17"/>
  <c r="Q108" i="17" s="1"/>
  <c r="N108" i="17"/>
  <c r="CD27" i="12"/>
  <c r="P32" i="12"/>
  <c r="O27" i="12"/>
  <c r="DH17" i="12"/>
  <c r="Y104" i="10"/>
  <c r="AO28" i="12"/>
  <c r="H1274" i="11"/>
  <c r="Q43" i="17"/>
  <c r="Q44" i="17" s="1"/>
  <c r="DD36" i="12"/>
  <c r="DD10" i="12"/>
  <c r="AI73" i="17"/>
  <c r="AI82" i="17" s="1"/>
  <c r="AI115" i="17" s="1"/>
  <c r="AG82" i="17"/>
  <c r="DD9" i="12"/>
  <c r="AD51" i="17"/>
  <c r="AF31" i="17"/>
  <c r="AE33" i="17"/>
  <c r="AR32" i="12"/>
  <c r="AQ27" i="12"/>
  <c r="BA104" i="10"/>
  <c r="CS28" i="12"/>
  <c r="H2912" i="11"/>
  <c r="DD45" i="12"/>
  <c r="AN114" i="17"/>
  <c r="Q112" i="17"/>
  <c r="Q114" i="17" s="1"/>
  <c r="AF115" i="17"/>
  <c r="H2834" i="11"/>
  <c r="AX104" i="10"/>
  <c r="CM28" i="12"/>
  <c r="N37" i="17"/>
  <c r="M38" i="17"/>
  <c r="M51" i="17" s="1"/>
  <c r="DG8" i="12"/>
  <c r="DH40" i="12" s="1"/>
  <c r="X38" i="17"/>
  <c r="V32" i="12"/>
  <c r="U27" i="12"/>
  <c r="AM114" i="17"/>
  <c r="AM115" i="17" s="1"/>
  <c r="C13" i="24"/>
  <c r="C12" i="24"/>
  <c r="CU27" i="12" l="1"/>
  <c r="BE27" i="12"/>
  <c r="J11" i="24" s="1"/>
  <c r="K11" i="24" s="1"/>
  <c r="Q20" i="17"/>
  <c r="BU27" i="12"/>
  <c r="BV28" i="12"/>
  <c r="AG115" i="17"/>
  <c r="AE51" i="17"/>
  <c r="Q94" i="17"/>
  <c r="Q95" i="17" s="1"/>
  <c r="DH34" i="12"/>
  <c r="DH11" i="12"/>
  <c r="DH46" i="12"/>
  <c r="S12" i="24"/>
  <c r="T12" i="24" s="1"/>
  <c r="S13" i="24"/>
  <c r="T13" i="24" s="1"/>
  <c r="DH31" i="12"/>
  <c r="DH10" i="12"/>
  <c r="DH30" i="12"/>
  <c r="DH38" i="12"/>
  <c r="DH36" i="12"/>
  <c r="DH25" i="12"/>
  <c r="DH35" i="12"/>
  <c r="DH50" i="12"/>
  <c r="DG39" i="12"/>
  <c r="DH39" i="12" s="1"/>
  <c r="DH45" i="12"/>
  <c r="DH9" i="12"/>
  <c r="S10" i="24"/>
  <c r="T10" i="24" s="1"/>
  <c r="S3" i="24"/>
  <c r="T3" i="24" s="1"/>
  <c r="DH24" i="12"/>
  <c r="Q37" i="17"/>
  <c r="Q38" i="17" s="1"/>
  <c r="Q51" i="17" s="1"/>
  <c r="Q55" i="17" s="1"/>
  <c r="N38" i="17"/>
  <c r="N51" i="17" s="1"/>
  <c r="N55" i="17" s="1"/>
  <c r="BH36" i="10"/>
  <c r="BG36" i="10"/>
  <c r="DD32" i="12"/>
  <c r="DG32" i="12"/>
  <c r="DH32" i="12" s="1"/>
  <c r="AF27" i="12"/>
  <c r="AE52" i="12"/>
  <c r="CB27" i="12"/>
  <c r="CA52" i="12"/>
  <c r="BX28" i="12"/>
  <c r="BW27" i="12"/>
  <c r="DH41" i="12"/>
  <c r="F27" i="12"/>
  <c r="E52" i="12"/>
  <c r="B11" i="24"/>
  <c r="CJ27" i="12"/>
  <c r="CI52" i="12"/>
  <c r="CI53" i="12" s="1"/>
  <c r="L27" i="12"/>
  <c r="K52" i="12"/>
  <c r="P115" i="17"/>
  <c r="Q118" i="17" s="1"/>
  <c r="CF28" i="12"/>
  <c r="CE27" i="12"/>
  <c r="BD27" i="12"/>
  <c r="BC52" i="12"/>
  <c r="DH44" i="12"/>
  <c r="DH33" i="12"/>
  <c r="BB27" i="12"/>
  <c r="BA52" i="12"/>
  <c r="BH33" i="10"/>
  <c r="BG33" i="10"/>
  <c r="BE105" i="10"/>
  <c r="BD101" i="21" s="1"/>
  <c r="BD102" i="21" s="1"/>
  <c r="AM53" i="12"/>
  <c r="B58" i="23"/>
  <c r="AK27" i="12"/>
  <c r="AL28" i="12"/>
  <c r="DC28" i="12"/>
  <c r="N115" i="17"/>
  <c r="N119" i="17" s="1"/>
  <c r="N121" i="17" s="1"/>
  <c r="DB32" i="12"/>
  <c r="DA27" i="12"/>
  <c r="CY27" i="12"/>
  <c r="CZ28" i="12"/>
  <c r="DH37" i="12"/>
  <c r="AG37" i="17"/>
  <c r="AG38" i="17" s="1"/>
  <c r="AF38" i="17"/>
  <c r="CS27" i="12"/>
  <c r="CT28" i="12"/>
  <c r="AA53" i="12"/>
  <c r="DH22" i="12"/>
  <c r="AO115" i="17"/>
  <c r="BE118" i="28"/>
  <c r="BE120" i="28" s="1"/>
  <c r="V27" i="12"/>
  <c r="U52" i="12"/>
  <c r="AF33" i="17"/>
  <c r="AG31" i="17"/>
  <c r="AG33" i="17" s="1"/>
  <c r="AG51" i="17" s="1"/>
  <c r="Q115" i="17"/>
  <c r="Q119" i="17" s="1"/>
  <c r="Q121" i="17" s="1"/>
  <c r="CN28" i="12"/>
  <c r="CM27" i="12"/>
  <c r="AR27" i="12"/>
  <c r="AQ52" i="12"/>
  <c r="DH29" i="12"/>
  <c r="DH26" i="12"/>
  <c r="DH43" i="12"/>
  <c r="AZ27" i="12"/>
  <c r="AY52" i="12"/>
  <c r="S6" i="24"/>
  <c r="T6" i="24" s="1"/>
  <c r="DH23" i="12"/>
  <c r="AN115" i="17"/>
  <c r="P27" i="12"/>
  <c r="O52" i="12"/>
  <c r="D11" i="24"/>
  <c r="E11" i="24" s="1"/>
  <c r="CV27" i="12"/>
  <c r="CU52" i="12"/>
  <c r="CU53" i="12" s="1"/>
  <c r="AP28" i="12"/>
  <c r="AO27" i="12"/>
  <c r="DH48" i="12"/>
  <c r="AA31" i="17"/>
  <c r="AA33" i="17" s="1"/>
  <c r="AA51" i="17" s="1"/>
  <c r="Y33" i="17"/>
  <c r="Y51" i="17" s="1"/>
  <c r="DH42" i="12"/>
  <c r="CL28" i="12"/>
  <c r="CK27" i="12"/>
  <c r="DH47" i="12"/>
  <c r="BV27" i="12" l="1"/>
  <c r="BU52" i="12"/>
  <c r="BU53" i="12" s="1"/>
  <c r="BE52" i="12"/>
  <c r="AF51" i="17"/>
  <c r="BF27" i="12"/>
  <c r="S4" i="24"/>
  <c r="T4" i="24" s="1"/>
  <c r="AQ53" i="12"/>
  <c r="CN27" i="12"/>
  <c r="P11" i="24"/>
  <c r="CM52" i="12"/>
  <c r="O53" i="12"/>
  <c r="BA53" i="12"/>
  <c r="C11" i="24"/>
  <c r="AE53" i="12"/>
  <c r="AL27" i="12"/>
  <c r="H11" i="24"/>
  <c r="AK52" i="12"/>
  <c r="BC53" i="12"/>
  <c r="K53" i="12"/>
  <c r="CZ27" i="12"/>
  <c r="CY52" i="12"/>
  <c r="E53" i="12"/>
  <c r="CA53" i="12"/>
  <c r="CL27" i="12"/>
  <c r="CK52" i="12"/>
  <c r="R11" i="24"/>
  <c r="DB27" i="12"/>
  <c r="DA52" i="12"/>
  <c r="S5" i="24"/>
  <c r="T5" i="24" s="1"/>
  <c r="CF27" i="12"/>
  <c r="CE52" i="12"/>
  <c r="N11" i="24"/>
  <c r="AP27" i="12"/>
  <c r="AO52" i="12"/>
  <c r="BG104" i="10"/>
  <c r="BX27" i="12"/>
  <c r="BW52" i="12"/>
  <c r="L11" i="24"/>
  <c r="BE53" i="12"/>
  <c r="AY53" i="12"/>
  <c r="U53" i="12"/>
  <c r="CT27" i="12"/>
  <c r="CS52" i="12"/>
  <c r="DD28" i="12"/>
  <c r="DC27" i="12"/>
  <c r="DG28" i="12"/>
  <c r="CM53" i="12" l="1"/>
  <c r="I11" i="24"/>
  <c r="CY53" i="12"/>
  <c r="DA53" i="12"/>
  <c r="CE53" i="12"/>
  <c r="AO53" i="12"/>
  <c r="AK53" i="12"/>
  <c r="CS53" i="12"/>
  <c r="Q11" i="24"/>
  <c r="DH28" i="12"/>
  <c r="DG27" i="12"/>
  <c r="BW53" i="12"/>
  <c r="O11" i="24"/>
  <c r="CK53" i="12"/>
  <c r="DD27" i="12"/>
  <c r="DC52" i="12"/>
  <c r="M11" i="24"/>
  <c r="S11" i="24" l="1"/>
  <c r="T11" i="24" s="1"/>
  <c r="DH27" i="12"/>
  <c r="DG52" i="12"/>
  <c r="DC53" i="12"/>
  <c r="DH52" i="12"/>
  <c r="E120" i="28" l="1"/>
  <c r="E121" i="28" s="1"/>
  <c r="F120" i="28" l="1"/>
  <c r="F121" i="28" s="1"/>
  <c r="H120" i="28"/>
  <c r="H121" i="28" s="1"/>
  <c r="G120" i="28" l="1"/>
  <c r="G121" i="28" s="1"/>
  <c r="I120" i="28" l="1"/>
  <c r="I121" i="28" s="1"/>
  <c r="J120" i="28" l="1"/>
  <c r="J121" i="28" s="1"/>
  <c r="K120" i="28" l="1"/>
  <c r="K121" i="28" s="1"/>
  <c r="L120" i="28" l="1"/>
  <c r="L121" i="28" s="1"/>
  <c r="M120" i="28" l="1"/>
  <c r="M121" i="28" s="1"/>
  <c r="N120" i="28" l="1"/>
  <c r="N121" i="28" s="1"/>
  <c r="P120" i="28"/>
  <c r="P121" i="28" s="1"/>
  <c r="Q120" i="28" l="1"/>
  <c r="Q121" i="28" s="1"/>
  <c r="R120" i="28"/>
  <c r="R121" i="28" s="1"/>
  <c r="S120" i="28" l="1"/>
  <c r="S121" i="28" s="1"/>
  <c r="U120" i="28"/>
  <c r="U121" i="28" s="1"/>
  <c r="T120" i="28" l="1"/>
  <c r="T121" i="28" s="1"/>
  <c r="V120" i="28" l="1"/>
  <c r="V121" i="28" s="1"/>
  <c r="W120" i="28" l="1"/>
  <c r="W121" i="28" s="1"/>
  <c r="X120" i="28" l="1"/>
  <c r="X121" i="28" s="1"/>
  <c r="Y120" i="28" l="1"/>
  <c r="Y121" i="28" s="1"/>
  <c r="Z120" i="28" l="1"/>
  <c r="Z121" i="28" s="1"/>
  <c r="AA120" i="28" l="1"/>
  <c r="AA121" i="28" s="1"/>
  <c r="AB120" i="28"/>
  <c r="AB121" i="28" s="1"/>
  <c r="AC120" i="28" l="1"/>
  <c r="AC121" i="28" s="1"/>
  <c r="AD120" i="28" l="1"/>
  <c r="AD121" i="28" s="1"/>
  <c r="AE120" i="28" l="1"/>
  <c r="AE121" i="28" s="1"/>
  <c r="AG120" i="28" l="1"/>
  <c r="AG121" i="28" s="1"/>
  <c r="AF120" i="28" l="1"/>
  <c r="AF121" i="28" s="1"/>
  <c r="AH120" i="28" l="1"/>
  <c r="AH121" i="28" s="1"/>
  <c r="AI120" i="28" l="1"/>
  <c r="AI121" i="28" s="1"/>
  <c r="AJ120" i="28" l="1"/>
  <c r="AJ121" i="28" s="1"/>
  <c r="AM120" i="28" l="1"/>
  <c r="AM121" i="28" s="1"/>
  <c r="AK120" i="28" l="1"/>
  <c r="AK121" i="28" s="1"/>
  <c r="AL120" i="28"/>
  <c r="AL121" i="28" s="1"/>
  <c r="AN120" i="28" l="1"/>
  <c r="AN121" i="28" s="1"/>
  <c r="AO120" i="28" l="1"/>
  <c r="AO121" i="28" s="1"/>
  <c r="AP120" i="28"/>
  <c r="AP121" i="28" s="1"/>
  <c r="AQ120" i="28" l="1"/>
  <c r="AQ121" i="28" s="1"/>
  <c r="AR120" i="28" l="1"/>
  <c r="AR121" i="28" s="1"/>
  <c r="AT120" i="28" l="1"/>
  <c r="AT121" i="28" s="1"/>
  <c r="AS120" i="28"/>
  <c r="AS121" i="28" s="1"/>
  <c r="AV120" i="28" l="1"/>
  <c r="AV121" i="28" s="1"/>
  <c r="AW120" i="28" l="1"/>
  <c r="AW121" i="28" s="1"/>
  <c r="AU120" i="28"/>
  <c r="AU121" i="28" s="1"/>
  <c r="AY120" i="28" l="1"/>
  <c r="AY121" i="28" s="1"/>
  <c r="BA120" i="28" l="1"/>
  <c r="BA121" i="28" s="1"/>
  <c r="AZ120" i="28"/>
  <c r="AZ121" i="28" s="1"/>
  <c r="AX120" i="28"/>
  <c r="AX121" i="28" s="1"/>
  <c r="BB120" i="28"/>
  <c r="BB121" i="28" s="1"/>
  <c r="BC120" i="28" l="1"/>
  <c r="BC121" i="28" s="1"/>
  <c r="BD120" i="28" l="1"/>
  <c r="BD121" i="28" s="1"/>
  <c r="O120" i="28" l="1"/>
  <c r="O121" i="28" s="1"/>
  <c r="C20" i="13"/>
  <c r="C14" i="12"/>
  <c r="C19" i="12"/>
  <c r="C20" i="12" s="1"/>
  <c r="C54" i="12" l="1"/>
  <c r="C62" i="12" l="1"/>
  <c r="C55" i="12"/>
  <c r="E105" i="10"/>
  <c r="E106" i="10" s="1"/>
  <c r="C34" i="23"/>
  <c r="D34" i="23" s="1"/>
  <c r="D20" i="13"/>
  <c r="E14" i="12"/>
  <c r="E19" i="12"/>
  <c r="E20" i="12" s="1"/>
  <c r="E54" i="12" l="1"/>
  <c r="C35" i="23" s="1"/>
  <c r="D35" i="23" s="1"/>
  <c r="I14" i="12"/>
  <c r="F20" i="13"/>
  <c r="I19" i="12"/>
  <c r="I54" i="12" s="1"/>
  <c r="F105" i="10" l="1"/>
  <c r="F106" i="10" s="1"/>
  <c r="E55" i="12"/>
  <c r="I20" i="12"/>
  <c r="H105" i="10"/>
  <c r="H106" i="10" s="1"/>
  <c r="C32" i="23"/>
  <c r="I55" i="12"/>
  <c r="D32" i="23" l="1"/>
  <c r="G20" i="13"/>
  <c r="K14" i="12"/>
  <c r="K19" i="12"/>
  <c r="K20" i="12" s="1"/>
  <c r="B8" i="24"/>
  <c r="B9" i="24" s="1"/>
  <c r="C8" i="24" l="1"/>
  <c r="C9" i="24"/>
  <c r="B14" i="24"/>
  <c r="C14" i="24" s="1"/>
  <c r="K54" i="12"/>
  <c r="K55" i="12" l="1"/>
  <c r="C33" i="23"/>
  <c r="I105" i="10"/>
  <c r="I106" i="10" s="1"/>
  <c r="C31" i="23" l="1"/>
  <c r="D31" i="23" s="1"/>
  <c r="D33" i="23"/>
  <c r="H20" i="13"/>
  <c r="M14" i="12"/>
  <c r="M19" i="12"/>
  <c r="M54" i="12" s="1"/>
  <c r="C15" i="23" l="1"/>
  <c r="J105" i="10"/>
  <c r="J106" i="10" s="1"/>
  <c r="M55" i="12"/>
  <c r="M20" i="12"/>
  <c r="D15" i="23"/>
  <c r="I20" i="13"/>
  <c r="O14" i="12"/>
  <c r="O19" i="12"/>
  <c r="O54" i="12" s="1"/>
  <c r="S14" i="12"/>
  <c r="K20" i="13"/>
  <c r="S19" i="12"/>
  <c r="S20" i="12" s="1"/>
  <c r="O55" i="12" l="1"/>
  <c r="K105" i="10"/>
  <c r="K106" i="10" s="1"/>
  <c r="C16" i="23"/>
  <c r="D16" i="23" s="1"/>
  <c r="O20" i="12"/>
  <c r="S54" i="12"/>
  <c r="S55" i="12" l="1"/>
  <c r="M105" i="10"/>
  <c r="M106" i="10" s="1"/>
  <c r="C17" i="23"/>
  <c r="D17" i="23"/>
  <c r="L20" i="13"/>
  <c r="U14" i="12"/>
  <c r="D8" i="24"/>
  <c r="D9" i="24" s="1"/>
  <c r="U19" i="12"/>
  <c r="E8" i="24" l="1"/>
  <c r="E9" i="24"/>
  <c r="D14" i="24"/>
  <c r="E14" i="24" s="1"/>
  <c r="U54" i="12"/>
  <c r="U20" i="12"/>
  <c r="C18" i="23" l="1"/>
  <c r="N105" i="10"/>
  <c r="N106" i="10" s="1"/>
  <c r="U55" i="12"/>
  <c r="D18" i="23" l="1"/>
  <c r="C14" i="23"/>
  <c r="D14" i="23" s="1"/>
  <c r="O20" i="13"/>
  <c r="AA14" i="12"/>
  <c r="AA19" i="12"/>
  <c r="AA54" i="12" s="1"/>
  <c r="P20" i="13"/>
  <c r="AC14" i="12"/>
  <c r="AC19" i="12"/>
  <c r="AC20" i="12" s="1"/>
  <c r="AG14" i="12"/>
  <c r="R20" i="13"/>
  <c r="F8" i="24"/>
  <c r="G8" i="24" s="1"/>
  <c r="AG19" i="12"/>
  <c r="AG20" i="12" s="1"/>
  <c r="AC54" i="12" l="1"/>
  <c r="S105" i="10" s="1"/>
  <c r="S106" i="10" s="1"/>
  <c r="R105" i="10"/>
  <c r="R106" i="10" s="1"/>
  <c r="C22" i="23"/>
  <c r="D22" i="23" s="1"/>
  <c r="AA55" i="12"/>
  <c r="AA20" i="12"/>
  <c r="AC55" i="12"/>
  <c r="C21" i="23"/>
  <c r="D21" i="23" s="1"/>
  <c r="AG54" i="12"/>
  <c r="F9" i="24"/>
  <c r="AG55" i="12" l="1"/>
  <c r="U105" i="10"/>
  <c r="U106" i="10" s="1"/>
  <c r="C23" i="23"/>
  <c r="F14" i="24"/>
  <c r="G14" i="24" s="1"/>
  <c r="G9" i="24"/>
  <c r="T20" i="13"/>
  <c r="AK14" i="12"/>
  <c r="AK19" i="12"/>
  <c r="AK54" i="12" s="1"/>
  <c r="AK20" i="12" l="1"/>
  <c r="C20" i="23"/>
  <c r="D20" i="23" s="1"/>
  <c r="D23" i="23"/>
  <c r="C39" i="23"/>
  <c r="D39" i="23" s="1"/>
  <c r="AK55" i="12"/>
  <c r="W105" i="10"/>
  <c r="W106" i="10" s="1"/>
  <c r="AM14" i="12"/>
  <c r="U20" i="13"/>
  <c r="AM19" i="12"/>
  <c r="AM54" i="12" s="1"/>
  <c r="AO14" i="12"/>
  <c r="V20" i="13"/>
  <c r="AO19" i="12"/>
  <c r="H8" i="24"/>
  <c r="H9" i="24" s="1"/>
  <c r="AM20" i="12" l="1"/>
  <c r="C40" i="23"/>
  <c r="D40" i="23" s="1"/>
  <c r="X105" i="10"/>
  <c r="X106" i="10" s="1"/>
  <c r="AM55" i="12"/>
  <c r="I8" i="24"/>
  <c r="I9" i="24"/>
  <c r="H14" i="24"/>
  <c r="I14" i="24" s="1"/>
  <c r="AO20" i="12"/>
  <c r="AO54" i="12"/>
  <c r="Y105" i="10" l="1"/>
  <c r="Y106" i="10" s="1"/>
  <c r="AO55" i="12"/>
  <c r="C38" i="23"/>
  <c r="C37" i="23" l="1"/>
  <c r="D37" i="23" s="1"/>
  <c r="D38" i="23"/>
  <c r="AQ14" i="12"/>
  <c r="W20" i="13"/>
  <c r="AQ19" i="12"/>
  <c r="AQ20" i="12" s="1"/>
  <c r="AQ54" i="12" l="1"/>
  <c r="Z105" i="10" l="1"/>
  <c r="Z106" i="10" s="1"/>
  <c r="C5" i="23"/>
  <c r="AQ55" i="12"/>
  <c r="D5" i="23"/>
  <c r="X20" i="13"/>
  <c r="AS14" i="12"/>
  <c r="AS19" i="12"/>
  <c r="AS20" i="12" s="1"/>
  <c r="AS54" i="12" l="1"/>
  <c r="C6" i="23" s="1"/>
  <c r="D6" i="23" s="1"/>
  <c r="AA105" i="10"/>
  <c r="AA106" i="10" s="1"/>
  <c r="AW14" i="12"/>
  <c r="Z20" i="13"/>
  <c r="AW19" i="12"/>
  <c r="AW20" i="12" s="1"/>
  <c r="AW54" i="12" l="1"/>
  <c r="AS55" i="12"/>
  <c r="AC105" i="10"/>
  <c r="AC106" i="10" s="1"/>
  <c r="C7" i="23"/>
  <c r="D7" i="23" s="1"/>
  <c r="AW55" i="12"/>
  <c r="AY14" i="12"/>
  <c r="AA20" i="13"/>
  <c r="AY19" i="12"/>
  <c r="AY20" i="12" s="1"/>
  <c r="BA14" i="12"/>
  <c r="AB20" i="13"/>
  <c r="BA19" i="12"/>
  <c r="BA20" i="12" s="1"/>
  <c r="AY54" i="12" l="1"/>
  <c r="BA54" i="12"/>
  <c r="C9" i="23" s="1"/>
  <c r="D9" i="23" s="1"/>
  <c r="AD105" i="10"/>
  <c r="AD106" i="10" s="1"/>
  <c r="AY55" i="12"/>
  <c r="BA55" i="12"/>
  <c r="C8" i="23"/>
  <c r="D8" i="23" s="1"/>
  <c r="AE105" i="10"/>
  <c r="AE106" i="10" s="1"/>
  <c r="AC20" i="13"/>
  <c r="BC14" i="12"/>
  <c r="BC19" i="12"/>
  <c r="BC20" i="12" s="1"/>
  <c r="BC54" i="12" l="1"/>
  <c r="BE14" i="12"/>
  <c r="AD20" i="13"/>
  <c r="BE19" i="12"/>
  <c r="BE20" i="12" s="1"/>
  <c r="BG14" i="12"/>
  <c r="AE20" i="13"/>
  <c r="BG19" i="12"/>
  <c r="BG54" i="12" s="1"/>
  <c r="J8" i="24"/>
  <c r="J9" i="24" s="1"/>
  <c r="AF105" i="10" l="1"/>
  <c r="AF106" i="10" s="1"/>
  <c r="BC55" i="12"/>
  <c r="C10" i="23"/>
  <c r="D10" i="23" s="1"/>
  <c r="BE54" i="12"/>
  <c r="BE55" i="12" s="1"/>
  <c r="AG105" i="10"/>
  <c r="AG106" i="10" s="1"/>
  <c r="C12" i="23"/>
  <c r="C11" i="23"/>
  <c r="D11" i="23" s="1"/>
  <c r="D12" i="23"/>
  <c r="C4" i="23"/>
  <c r="J14" i="24"/>
  <c r="K14" i="24" s="1"/>
  <c r="K9" i="24"/>
  <c r="BG20" i="12"/>
  <c r="K8" i="24"/>
  <c r="AH105" i="10"/>
  <c r="AH106" i="10" s="1"/>
  <c r="BG55" i="12"/>
  <c r="D4" i="23" l="1"/>
  <c r="BI14" i="12"/>
  <c r="AF20" i="13"/>
  <c r="BI19" i="12"/>
  <c r="BI54" i="12" s="1"/>
  <c r="C46" i="23" l="1"/>
  <c r="D46" i="23" s="1"/>
  <c r="BI20" i="12"/>
  <c r="AI105" i="10"/>
  <c r="AI106" i="10" s="1"/>
  <c r="BI55" i="12"/>
  <c r="BK14" i="12"/>
  <c r="AG20" i="13"/>
  <c r="BK19" i="12"/>
  <c r="BK54" i="12" s="1"/>
  <c r="BU14" i="12"/>
  <c r="AL20" i="13"/>
  <c r="BU19" i="12"/>
  <c r="BU20" i="12" s="1"/>
  <c r="BK20" i="12" l="1"/>
  <c r="C45" i="23"/>
  <c r="D45" i="23" s="1"/>
  <c r="AJ105" i="10"/>
  <c r="AJ106" i="10" s="1"/>
  <c r="BK55" i="12"/>
  <c r="BU54" i="12"/>
  <c r="C47" i="23" l="1"/>
  <c r="D47" i="23" s="1"/>
  <c r="AO105" i="10"/>
  <c r="AO106" i="10" s="1"/>
  <c r="BU55" i="12"/>
  <c r="BW14" i="12"/>
  <c r="AM20" i="13"/>
  <c r="BW19" i="12"/>
  <c r="BW20" i="12" s="1"/>
  <c r="BW54" i="12" l="1"/>
  <c r="C49" i="23" s="1"/>
  <c r="D49" i="23" s="1"/>
  <c r="CA14" i="12"/>
  <c r="AO20" i="13"/>
  <c r="CA19" i="12"/>
  <c r="CA20" i="12" s="1"/>
  <c r="L8" i="24"/>
  <c r="M8" i="24" s="1"/>
  <c r="L9" i="24" l="1"/>
  <c r="CA54" i="12"/>
  <c r="BW55" i="12"/>
  <c r="AP105" i="10"/>
  <c r="AP106" i="10" s="1"/>
  <c r="CA55" i="12"/>
  <c r="AR105" i="10"/>
  <c r="AR106" i="10" s="1"/>
  <c r="C43" i="23"/>
  <c r="M9" i="24" l="1"/>
  <c r="L14" i="24"/>
  <c r="M14" i="24" s="1"/>
  <c r="C42" i="23"/>
  <c r="D42" i="23" s="1"/>
  <c r="D43" i="23"/>
  <c r="AP20" i="13"/>
  <c r="CC14" i="12"/>
  <c r="CC19" i="12"/>
  <c r="CC54" i="12" s="1"/>
  <c r="CC20" i="12" l="1"/>
  <c r="CC55" i="12"/>
  <c r="AS105" i="10"/>
  <c r="AS106" i="10" s="1"/>
  <c r="C26" i="23"/>
  <c r="D26" i="23" l="1"/>
  <c r="CE14" i="12"/>
  <c r="AQ20" i="13"/>
  <c r="CE19" i="12"/>
  <c r="CE54" i="12" s="1"/>
  <c r="AT105" i="10" l="1"/>
  <c r="AT106" i="10" s="1"/>
  <c r="CE55" i="12"/>
  <c r="C27" i="23"/>
  <c r="CE20" i="12"/>
  <c r="D27" i="23" l="1"/>
  <c r="CI14" i="12"/>
  <c r="AS20" i="13"/>
  <c r="CI19" i="12"/>
  <c r="CI20" i="12" s="1"/>
  <c r="CI54" i="12" l="1"/>
  <c r="C28" i="23" s="1"/>
  <c r="CI55" i="12" l="1"/>
  <c r="AV105" i="10"/>
  <c r="AV106" i="10" s="1"/>
  <c r="D28" i="23"/>
  <c r="CK14" i="12"/>
  <c r="AT20" i="13"/>
  <c r="CK19" i="12"/>
  <c r="CK54" i="12" s="1"/>
  <c r="N8" i="24"/>
  <c r="O8" i="24" s="1"/>
  <c r="AW105" i="10" l="1"/>
  <c r="AW106" i="10" s="1"/>
  <c r="C29" i="23"/>
  <c r="CK20" i="12"/>
  <c r="N9" i="24"/>
  <c r="CK55" i="12"/>
  <c r="AU20" i="13"/>
  <c r="CM14" i="12"/>
  <c r="CM19" i="12"/>
  <c r="CM20" i="12" s="1"/>
  <c r="CS14" i="12"/>
  <c r="AX20" i="13"/>
  <c r="CS19" i="12"/>
  <c r="CS20" i="12" s="1"/>
  <c r="CS54" i="12"/>
  <c r="BA105" i="10" l="1"/>
  <c r="BA106" i="10" s="1"/>
  <c r="O9" i="24"/>
  <c r="N14" i="24"/>
  <c r="O14" i="24" s="1"/>
  <c r="CM54" i="12"/>
  <c r="D29" i="23"/>
  <c r="C25" i="23"/>
  <c r="D25" i="23" s="1"/>
  <c r="C55" i="23"/>
  <c r="D55" i="23" s="1"/>
  <c r="CS55" i="12"/>
  <c r="AY20" i="13"/>
  <c r="CU14" i="12"/>
  <c r="CU19" i="12"/>
  <c r="CU20" i="12" s="1"/>
  <c r="CM55" i="12" l="1"/>
  <c r="C54" i="23"/>
  <c r="D54" i="23" s="1"/>
  <c r="AX105" i="10"/>
  <c r="AX106" i="10" s="1"/>
  <c r="CU54" i="12"/>
  <c r="C56" i="23" l="1"/>
  <c r="D56" i="23" s="1"/>
  <c r="CU55" i="12"/>
  <c r="BB105" i="10"/>
  <c r="BB106" i="10" s="1"/>
  <c r="CW14" i="12"/>
  <c r="AZ20" i="13"/>
  <c r="CW19" i="12"/>
  <c r="CW20" i="12" s="1"/>
  <c r="BA20" i="13"/>
  <c r="CY14" i="12"/>
  <c r="P8" i="24"/>
  <c r="Q8" i="24" s="1"/>
  <c r="CY19" i="12"/>
  <c r="CY54" i="12" s="1"/>
  <c r="CW54" i="12" l="1"/>
  <c r="BD105" i="10"/>
  <c r="BD106" i="10" s="1"/>
  <c r="C53" i="23"/>
  <c r="CY55" i="12"/>
  <c r="P9" i="24"/>
  <c r="CY20" i="12"/>
  <c r="CW55" i="12" l="1"/>
  <c r="BC105" i="10"/>
  <c r="BC106" i="10" s="1"/>
  <c r="C52" i="23"/>
  <c r="D52" i="23" s="1"/>
  <c r="Q9" i="24"/>
  <c r="P14" i="24"/>
  <c r="Q14" i="24" s="1"/>
  <c r="C51" i="23"/>
  <c r="D53" i="23"/>
  <c r="D51" i="23" l="1"/>
  <c r="C58" i="23"/>
  <c r="D58" i="23" l="1"/>
  <c r="BB20" i="13"/>
  <c r="DA14" i="12"/>
  <c r="R8" i="24"/>
  <c r="R9" i="24" s="1"/>
  <c r="R14" i="24" s="1"/>
  <c r="S8" i="24"/>
  <c r="T8" i="24" s="1"/>
  <c r="DA19" i="12"/>
  <c r="DA54" i="12" s="1"/>
  <c r="DC14" i="12"/>
  <c r="DC19" i="12"/>
  <c r="DC20" i="12" s="1"/>
  <c r="DC54" i="12" l="1"/>
  <c r="DC55" i="12" s="1"/>
  <c r="S9" i="24"/>
  <c r="T9" i="24" s="1"/>
  <c r="C59" i="23"/>
  <c r="C60" i="23" s="1"/>
  <c r="D60" i="23" s="1"/>
  <c r="DA55" i="12"/>
  <c r="S14" i="24"/>
  <c r="T14" i="24" s="1"/>
  <c r="DA20" i="12"/>
  <c r="O105" i="10"/>
  <c r="O106" i="10" s="1"/>
  <c r="BG2" i="22" l="1"/>
  <c r="BG4" i="22" s="1"/>
  <c r="DH54" i="12" l="1"/>
  <c r="DE54" i="12"/>
  <c r="DE19" i="12"/>
  <c r="DE15" i="12"/>
  <c r="AK106" i="10"/>
  <c r="AK105" i="10"/>
  <c r="AE20" i="12"/>
  <c r="W55" i="12"/>
  <c r="AN20" i="13"/>
  <c r="BY14" i="12"/>
  <c r="W54" i="12"/>
  <c r="P105" i="10"/>
  <c r="P106" i="10"/>
  <c r="V106" i="10"/>
  <c r="V105" i="10"/>
  <c r="AQ106" i="10"/>
  <c r="AQ105" i="10"/>
  <c r="G106" i="10"/>
  <c r="G105" i="10"/>
  <c r="AU20" i="12"/>
  <c r="AI20" i="13"/>
  <c r="BO14" i="12"/>
  <c r="G54" i="12"/>
  <c r="G55" i="12"/>
  <c r="S20" i="13"/>
  <c r="AI14" i="12"/>
  <c r="G14" i="12"/>
  <c r="E20" i="13"/>
  <c r="CG20" i="12"/>
  <c r="DG15" i="12"/>
  <c r="DG19" i="12"/>
  <c r="DG54" i="12"/>
  <c r="AU55" i="12"/>
  <c r="AI54" i="12"/>
  <c r="AI55" i="12"/>
  <c r="BY54" i="12"/>
  <c r="BY55" i="12"/>
  <c r="CG55" i="12"/>
  <c r="AL106" i="10"/>
  <c r="AL105" i="10"/>
  <c r="BY15" i="12"/>
  <c r="BY19" i="12"/>
  <c r="BY20" i="12"/>
  <c r="AI15" i="12"/>
  <c r="AI19" i="12"/>
  <c r="AI20" i="12"/>
  <c r="AM106" i="10"/>
  <c r="AM105" i="10"/>
  <c r="CO55" i="12"/>
  <c r="G15" i="12"/>
  <c r="G19" i="12"/>
  <c r="G20" i="12"/>
  <c r="N20" i="13"/>
  <c r="Y14" i="12"/>
  <c r="AK20" i="13"/>
  <c r="BS14" i="12"/>
  <c r="AZ106" i="10"/>
  <c r="AZ105" i="10"/>
  <c r="AN106" i="10"/>
  <c r="AN105" i="10"/>
  <c r="CO54" i="12"/>
  <c r="AY105" i="10"/>
  <c r="AY106" i="10"/>
  <c r="BS54" i="12"/>
  <c r="BS55" i="12"/>
  <c r="J20" i="13"/>
  <c r="Q14" i="12"/>
  <c r="Q20" i="12"/>
  <c r="Y55" i="12"/>
  <c r="CQ54" i="12"/>
  <c r="CQ55" i="12"/>
  <c r="Q62" i="12"/>
  <c r="Q55" i="12"/>
  <c r="Y20" i="12"/>
  <c r="AV20" i="13"/>
  <c r="CO14" i="12"/>
  <c r="BQ54" i="12"/>
  <c r="BQ55" i="12"/>
  <c r="AR20" i="13"/>
  <c r="CG14" i="12"/>
  <c r="BS15" i="12"/>
  <c r="BS19" i="12"/>
  <c r="BS20" i="12"/>
  <c r="W20" i="12"/>
  <c r="CO15" i="12"/>
  <c r="CO19" i="12"/>
  <c r="CO20" i="12"/>
  <c r="Y15" i="12"/>
  <c r="Y19" i="12"/>
  <c r="Y54" i="12"/>
  <c r="Q105" i="10"/>
  <c r="Q106" i="10"/>
  <c r="Q15" i="12"/>
  <c r="Q19" i="12"/>
  <c r="Q54" i="12"/>
  <c r="L105" i="10"/>
  <c r="L106" i="10"/>
  <c r="BM14" i="12"/>
  <c r="AH20" i="13"/>
  <c r="T106" i="10"/>
  <c r="T105" i="10"/>
  <c r="BQ20" i="12"/>
  <c r="CQ20" i="12"/>
  <c r="BM20" i="12"/>
  <c r="BO54" i="12"/>
  <c r="BO55" i="12"/>
  <c r="AU54" i="12"/>
  <c r="AB105" i="10"/>
  <c r="AB106" i="10"/>
  <c r="M20" i="13"/>
  <c r="W19" i="12"/>
  <c r="W15" i="12"/>
  <c r="W14" i="12"/>
  <c r="BM15" i="12"/>
  <c r="BM19" i="12"/>
  <c r="BM54" i="12"/>
  <c r="BM55" i="12"/>
  <c r="AE54" i="12"/>
  <c r="AE55" i="12"/>
  <c r="BO15" i="12"/>
  <c r="BO19" i="12"/>
  <c r="BO20" i="12"/>
  <c r="AJ20" i="13"/>
  <c r="BQ19" i="12"/>
  <c r="BQ15" i="12"/>
  <c r="BQ14" i="12"/>
  <c r="AU14" i="12"/>
  <c r="AU19" i="12"/>
  <c r="AU15" i="12"/>
  <c r="Y20" i="13"/>
  <c r="CG15" i="12"/>
  <c r="CG19" i="12"/>
  <c r="CG54" i="12"/>
  <c r="AU105" i="10"/>
  <c r="AU106" i="10"/>
  <c r="AE14" i="12"/>
  <c r="AE19" i="12"/>
  <c r="AE15" i="12"/>
  <c r="Q20" i="13"/>
  <c r="AW20" i="13"/>
  <c r="CQ19" i="12"/>
  <c r="CQ15" i="12"/>
  <c r="CQ1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Pradeep Kumthekar</author>
  </authors>
  <commentList>
    <comment ref="S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Pradeep Kumthekar:</t>
        </r>
        <r>
          <rPr>
            <sz val="9"/>
            <color indexed="81"/>
            <rFont val="Tahoma"/>
            <family val="2"/>
          </rPr>
          <t xml:space="preserve">
50% expense taken in the month of April 2024</t>
        </r>
      </text>
    </comment>
    <comment ref="U68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Pradeep Kumthekar:</t>
        </r>
        <r>
          <rPr>
            <sz val="9"/>
            <color indexed="81"/>
            <rFont val="Tahoma"/>
            <family val="2"/>
          </rPr>
          <t xml:space="preserve">
50% expense taken in the month of April 2024</t>
        </r>
      </text>
    </comment>
    <comment ref="R7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Pradeep Kumthekar:</t>
        </r>
        <r>
          <rPr>
            <sz val="9"/>
            <color indexed="81"/>
            <rFont val="Tahoma"/>
            <family val="2"/>
          </rPr>
          <t xml:space="preserve">
50% expense pertaining to april taken in this month booked in may 2024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Pradeep Kumthekar</author>
  </authors>
  <commentList>
    <comment ref="S80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Pradeep Kumthekar:</t>
        </r>
        <r>
          <rPr>
            <sz val="9"/>
            <color indexed="81"/>
            <rFont val="Tahoma"/>
            <family val="2"/>
          </rPr>
          <t xml:space="preserve">
50% expense taken in the month of April 2024</t>
        </r>
      </text>
    </comment>
    <comment ref="U80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Pradeep Kumthekar:</t>
        </r>
        <r>
          <rPr>
            <sz val="9"/>
            <color indexed="81"/>
            <rFont val="Tahoma"/>
            <family val="2"/>
          </rPr>
          <t xml:space="preserve">
50% expense taken in the month of April 2024</t>
        </r>
      </text>
    </comment>
    <comment ref="R91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Pradeep Kumthekar:</t>
        </r>
        <r>
          <rPr>
            <sz val="9"/>
            <color indexed="81"/>
            <rFont val="Tahoma"/>
            <family val="2"/>
          </rPr>
          <t xml:space="preserve">
50% expense pertaining to april taken in this month booked in may 2024
</t>
        </r>
      </text>
    </comment>
  </commentList>
</comments>
</file>

<file path=xl/sharedStrings.xml><?xml version="1.0" encoding="utf-8"?>
<sst xmlns="http://schemas.openxmlformats.org/spreadsheetml/2006/main" count="24324" uniqueCount="1110">
  <si>
    <t>* Amounts in inr</t>
  </si>
  <si>
    <t>Bellona Hospitality ALL (bhsl.all)</t>
  </si>
  <si>
    <t>Property Comparison(TB)</t>
  </si>
  <si>
    <t>Book = Accrual ; Tree = ysi_tb</t>
  </si>
  <si>
    <t>bnahalra</t>
  </si>
  <si>
    <t>bnahchcf</t>
  </si>
  <si>
    <t>bnahcnst</t>
  </si>
  <si>
    <t>bnahisha</t>
  </si>
  <si>
    <t>bnahpout</t>
  </si>
  <si>
    <t>bnbgalra</t>
  </si>
  <si>
    <t>bnbgchch</t>
  </si>
  <si>
    <t>bnbgcnst</t>
  </si>
  <si>
    <t>bnbgdoba</t>
  </si>
  <si>
    <t>bnbgisha</t>
  </si>
  <si>
    <t>bnhoadmn</t>
  </si>
  <si>
    <t>bnkrbrbr</t>
  </si>
  <si>
    <t>bnkrcnst</t>
  </si>
  <si>
    <t>bnkrcrct</t>
  </si>
  <si>
    <t>bnkrdobb</t>
  </si>
  <si>
    <t>bnkricew</t>
  </si>
  <si>
    <t>bnkrisha</t>
  </si>
  <si>
    <t>bnlkcnst</t>
  </si>
  <si>
    <t>bnlkdoba</t>
  </si>
  <si>
    <t>bnlkeght</t>
  </si>
  <si>
    <t>bnlkisha</t>
  </si>
  <si>
    <t>bnlpalra</t>
  </si>
  <si>
    <t>bnlpchcf</t>
  </si>
  <si>
    <t>bnlpcnst</t>
  </si>
  <si>
    <t>bnlpdoba</t>
  </si>
  <si>
    <t>bnlpeght</t>
  </si>
  <si>
    <t>bnlpfyle</t>
  </si>
  <si>
    <t>bnlpjuls</t>
  </si>
  <si>
    <t>bnlplegm</t>
  </si>
  <si>
    <t>bnlppout</t>
  </si>
  <si>
    <t>bnmacafe</t>
  </si>
  <si>
    <t>bnmachcf</t>
  </si>
  <si>
    <t>bnmacnk2</t>
  </si>
  <si>
    <t>bnmacnk3</t>
  </si>
  <si>
    <t>bnmacnst</t>
  </si>
  <si>
    <t>bnmadoba</t>
  </si>
  <si>
    <t>bnmaeght</t>
  </si>
  <si>
    <t>bnmafylg</t>
  </si>
  <si>
    <t>bnmafyls</t>
  </si>
  <si>
    <t>bnmaisha</t>
  </si>
  <si>
    <t>bnvnalra</t>
  </si>
  <si>
    <t>bnvnchch</t>
  </si>
  <si>
    <t>bnvncnst</t>
  </si>
  <si>
    <t>bnvndoba</t>
  </si>
  <si>
    <t>bnvnisha</t>
  </si>
  <si>
    <t>bnwkcafe</t>
  </si>
  <si>
    <t>bnwkcnk</t>
  </si>
  <si>
    <t>bnwkcnst</t>
  </si>
  <si>
    <t>bnwkeght</t>
  </si>
  <si>
    <t>bnwkfyle</t>
  </si>
  <si>
    <t>bnwkisha</t>
  </si>
  <si>
    <t>bnwkpout</t>
  </si>
  <si>
    <t>Total</t>
  </si>
  <si>
    <t>320402-099</t>
  </si>
  <si>
    <t>Miscellaneous Receipts</t>
  </si>
  <si>
    <t>330004-025</t>
  </si>
  <si>
    <t>Rounded Off Income</t>
  </si>
  <si>
    <t>360000-002</t>
  </si>
  <si>
    <t>Sale through Aggregator - Food</t>
  </si>
  <si>
    <t>360000-003</t>
  </si>
  <si>
    <t>Sale through Aggregator - Beverages</t>
  </si>
  <si>
    <t>360001-002</t>
  </si>
  <si>
    <t>Food Sale</t>
  </si>
  <si>
    <t>360001-003</t>
  </si>
  <si>
    <t>Beverage Sale</t>
  </si>
  <si>
    <t>360001-004</t>
  </si>
  <si>
    <t>Liquor Sale</t>
  </si>
  <si>
    <t>360001-005</t>
  </si>
  <si>
    <t>Tobacco Sale</t>
  </si>
  <si>
    <t>360001-006</t>
  </si>
  <si>
    <t>Packaging Sale</t>
  </si>
  <si>
    <t>360001-007</t>
  </si>
  <si>
    <t>Ice Cream Sale</t>
  </si>
  <si>
    <t>360002-002</t>
  </si>
  <si>
    <t>Service Charge on Food and Beverages</t>
  </si>
  <si>
    <t>360002-003</t>
  </si>
  <si>
    <t>Service Charge on Liquor</t>
  </si>
  <si>
    <t>410100-003</t>
  </si>
  <si>
    <t>Security Expenses - Manpower</t>
  </si>
  <si>
    <t>410200-003</t>
  </si>
  <si>
    <t>Housekeeping Expenses - Manpower</t>
  </si>
  <si>
    <t>410500-010</t>
  </si>
  <si>
    <t>Uniforms</t>
  </si>
  <si>
    <t>Gas Charges</t>
  </si>
  <si>
    <t>411001-004</t>
  </si>
  <si>
    <t>Repairs &amp; Maintenance - Civil</t>
  </si>
  <si>
    <t>411001-253</t>
  </si>
  <si>
    <t>Repairs &amp; Maintenance - Others</t>
  </si>
  <si>
    <t>411002-003</t>
  </si>
  <si>
    <t>Pest Control - AC</t>
  </si>
  <si>
    <t>420101-002</t>
  </si>
  <si>
    <t>Salary &amp; Allowances -Staff</t>
  </si>
  <si>
    <t>420101-003</t>
  </si>
  <si>
    <t>Bonus to Staff</t>
  </si>
  <si>
    <t>420101-203</t>
  </si>
  <si>
    <t>Leave Encashment</t>
  </si>
  <si>
    <t>420101-304</t>
  </si>
  <si>
    <t>Recruitment cost (Expense)</t>
  </si>
  <si>
    <t>420101-404</t>
  </si>
  <si>
    <t>Medical Expenses - Staff</t>
  </si>
  <si>
    <t>420101-405</t>
  </si>
  <si>
    <t>Staff Welfare Expenses</t>
  </si>
  <si>
    <t>420102-004</t>
  </si>
  <si>
    <t>Telephone Expenses (Mobiles)</t>
  </si>
  <si>
    <t>420102-005</t>
  </si>
  <si>
    <t>Telephone Expenses - Others</t>
  </si>
  <si>
    <t>420102-302</t>
  </si>
  <si>
    <t>Postage &amp; Courier</t>
  </si>
  <si>
    <t>420102-402</t>
  </si>
  <si>
    <t>Internet Expenses</t>
  </si>
  <si>
    <t>420108-014</t>
  </si>
  <si>
    <t>Commission / Brokerage Expense</t>
  </si>
  <si>
    <t>420109-009</t>
  </si>
  <si>
    <t>Legal Charges</t>
  </si>
  <si>
    <t>420109-015</t>
  </si>
  <si>
    <t>Professional Charges</t>
  </si>
  <si>
    <t>420111-002</t>
  </si>
  <si>
    <t>Conveyance Expenses</t>
  </si>
  <si>
    <t>420111-213</t>
  </si>
  <si>
    <t>Travelling Local - Others</t>
  </si>
  <si>
    <t>420111-214</t>
  </si>
  <si>
    <t>Lodging &amp; Boarding</t>
  </si>
  <si>
    <t>420113-003</t>
  </si>
  <si>
    <t>Drinking Water Expenses</t>
  </si>
  <si>
    <t>420113-004</t>
  </si>
  <si>
    <t>General &amp; Miscellaneous Charges</t>
  </si>
  <si>
    <t>420113-008</t>
  </si>
  <si>
    <t>Office Expense</t>
  </si>
  <si>
    <t>420113-009</t>
  </si>
  <si>
    <t>Printing &amp; Stationery</t>
  </si>
  <si>
    <t>420113-015</t>
  </si>
  <si>
    <t>Transportation Charges</t>
  </si>
  <si>
    <t>420113-035</t>
  </si>
  <si>
    <t>Office Expenses - Guest</t>
  </si>
  <si>
    <t>420204-006</t>
  </si>
  <si>
    <t>Sales Promotion Expenses</t>
  </si>
  <si>
    <t>450001-001</t>
  </si>
  <si>
    <t>Rent and Revenue Charges</t>
  </si>
  <si>
    <t>450001-002</t>
  </si>
  <si>
    <t>CAM Charges</t>
  </si>
  <si>
    <t>450001-003</t>
  </si>
  <si>
    <t>HVAC Charges</t>
  </si>
  <si>
    <t>450001-004</t>
  </si>
  <si>
    <t>Property Tax</t>
  </si>
  <si>
    <t>450001-005</t>
  </si>
  <si>
    <t>Electricity Charges</t>
  </si>
  <si>
    <t>450001-007</t>
  </si>
  <si>
    <t>450001-008</t>
  </si>
  <si>
    <t>Gas Infra Charges</t>
  </si>
  <si>
    <t>450001-009</t>
  </si>
  <si>
    <t>Water Charges</t>
  </si>
  <si>
    <t>450001-010</t>
  </si>
  <si>
    <t>DG Charges</t>
  </si>
  <si>
    <t>450002-001</t>
  </si>
  <si>
    <t>Entertainment / DJ</t>
  </si>
  <si>
    <t>450002-003</t>
  </si>
  <si>
    <t>Equipment Hire Charges</t>
  </si>
  <si>
    <t>450002-009</t>
  </si>
  <si>
    <t>Kitchen Utensils Charges</t>
  </si>
  <si>
    <t>450002-012</t>
  </si>
  <si>
    <t>Casual Labour Charges</t>
  </si>
  <si>
    <t>450002-015</t>
  </si>
  <si>
    <t>General Supplies and Consumables</t>
  </si>
  <si>
    <t>450002-016</t>
  </si>
  <si>
    <t>Laundry Charges</t>
  </si>
  <si>
    <t>450002-018</t>
  </si>
  <si>
    <t>Packing Materials</t>
  </si>
  <si>
    <t>450002-019</t>
  </si>
  <si>
    <t>CCG Purchase</t>
  </si>
  <si>
    <t>450002-020</t>
  </si>
  <si>
    <t>Tobacco Purchase</t>
  </si>
  <si>
    <t>450002-022</t>
  </si>
  <si>
    <t>Liquid Container Nitrogen</t>
  </si>
  <si>
    <t>450002-023</t>
  </si>
  <si>
    <t>Freight Charges</t>
  </si>
  <si>
    <t>450002-024</t>
  </si>
  <si>
    <t>Cable Charges</t>
  </si>
  <si>
    <t>450002-025</t>
  </si>
  <si>
    <t>Staff Accommodation - Electricity Charges</t>
  </si>
  <si>
    <t>450002-026</t>
  </si>
  <si>
    <t>Staff Accommodation - Water Charges</t>
  </si>
  <si>
    <t>450002-027</t>
  </si>
  <si>
    <t>Staff Room Rent</t>
  </si>
  <si>
    <t>450002-028</t>
  </si>
  <si>
    <t>Staff Food Expense</t>
  </si>
  <si>
    <t>451000-002</t>
  </si>
  <si>
    <t>Vegetables and Fruits</t>
  </si>
  <si>
    <t>451000-003</t>
  </si>
  <si>
    <t>Dairy Products</t>
  </si>
  <si>
    <t>451000-004</t>
  </si>
  <si>
    <t>Groceries</t>
  </si>
  <si>
    <t>451000-005</t>
  </si>
  <si>
    <t>Beverages and Cold Products</t>
  </si>
  <si>
    <t>451000-006</t>
  </si>
  <si>
    <t>Juices</t>
  </si>
  <si>
    <t>451000-007</t>
  </si>
  <si>
    <t>Meat and Fisheries</t>
  </si>
  <si>
    <t>451000-008</t>
  </si>
  <si>
    <t>Ice Cream</t>
  </si>
  <si>
    <t>452000-001</t>
  </si>
  <si>
    <t>Beer / Wine / Liquor</t>
  </si>
  <si>
    <t>500001-001</t>
  </si>
  <si>
    <t>Bank Charges</t>
  </si>
  <si>
    <t>City</t>
  </si>
  <si>
    <t>Ahmedabad</t>
  </si>
  <si>
    <t>Bangalore</t>
  </si>
  <si>
    <t>HO</t>
  </si>
  <si>
    <t>Kurla</t>
  </si>
  <si>
    <t>Lucknow</t>
  </si>
  <si>
    <t>HSP</t>
  </si>
  <si>
    <t>Palladium Ahm</t>
  </si>
  <si>
    <t>PMC Whitefield</t>
  </si>
  <si>
    <t>Allora</t>
  </si>
  <si>
    <t>Cha</t>
  </si>
  <si>
    <t>Central Store</t>
  </si>
  <si>
    <t>Ishaara</t>
  </si>
  <si>
    <t>Poult</t>
  </si>
  <si>
    <t>Dobaara</t>
  </si>
  <si>
    <t>Admin</t>
  </si>
  <si>
    <t>Bar Bar</t>
  </si>
  <si>
    <t>Cream Centre</t>
  </si>
  <si>
    <t>Eight</t>
  </si>
  <si>
    <t>PMC Kurla</t>
  </si>
  <si>
    <t>Ice Cream Works</t>
  </si>
  <si>
    <t>Pallasio</t>
  </si>
  <si>
    <t>Mumbai</t>
  </si>
  <si>
    <t>Fyole</t>
  </si>
  <si>
    <t>Julius</t>
  </si>
  <si>
    <t>Legume</t>
  </si>
  <si>
    <t>MOA</t>
  </si>
  <si>
    <t>Pune</t>
  </si>
  <si>
    <t>MOM Wakad</t>
  </si>
  <si>
    <t>Bellona Hospitality Services Limited</t>
  </si>
  <si>
    <t>Particulars</t>
  </si>
  <si>
    <t>Revenue</t>
  </si>
  <si>
    <t>Cost of Goods Sold</t>
  </si>
  <si>
    <t>Gross Profit/(Loss)</t>
  </si>
  <si>
    <t>Total Operating Expenses</t>
  </si>
  <si>
    <t>HO Salary</t>
  </si>
  <si>
    <t>HO Expenses</t>
  </si>
  <si>
    <t>Non Cash Expenses ( L/E , Gratuity ,Bonus , Admin Charges on PF , )</t>
  </si>
  <si>
    <t>Profit/Loss</t>
  </si>
  <si>
    <t>No of covers</t>
  </si>
  <si>
    <t>APC</t>
  </si>
  <si>
    <t>Actual</t>
  </si>
  <si>
    <t>Budget</t>
  </si>
  <si>
    <t>Variance %</t>
  </si>
  <si>
    <t>YTD</t>
  </si>
  <si>
    <t>Beverages Sale</t>
  </si>
  <si>
    <t>Other Sale</t>
  </si>
  <si>
    <t>Food Cost</t>
  </si>
  <si>
    <t>Beverages Cost</t>
  </si>
  <si>
    <t>Liquor Cost</t>
  </si>
  <si>
    <t>Other Cost</t>
  </si>
  <si>
    <t>Indirect Expenses</t>
  </si>
  <si>
    <t>a. Occupational Cost</t>
  </si>
  <si>
    <t>b. Manpower Cost</t>
  </si>
  <si>
    <t>C. Marketing &amp; Business Promotion Cost</t>
  </si>
  <si>
    <t>d. Other Operating Cost</t>
  </si>
  <si>
    <t>Net Operating Profit / ( Loss ) (EBIDTA)</t>
  </si>
  <si>
    <t>Less: HO Expenses: (To be distributed in the ratio of Revenue)</t>
  </si>
  <si>
    <t>Data above this will be shared to operations and at outlet level</t>
  </si>
  <si>
    <t>Below data will be a part of Company Level MIS</t>
  </si>
  <si>
    <t>MIS Head</t>
  </si>
  <si>
    <t>Fixed Rent/Revenue Share</t>
  </si>
  <si>
    <t>CAM</t>
  </si>
  <si>
    <t>MIS for the month of APRIL 2024</t>
  </si>
  <si>
    <t xml:space="preserve">Common Area Maintenance Charges </t>
  </si>
  <si>
    <t xml:space="preserve">HVAC-Charges </t>
  </si>
  <si>
    <t>PARTICULARS</t>
  </si>
  <si>
    <t>Property tax</t>
  </si>
  <si>
    <t>SR. NO.</t>
  </si>
  <si>
    <t>The Phoenix Mills Limited</t>
  </si>
  <si>
    <t>Offbeat Developers Private Limited</t>
  </si>
  <si>
    <t>Sparkle One Mall Developers Pvt Ltd</t>
  </si>
  <si>
    <t>Island Star Mall Developer Pvt Ltd</t>
  </si>
  <si>
    <t>Alyssum Developers Pvt Ltd</t>
  </si>
  <si>
    <t>Destiny Retail Mall Developers Pvt Ltd</t>
  </si>
  <si>
    <t>SGH Realty LLP</t>
  </si>
  <si>
    <t>Market City Resources Pvt Ltd</t>
  </si>
  <si>
    <t>Stratix Hospitality Pvt Ltd</t>
  </si>
  <si>
    <t>Vamona Developers Pvt Ltd</t>
  </si>
  <si>
    <t>TOTAL</t>
  </si>
  <si>
    <t>Electricity</t>
  </si>
  <si>
    <t>Other Utility Charges</t>
  </si>
  <si>
    <t>Salaries &amp; Wages</t>
  </si>
  <si>
    <t>Staff Room Rent &amp; other</t>
  </si>
  <si>
    <t>Employee Benefit Expenses</t>
  </si>
  <si>
    <t>Fixed Marketing retaioner</t>
  </si>
  <si>
    <t>Discount on Coupons</t>
  </si>
  <si>
    <t>Business Promotion</t>
  </si>
  <si>
    <t>Utility Charges</t>
  </si>
  <si>
    <t>Legal and Professional Fees</t>
  </si>
  <si>
    <t>License Expenses and Fees</t>
  </si>
  <si>
    <t>Aggregator Commission</t>
  </si>
  <si>
    <t>Advertising &amp; Publicity</t>
  </si>
  <si>
    <t>Repairs and Maintenance Expenses</t>
  </si>
  <si>
    <t>Kitchen Equipments and Utensils</t>
  </si>
  <si>
    <t>Miscellaneous Expenses</t>
  </si>
  <si>
    <t>CCGL Charges</t>
  </si>
  <si>
    <t>Consumables (Paper napkin, guest
supplies etc..)</t>
  </si>
  <si>
    <t>BUDGET</t>
  </si>
  <si>
    <t>Period = Apr 2024</t>
  </si>
  <si>
    <t>330001-005</t>
  </si>
  <si>
    <t>IMDPL - Interest on SD - MPPKVVCL</t>
  </si>
  <si>
    <t>420101-006</t>
  </si>
  <si>
    <t>Conveyance Allowance</t>
  </si>
  <si>
    <t>420108-004</t>
  </si>
  <si>
    <t>Property Tax - Mall</t>
  </si>
  <si>
    <t>Nature</t>
  </si>
  <si>
    <t>PL</t>
  </si>
  <si>
    <t>Code</t>
  </si>
  <si>
    <t>Location</t>
  </si>
  <si>
    <t>Outlet</t>
  </si>
  <si>
    <t>PMC Viman Nagar</t>
  </si>
  <si>
    <t>Outsourced Manpower</t>
  </si>
  <si>
    <t>Printing &amp; Stationery, Postage</t>
  </si>
  <si>
    <t>Telephone, Internet &amp; Other</t>
  </si>
  <si>
    <t>Other Operational Expenses</t>
  </si>
  <si>
    <t>Kitchen Equipments and Utensils (Hire)</t>
  </si>
  <si>
    <t>Month</t>
  </si>
  <si>
    <t>Fyoleg</t>
  </si>
  <si>
    <t>Amount</t>
  </si>
  <si>
    <t xml:space="preserve">Budget </t>
  </si>
  <si>
    <t xml:space="preserve">Actual </t>
  </si>
  <si>
    <t>Variance</t>
  </si>
  <si>
    <t>As per MIS</t>
  </si>
  <si>
    <t>Check</t>
  </si>
  <si>
    <t>Outlets</t>
  </si>
  <si>
    <t>SALE</t>
  </si>
  <si>
    <t>FOOD</t>
  </si>
  <si>
    <t>BEVERAGE</t>
  </si>
  <si>
    <t>LIQUOR</t>
  </si>
  <si>
    <t>COGS</t>
  </si>
  <si>
    <t>Bellona Hospitality Services Ltd.</t>
  </si>
  <si>
    <t>Branch</t>
  </si>
  <si>
    <t>Department</t>
  </si>
  <si>
    <t>BASIC</t>
  </si>
  <si>
    <t>HRA</t>
  </si>
  <si>
    <t>CONVE</t>
  </si>
  <si>
    <t>CCA</t>
  </si>
  <si>
    <t>EDUCA</t>
  </si>
  <si>
    <t>VEHIC</t>
  </si>
  <si>
    <t>SPECI</t>
  </si>
  <si>
    <t>VP</t>
  </si>
  <si>
    <t>BONUS</t>
  </si>
  <si>
    <t>Gross</t>
  </si>
  <si>
    <t>PF</t>
  </si>
  <si>
    <t>TDS</t>
  </si>
  <si>
    <t>ESI</t>
  </si>
  <si>
    <t>PT</t>
  </si>
  <si>
    <t>SADV</t>
  </si>
  <si>
    <t>Total_Dedn</t>
  </si>
  <si>
    <t>Net_Pay</t>
  </si>
  <si>
    <t>Ahmedabad (F&amp;B)</t>
  </si>
  <si>
    <t>Finance &amp; Accounts</t>
  </si>
  <si>
    <t>HR &amp; Admin</t>
  </si>
  <si>
    <t>Operations</t>
  </si>
  <si>
    <t>Purchase &amp; Stores</t>
  </si>
  <si>
    <t>Bangalore East (F&amp;B)</t>
  </si>
  <si>
    <t>CHA CHA CHA</t>
  </si>
  <si>
    <t>Dobara</t>
  </si>
  <si>
    <t>FYOLE</t>
  </si>
  <si>
    <t>Bangalore Hebbal (F&amp;B)</t>
  </si>
  <si>
    <t>Lucknow (F&amp;B)</t>
  </si>
  <si>
    <t>Sales &amp; Marketing</t>
  </si>
  <si>
    <t>Mumbai Kurla (F&amp;B)</t>
  </si>
  <si>
    <t>Mumbai Lower Parel (F&amp;B Corporate)</t>
  </si>
  <si>
    <t>Business Development</t>
  </si>
  <si>
    <t>Finance &amp; IR</t>
  </si>
  <si>
    <t>Marketing</t>
  </si>
  <si>
    <t>Mumbai Lower Parel (F&amp;B)</t>
  </si>
  <si>
    <t>Pune Viman Nagar (F&amp;B)</t>
  </si>
  <si>
    <t>Pune Wakad (F&amp;B)</t>
  </si>
  <si>
    <t>Grand Total</t>
  </si>
  <si>
    <t>Person/Description</t>
  </si>
  <si>
    <t>SD</t>
  </si>
  <si>
    <t>Rent (PM)</t>
  </si>
  <si>
    <t>Rent (PA)</t>
  </si>
  <si>
    <t xml:space="preserve">Manisha Mayur Deolekar </t>
  </si>
  <si>
    <t>v0023923</t>
  </si>
  <si>
    <t>Lower Parel</t>
  </si>
  <si>
    <t>(No TDS)</t>
  </si>
  <si>
    <t xml:space="preserve">Mayur Shivram Deolekar </t>
  </si>
  <si>
    <t>v0023925</t>
  </si>
  <si>
    <t xml:space="preserve">Abdulodut Jabbar Shaikh  </t>
  </si>
  <si>
    <t>v0027723</t>
  </si>
  <si>
    <t>Pune VN</t>
  </si>
  <si>
    <t xml:space="preserve">Rahul Chandrakant Kharade </t>
  </si>
  <si>
    <t>v0023411</t>
  </si>
  <si>
    <t xml:space="preserve">Pramod Baburao Kshirsagar </t>
  </si>
  <si>
    <t>v0026516</t>
  </si>
  <si>
    <t>Pune W</t>
  </si>
  <si>
    <t xml:space="preserve">Ankit Garg  </t>
  </si>
  <si>
    <t>v0025351</t>
  </si>
  <si>
    <t xml:space="preserve">Rajani Rai </t>
  </si>
  <si>
    <t>v0025448</t>
  </si>
  <si>
    <t xml:space="preserve">Shashwat Rai </t>
  </si>
  <si>
    <t>v0025411</t>
  </si>
  <si>
    <t xml:space="preserve">C Narayanaswamy </t>
  </si>
  <si>
    <t>v0023899</t>
  </si>
  <si>
    <t>Bang PMC</t>
  </si>
  <si>
    <t xml:space="preserve">Gowrisha K / Manasa S </t>
  </si>
  <si>
    <t>v0027276</t>
  </si>
  <si>
    <t>Bang MOA</t>
  </si>
  <si>
    <t xml:space="preserve">KIRAN R RAJAGOPAL </t>
  </si>
  <si>
    <t>v0026079</t>
  </si>
  <si>
    <t xml:space="preserve">Santosh Kumar T </t>
  </si>
  <si>
    <t>v0027890</t>
  </si>
  <si>
    <t xml:space="preserve">Bharatbhai Desai </t>
  </si>
  <si>
    <t>v0024372</t>
  </si>
  <si>
    <t xml:space="preserve">Laxmanbhai D Modi </t>
  </si>
  <si>
    <t>v0025141</t>
  </si>
  <si>
    <t xml:space="preserve">NITESHBHAI GHEMARBHAI </t>
  </si>
  <si>
    <t>v0025161</t>
  </si>
  <si>
    <t xml:space="preserve">Rabari Devendra Laljibhai </t>
  </si>
  <si>
    <t>v0025575</t>
  </si>
  <si>
    <t xml:space="preserve">Vipulkumar Somabhai Rabari </t>
  </si>
  <si>
    <t>v0025140</t>
  </si>
  <si>
    <t xml:space="preserve">HMC HOMES </t>
  </si>
  <si>
    <t>v0027871</t>
  </si>
  <si>
    <t>(on Actual)</t>
  </si>
  <si>
    <t xml:space="preserve">Khan Firozkhand Dhaudhkhan </t>
  </si>
  <si>
    <t>v0023825</t>
  </si>
  <si>
    <t>CLOSE</t>
  </si>
  <si>
    <t xml:space="preserve">Dhwani Shah </t>
  </si>
  <si>
    <t>v0026089</t>
  </si>
  <si>
    <t xml:space="preserve">Desai Anand Babarbhai </t>
  </si>
  <si>
    <t>v0023129</t>
  </si>
  <si>
    <t>BLOCK</t>
  </si>
  <si>
    <t xml:space="preserve">Mohammad Hanif Abdul Majid Shaikh </t>
  </si>
  <si>
    <t>v0023830</t>
  </si>
  <si>
    <t xml:space="preserve">Devendra laljibhai Rabari </t>
  </si>
  <si>
    <t>v0024383</t>
  </si>
  <si>
    <t>TO CHECK</t>
  </si>
  <si>
    <t xml:space="preserve">Pacific Corporate Solutions Pvt Ltd </t>
  </si>
  <si>
    <t>v0023369</t>
  </si>
  <si>
    <t>On Actual</t>
  </si>
  <si>
    <t>01-04-2024 Amount</t>
  </si>
  <si>
    <t>140500-006</t>
  </si>
  <si>
    <t>Provision for Expenses</t>
  </si>
  <si>
    <t>Property</t>
  </si>
  <si>
    <t>Name</t>
  </si>
  <si>
    <t>Remarks</t>
  </si>
  <si>
    <t>Op. Bal.</t>
  </si>
  <si>
    <t>Addition</t>
  </si>
  <si>
    <t>Deletion</t>
  </si>
  <si>
    <t>30.04.24</t>
  </si>
  <si>
    <t>420103-001</t>
  </si>
  <si>
    <t>Statutory Audit Fees</t>
  </si>
  <si>
    <t>v0020217</t>
  </si>
  <si>
    <t>A M Ghelani &amp; Company</t>
  </si>
  <si>
    <t>Stat + Tax Audit</t>
  </si>
  <si>
    <t>v0027390</t>
  </si>
  <si>
    <t>B B S R &amp; ASSOCIATES</t>
  </si>
  <si>
    <t>GST Consultancy</t>
  </si>
  <si>
    <t>GST Annual Return GUJ</t>
  </si>
  <si>
    <t>GST Annual Return MH</t>
  </si>
  <si>
    <t>GST Annual Return UP</t>
  </si>
  <si>
    <t>GST Annual Return KA</t>
  </si>
  <si>
    <t>Security Expenses</t>
  </si>
  <si>
    <t>vi017238</t>
  </si>
  <si>
    <t>JAGDAMBA SERVICE SOLUTIONS PVT LTD</t>
  </si>
  <si>
    <t>Security Expenses Lucknow Dobarra</t>
  </si>
  <si>
    <t>Security Expenses Lucknow Eight</t>
  </si>
  <si>
    <t>Security Expenses Lucknow Ishaara</t>
  </si>
  <si>
    <t>v0015962</t>
  </si>
  <si>
    <t>YASH MANAGEMENT SOLUTION</t>
  </si>
  <si>
    <t>Security Expenses Fyole LP</t>
  </si>
  <si>
    <t>Housekeeping Expenses</t>
  </si>
  <si>
    <t>v0023447</t>
  </si>
  <si>
    <t>SAFEHANDS FACILITY SERVICES</t>
  </si>
  <si>
    <t>Housekeeping Service Kurla Cream Centre</t>
  </si>
  <si>
    <t>Housekeeping Service Kurla Ishaara</t>
  </si>
  <si>
    <t>Bonus FY 24-25</t>
  </si>
  <si>
    <t>450002-008</t>
  </si>
  <si>
    <t>Royalty Charges</t>
  </si>
  <si>
    <t>v0023643</t>
  </si>
  <si>
    <t>Prince Cuisines Private Limited</t>
  </si>
  <si>
    <t>Royalty Charges Cream Centre Kurla</t>
  </si>
  <si>
    <t>450002-006</t>
  </si>
  <si>
    <t>Franchise Fees</t>
  </si>
  <si>
    <t>v0023521</t>
  </si>
  <si>
    <t>Franchise Fees Ishaara Ahm</t>
  </si>
  <si>
    <t>Franchise Fees Ishaara Lucknow</t>
  </si>
  <si>
    <t>Franchise Fees Ishaara Pune VN</t>
  </si>
  <si>
    <t>Franchise Fees Ishaara Pune W</t>
  </si>
  <si>
    <t>Franchise Fees Ishaara Bang PMC</t>
  </si>
  <si>
    <t>Franchise Fees Ishaara Bang MOA</t>
  </si>
  <si>
    <t>Franchise Fees Ishaara Kurla</t>
  </si>
  <si>
    <t>`</t>
  </si>
  <si>
    <t>GL CODE</t>
  </si>
  <si>
    <t>Manual Adjustment</t>
  </si>
  <si>
    <t>Original TB Amount</t>
  </si>
  <si>
    <t>Adjusted Total</t>
  </si>
  <si>
    <t>TB</t>
  </si>
  <si>
    <t>Sales for April 2024</t>
  </si>
  <si>
    <t>Property Code</t>
  </si>
  <si>
    <t>Res. name</t>
  </si>
  <si>
    <t>Asset</t>
  </si>
  <si>
    <t xml:space="preserve">NET SALE </t>
  </si>
  <si>
    <t xml:space="preserve">Service Chargse </t>
  </si>
  <si>
    <t>Total Yardi</t>
  </si>
  <si>
    <t>As per Yardi</t>
  </si>
  <si>
    <t>As per Outlet Report</t>
  </si>
  <si>
    <t>Difference</t>
  </si>
  <si>
    <t>As per Consolidated Report Rista</t>
  </si>
  <si>
    <t>As per yardi</t>
  </si>
  <si>
    <t>Difference in Yardi &amp; Consolidated</t>
  </si>
  <si>
    <t xml:space="preserve">Food Sale </t>
  </si>
  <si>
    <t xml:space="preserve">Beverage Sale </t>
  </si>
  <si>
    <t xml:space="preserve">Online Sale </t>
  </si>
  <si>
    <t xml:space="preserve">Tobaco Sale </t>
  </si>
  <si>
    <t>Pool Table</t>
  </si>
  <si>
    <t>PACKING SALE</t>
  </si>
  <si>
    <t xml:space="preserve">Food &amp; Beverage </t>
  </si>
  <si>
    <t>Caffe Allora</t>
  </si>
  <si>
    <t>Palladium, Ahm</t>
  </si>
  <si>
    <t>Palladium, Ahm Total</t>
  </si>
  <si>
    <t>Café Allora</t>
  </si>
  <si>
    <t>Palladium, Mum</t>
  </si>
  <si>
    <t>Dobaraa</t>
  </si>
  <si>
    <t xml:space="preserve">    </t>
  </si>
  <si>
    <t>Palladium, Mum Total</t>
  </si>
  <si>
    <t>Pallasio Lucknow</t>
  </si>
  <si>
    <t>Pallasio Lucknow Total</t>
  </si>
  <si>
    <t>CaffÃ© Allora</t>
  </si>
  <si>
    <t>PMC Blr</t>
  </si>
  <si>
    <t>Cha Cha Cha - Dimsum, Sushi, Stir Fry</t>
  </si>
  <si>
    <t>PMC Blr Total</t>
  </si>
  <si>
    <t>PMC Kurla Total</t>
  </si>
  <si>
    <t>PMC Pune</t>
  </si>
  <si>
    <t>PMC Pune Total</t>
  </si>
  <si>
    <t>CHA-CHA-CHA</t>
  </si>
  <si>
    <t>Fyole-UG</t>
  </si>
  <si>
    <t>MOA Total</t>
  </si>
  <si>
    <t xml:space="preserve">Wakad </t>
  </si>
  <si>
    <t xml:space="preserve"> </t>
  </si>
  <si>
    <t>411002-205</t>
  </si>
  <si>
    <t>AMC - Computer and Software</t>
  </si>
  <si>
    <t>420105-002</t>
  </si>
  <si>
    <t>Insurance - Employees</t>
  </si>
  <si>
    <t>450001-006</t>
  </si>
  <si>
    <t>Electricity Infra Charges</t>
  </si>
  <si>
    <t>450002-005</t>
  </si>
  <si>
    <t>License and Permit Charges</t>
  </si>
  <si>
    <t>SC Income</t>
  </si>
  <si>
    <t>Total Sale</t>
  </si>
  <si>
    <t>OUTLET</t>
  </si>
  <si>
    <t>DEPARTMENT</t>
  </si>
  <si>
    <t xml:space="preserve">TB </t>
  </si>
  <si>
    <t>DEDUCTIONS</t>
  </si>
  <si>
    <t>NET SALARY</t>
  </si>
  <si>
    <t>AS PER TB</t>
  </si>
  <si>
    <t>DIFF</t>
  </si>
  <si>
    <t>NET</t>
  </si>
  <si>
    <t>GROSS SALARY</t>
  </si>
  <si>
    <t>Other</t>
  </si>
  <si>
    <t>Check 2</t>
  </si>
  <si>
    <t>Gross Profit/(Loss) %</t>
  </si>
  <si>
    <t>Cost of Goods Sold %</t>
  </si>
  <si>
    <t>Total Operating Expenses %</t>
  </si>
  <si>
    <t>Net Operating Profit / ( Loss ) (EBIDTA) %</t>
  </si>
  <si>
    <t>420101-102</t>
  </si>
  <si>
    <t>Employer's Contribution to P.F</t>
  </si>
  <si>
    <t>420101-103</t>
  </si>
  <si>
    <t>Employer's Contribution to ESIC</t>
  </si>
  <si>
    <t>420101-105</t>
  </si>
  <si>
    <t>P.F Admin Charges</t>
  </si>
  <si>
    <t>Total Mall Expense</t>
  </si>
  <si>
    <t>Trial Balance</t>
  </si>
  <si>
    <t>Forward</t>
  </si>
  <si>
    <t>Ending</t>
  </si>
  <si>
    <t>Balance</t>
  </si>
  <si>
    <t>Debit</t>
  </si>
  <si>
    <t>Credit</t>
  </si>
  <si>
    <t>110100-002</t>
  </si>
  <si>
    <t>Equity Share Capital</t>
  </si>
  <si>
    <t>110200-001</t>
  </si>
  <si>
    <t>Capital Reserve</t>
  </si>
  <si>
    <t>110200-002</t>
  </si>
  <si>
    <t>General Reserve</t>
  </si>
  <si>
    <t>110200-005</t>
  </si>
  <si>
    <t>Profit &amp; Loss Appropriation A/c</t>
  </si>
  <si>
    <t>110200-006</t>
  </si>
  <si>
    <t>Net Profit (For The Year)</t>
  </si>
  <si>
    <t>110200-011</t>
  </si>
  <si>
    <t>Other Comprehensive Income - Employee Benefit</t>
  </si>
  <si>
    <t>110200-012</t>
  </si>
  <si>
    <t>Other Comprehensive Income - Investments</t>
  </si>
  <si>
    <t>120202-103</t>
  </si>
  <si>
    <t>Galaxy Entertainment India Limited</t>
  </si>
  <si>
    <t>121001-023</t>
  </si>
  <si>
    <t>The Phoenix Mills Ltd - OCD</t>
  </si>
  <si>
    <t>121001-024</t>
  </si>
  <si>
    <t>The Phoenix Mills Ltd - OFCD</t>
  </si>
  <si>
    <t>130100-001</t>
  </si>
  <si>
    <t>Creditors for Capital Items - Local</t>
  </si>
  <si>
    <t>130100-002</t>
  </si>
  <si>
    <t>Creditors for Capital Items - Foreign</t>
  </si>
  <si>
    <t>130100-003</t>
  </si>
  <si>
    <t>Creditors for Expenses - Local</t>
  </si>
  <si>
    <t>130100-004</t>
  </si>
  <si>
    <t>Creditors for Expenses - Foreign</t>
  </si>
  <si>
    <t>130100-005</t>
  </si>
  <si>
    <t>Creditors - Others</t>
  </si>
  <si>
    <t>130100-006</t>
  </si>
  <si>
    <t>Creditors for Expenses Retention</t>
  </si>
  <si>
    <t>130100-010</t>
  </si>
  <si>
    <t>Sundry Creditors - Hold for Statutory Compliance</t>
  </si>
  <si>
    <t>130298-180</t>
  </si>
  <si>
    <t>Security Deposit - Quirk</t>
  </si>
  <si>
    <t>130301-001</t>
  </si>
  <si>
    <t>Output VAT</t>
  </si>
  <si>
    <t>130302-022</t>
  </si>
  <si>
    <t>Output Service Tax (Reverse Charge)</t>
  </si>
  <si>
    <t>130302-024</t>
  </si>
  <si>
    <t>Service Tax Payable</t>
  </si>
  <si>
    <t>130302-027</t>
  </si>
  <si>
    <t>Output Swachh Bharat Cess (Reverse Charge)</t>
  </si>
  <si>
    <t>130302-028</t>
  </si>
  <si>
    <t>Output Krishi Kalyan Cess</t>
  </si>
  <si>
    <t>130303-062</t>
  </si>
  <si>
    <t>TDS on Commission/Brokerage - Companies</t>
  </si>
  <si>
    <t>130303-063</t>
  </si>
  <si>
    <t>TDS on Commission/Brokerage - Non Companies</t>
  </si>
  <si>
    <t>130303-072</t>
  </si>
  <si>
    <t>TDS on Contractors - Companies</t>
  </si>
  <si>
    <t>130303-073</t>
  </si>
  <si>
    <t>TDS on Contractors - Non Companies</t>
  </si>
  <si>
    <t>130303-082</t>
  </si>
  <si>
    <t>TDS on Interest - Companies</t>
  </si>
  <si>
    <t>130303-092</t>
  </si>
  <si>
    <t>TDS on Professional - Companies</t>
  </si>
  <si>
    <t>130303-093</t>
  </si>
  <si>
    <t>TDS on Professional - Non Companies</t>
  </si>
  <si>
    <t>130303-122</t>
  </si>
  <si>
    <t>TDS on Rent - Companies</t>
  </si>
  <si>
    <t>130303-123</t>
  </si>
  <si>
    <t>TDS on Rent - Non Companies</t>
  </si>
  <si>
    <t>130303-124</t>
  </si>
  <si>
    <t>TDS on Rent\Plant\Machineries - Companies</t>
  </si>
  <si>
    <t>130303-125</t>
  </si>
  <si>
    <t>TDS on Rent\Plant\Machineries - Non Companies</t>
  </si>
  <si>
    <t>130303-127</t>
  </si>
  <si>
    <t>TDS on Rent\Immovable Property - Non Companies</t>
  </si>
  <si>
    <t>130303-131</t>
  </si>
  <si>
    <t>TDS on Salaries</t>
  </si>
  <si>
    <t>130303-192</t>
  </si>
  <si>
    <t>TDS on Purchase of Goods  - Companies</t>
  </si>
  <si>
    <t>130303-193</t>
  </si>
  <si>
    <t>TDS on Purchase of Goods - Non Companies</t>
  </si>
  <si>
    <t>130304-001</t>
  </si>
  <si>
    <t>Employees' Contribution to P.F - Payable</t>
  </si>
  <si>
    <t>130304-002</t>
  </si>
  <si>
    <t>Employers' Contribution to P.F - Payable</t>
  </si>
  <si>
    <t>130304-003</t>
  </si>
  <si>
    <t>Employees' Contribution to ESIC - Payable</t>
  </si>
  <si>
    <t>130304-004</t>
  </si>
  <si>
    <t>Employers' Contribution to ESIC - Payable</t>
  </si>
  <si>
    <t>130304-005</t>
  </si>
  <si>
    <t>Employers' Contribution to LWF - Payable</t>
  </si>
  <si>
    <t>130304-006</t>
  </si>
  <si>
    <t>Employees' Contribution to LWF - Payable</t>
  </si>
  <si>
    <t>130304-007</t>
  </si>
  <si>
    <t>P.F Administrative Charges Payable</t>
  </si>
  <si>
    <t>130304-008</t>
  </si>
  <si>
    <t>Profession Tax for Staff Payable</t>
  </si>
  <si>
    <t>130305-001</t>
  </si>
  <si>
    <t>Output CGST A/c</t>
  </si>
  <si>
    <t>130305-002</t>
  </si>
  <si>
    <t>Output SGST A/c</t>
  </si>
  <si>
    <t>130305-004</t>
  </si>
  <si>
    <t>Output CGST (RCM) A/c</t>
  </si>
  <si>
    <t>130305-005</t>
  </si>
  <si>
    <t>Output SGST (RCM) A/c</t>
  </si>
  <si>
    <t>130305-007</t>
  </si>
  <si>
    <t>Output Cess A/c</t>
  </si>
  <si>
    <t>130501-002</t>
  </si>
  <si>
    <t>Unallocated Receipts</t>
  </si>
  <si>
    <t>130502-001</t>
  </si>
  <si>
    <t>Salary Payable</t>
  </si>
  <si>
    <t>130502-004</t>
  </si>
  <si>
    <t>Bonus Payable</t>
  </si>
  <si>
    <t>130502-008</t>
  </si>
  <si>
    <t>Credit Card Tips Collected</t>
  </si>
  <si>
    <t>130502-009</t>
  </si>
  <si>
    <t>Service Charge Payable A/c</t>
  </si>
  <si>
    <t>140100-001</t>
  </si>
  <si>
    <t>Provision for Gratuity</t>
  </si>
  <si>
    <t>140100-002</t>
  </si>
  <si>
    <t>Provision for Leave Encashment</t>
  </si>
  <si>
    <t>150000-001</t>
  </si>
  <si>
    <t>Deferred Tax Liability</t>
  </si>
  <si>
    <t>210004-013</t>
  </si>
  <si>
    <t>Leasehold Improvements</t>
  </si>
  <si>
    <t>210007-002</t>
  </si>
  <si>
    <t>Office Equipment</t>
  </si>
  <si>
    <t>210007-005</t>
  </si>
  <si>
    <t>Kitchen Equipment</t>
  </si>
  <si>
    <t>210007-010</t>
  </si>
  <si>
    <t>Office Equipment - Others</t>
  </si>
  <si>
    <t>210008-008</t>
  </si>
  <si>
    <t>Plant &amp; Machinery</t>
  </si>
  <si>
    <t>210010-001</t>
  </si>
  <si>
    <t>Electrical Equipment</t>
  </si>
  <si>
    <t>210011-001</t>
  </si>
  <si>
    <t>Signages</t>
  </si>
  <si>
    <t>210011-002</t>
  </si>
  <si>
    <t>Furniture &amp; Fixtures</t>
  </si>
  <si>
    <t>210012-001</t>
  </si>
  <si>
    <t>Computer &amp; Networking</t>
  </si>
  <si>
    <t>210012-003</t>
  </si>
  <si>
    <t>Computer Software</t>
  </si>
  <si>
    <t>210012-004</t>
  </si>
  <si>
    <t>Website</t>
  </si>
  <si>
    <t>210012-005</t>
  </si>
  <si>
    <t>Software POS</t>
  </si>
  <si>
    <t>210100-006</t>
  </si>
  <si>
    <t>Provision for Dep. on Office Equipment</t>
  </si>
  <si>
    <t>210100-009</t>
  </si>
  <si>
    <t>Provision for Dep. on Plant &amp; Machinery</t>
  </si>
  <si>
    <t>210100-016</t>
  </si>
  <si>
    <t>Provision for Dep. on Furniture &amp; Fixtures</t>
  </si>
  <si>
    <t>210100-017</t>
  </si>
  <si>
    <t>Provision for Dep. on Computer &amp; Networking</t>
  </si>
  <si>
    <t>210100-019</t>
  </si>
  <si>
    <t>Provision for Dep. on Leasehold Improvements</t>
  </si>
  <si>
    <t>210100-021</t>
  </si>
  <si>
    <t>Provision for Dep. on Computer Software</t>
  </si>
  <si>
    <t>210300-052</t>
  </si>
  <si>
    <t>200001 - Professional Charges</t>
  </si>
  <si>
    <t>210300-073</t>
  </si>
  <si>
    <t>210300-083</t>
  </si>
  <si>
    <t>Printing and Stationery</t>
  </si>
  <si>
    <t>210300-088</t>
  </si>
  <si>
    <t>Repairs&amp; Maintance Expenses CWIP</t>
  </si>
  <si>
    <t>210300-091</t>
  </si>
  <si>
    <t>Staff Welfare</t>
  </si>
  <si>
    <t>210300-107</t>
  </si>
  <si>
    <t>Leasehold improvements (CWIP)</t>
  </si>
  <si>
    <t>210540-020</t>
  </si>
  <si>
    <t>180350 - Training Expenses</t>
  </si>
  <si>
    <t>210670-004</t>
  </si>
  <si>
    <t>Furniture &amp; Fixture</t>
  </si>
  <si>
    <t>210680-004</t>
  </si>
  <si>
    <t>151030 - Software Licenses  Renewal Fees</t>
  </si>
  <si>
    <t>220500-003</t>
  </si>
  <si>
    <t>Aditya Birla Sun Life - Liquid Fund</t>
  </si>
  <si>
    <t>220500-076</t>
  </si>
  <si>
    <t>Nippon India Liquid Fund - Direct Growth</t>
  </si>
  <si>
    <t>220500-084</t>
  </si>
  <si>
    <t>SBI Liquid Fund - Direct Growth</t>
  </si>
  <si>
    <t>220500-110</t>
  </si>
  <si>
    <t>Bandhan Liquid Fund - Direct Growth</t>
  </si>
  <si>
    <t>220701-025</t>
  </si>
  <si>
    <t>Equity Shares - Galaxy Cloud Kitchens Limited</t>
  </si>
  <si>
    <t>220701-026</t>
  </si>
  <si>
    <t>Equity Shares - GKW Limited</t>
  </si>
  <si>
    <t>220701-027</t>
  </si>
  <si>
    <t>Equity Shares - Graphite India Limited</t>
  </si>
  <si>
    <t>220702-002</t>
  </si>
  <si>
    <t>Equity Shares - Galaxy Entertainment India Limited</t>
  </si>
  <si>
    <t>220702-003</t>
  </si>
  <si>
    <t>Pref Shares - Galaxy Entertainment India Limited</t>
  </si>
  <si>
    <t>220702-004</t>
  </si>
  <si>
    <t>Equity Shares - Stratix Hospitality Private Limited</t>
  </si>
  <si>
    <t>230101-237</t>
  </si>
  <si>
    <t>Axis Bank Limited - Current Account - 922020066804021</t>
  </si>
  <si>
    <t>230101-238</t>
  </si>
  <si>
    <t>Axis Bank Limited - Current Account - 922020066980628</t>
  </si>
  <si>
    <t>230101-239</t>
  </si>
  <si>
    <t>Axis Bank Limited - Current Account - 922020067552628</t>
  </si>
  <si>
    <t>230101-240</t>
  </si>
  <si>
    <t>HDFC Bank Limited - Current Account - 50200020713174</t>
  </si>
  <si>
    <t>230101-241</t>
  </si>
  <si>
    <t>HDFC Bank Limited - Current Account - 50200026472874</t>
  </si>
  <si>
    <t>230101-242</t>
  </si>
  <si>
    <t>Union Bank of India - Current Account - 510101006225267</t>
  </si>
  <si>
    <t>230101-243</t>
  </si>
  <si>
    <t>Union Bank of India - Current Account - 510101005438240</t>
  </si>
  <si>
    <t>230101-244</t>
  </si>
  <si>
    <t>Yes Bank - Current Account - 046984100000071</t>
  </si>
  <si>
    <t>230101-245</t>
  </si>
  <si>
    <t>ICICI Bank - Current Account - 196205000074</t>
  </si>
  <si>
    <t>230103-118</t>
  </si>
  <si>
    <t>HDFC Bank - Margin Money-BG - 50300627786799/1</t>
  </si>
  <si>
    <t>230103-119</t>
  </si>
  <si>
    <t>HDFC Bank - Margin Money-BG - 50300627787355/1</t>
  </si>
  <si>
    <t>230103-120</t>
  </si>
  <si>
    <t>HDFC Bank - Margin Money-BG - 50300627788447/1</t>
  </si>
  <si>
    <t>230103-121</t>
  </si>
  <si>
    <t>HDFC Bank - Margin Money-BG - 50300658000692/1</t>
  </si>
  <si>
    <t>230103-122</t>
  </si>
  <si>
    <t>HDFC Bank - Margin Money-BG - 50300676298664/1</t>
  </si>
  <si>
    <t>230103-123</t>
  </si>
  <si>
    <t>HDFC Bank - Margin Money-BG - 50300758788345/1</t>
  </si>
  <si>
    <t>230103-124</t>
  </si>
  <si>
    <t>HDFC Bank - Margin Money-BG - 50300780937357</t>
  </si>
  <si>
    <t>230103-576</t>
  </si>
  <si>
    <t>Union Bank of India - Bank FD-Other - 530401023983907</t>
  </si>
  <si>
    <t>230103-577</t>
  </si>
  <si>
    <t>Union Bank of India - Bank FD-Other - 530401023984563</t>
  </si>
  <si>
    <t>230103-578</t>
  </si>
  <si>
    <t>Union Bank of India - Bank FD-Other - 530401023984636</t>
  </si>
  <si>
    <t>230103-579</t>
  </si>
  <si>
    <t>Union Bank of India - Bank FD-Other - 530401023985233</t>
  </si>
  <si>
    <t>230103-580</t>
  </si>
  <si>
    <t>Union Bank of India - Bank FD-Other - 530401023985241</t>
  </si>
  <si>
    <t>230103-581</t>
  </si>
  <si>
    <t>Union Bank of India - Bank FD-Other - 530401023985934</t>
  </si>
  <si>
    <t>230103-582</t>
  </si>
  <si>
    <t>Union Bank of India - Bank FD-Other - 530401029637000</t>
  </si>
  <si>
    <t>230103-583</t>
  </si>
  <si>
    <t>Union Bank of India - Bank FD-Other - 530401029637079</t>
  </si>
  <si>
    <t>230103-584</t>
  </si>
  <si>
    <t>Union Bank of India - Bank FD-Other - 530401029637109</t>
  </si>
  <si>
    <t>230103-585</t>
  </si>
  <si>
    <t>Union Bank of India - Bank FD-Other - 530401029637192</t>
  </si>
  <si>
    <t>230103-623</t>
  </si>
  <si>
    <t>Fixed deposit with Banks/Financial Institution</t>
  </si>
  <si>
    <t>230200-099</t>
  </si>
  <si>
    <t>Cash-in-Hand</t>
  </si>
  <si>
    <t>230300-005</t>
  </si>
  <si>
    <t>Liquor Inventory</t>
  </si>
  <si>
    <t>230300-007</t>
  </si>
  <si>
    <t>Food Inventory</t>
  </si>
  <si>
    <t>230300-008</t>
  </si>
  <si>
    <t>Beverage Inventory</t>
  </si>
  <si>
    <t>230400-001</t>
  </si>
  <si>
    <t>Sundry Debtors</t>
  </si>
  <si>
    <t>230400-008</t>
  </si>
  <si>
    <t>Sundry Debtors - Income Deferral Account</t>
  </si>
  <si>
    <t>230502-003</t>
  </si>
  <si>
    <t>Security Deposit –MSEDCL</t>
  </si>
  <si>
    <t>230502-006</t>
  </si>
  <si>
    <t>Security Deposit -MNGL</t>
  </si>
  <si>
    <t>230502-027</t>
  </si>
  <si>
    <t>Security Deposits - ESIC</t>
  </si>
  <si>
    <t>230502-031</t>
  </si>
  <si>
    <t>Security Deposits - MCGM</t>
  </si>
  <si>
    <t>230502-033</t>
  </si>
  <si>
    <t>Security Deposits - NSC</t>
  </si>
  <si>
    <t>230502-043</t>
  </si>
  <si>
    <t>Security Deposits - TATA Power</t>
  </si>
  <si>
    <t>230502-046</t>
  </si>
  <si>
    <t>Security Deposits - VAT</t>
  </si>
  <si>
    <t>230502-050</t>
  </si>
  <si>
    <t>Security Deposits - Commissioner BBMP</t>
  </si>
  <si>
    <t>230502-055</t>
  </si>
  <si>
    <t>Security Deposits - Liquor License</t>
  </si>
  <si>
    <t>230502-068</t>
  </si>
  <si>
    <t>Security Deposits - Co2 Cylinders</t>
  </si>
  <si>
    <t>230502-069</t>
  </si>
  <si>
    <t>Security Deposits - Telephone</t>
  </si>
  <si>
    <t>230502-070</t>
  </si>
  <si>
    <t>Security Deposits - United Breweries Ltd</t>
  </si>
  <si>
    <t>230502-071</t>
  </si>
  <si>
    <t>Security Deposits - Rent</t>
  </si>
  <si>
    <t>230502-072</t>
  </si>
  <si>
    <t>Security Deposits - Liquid Nitrogen</t>
  </si>
  <si>
    <t>230502-073</t>
  </si>
  <si>
    <t>Security Deposits - Cable / Set Top Box</t>
  </si>
  <si>
    <t>230502-074</t>
  </si>
  <si>
    <t>Security Deposits - The Phoenix Mills Limited</t>
  </si>
  <si>
    <t>230502-075</t>
  </si>
  <si>
    <t>Security Deposits - Vamona Developers Pvt. Ltd.</t>
  </si>
  <si>
    <t>230502-076</t>
  </si>
  <si>
    <t>Security Deposits - SGH Realty LLP</t>
  </si>
  <si>
    <t>230502-077</t>
  </si>
  <si>
    <t>Security Deposits - Island Star Mall Developers Pvt Ltd</t>
  </si>
  <si>
    <t>230602-031</t>
  </si>
  <si>
    <t>Beverages Cess @12%</t>
  </si>
  <si>
    <t>230603-366</t>
  </si>
  <si>
    <t>TDS Receivable - Others FY 2017-18 AY 2018-19</t>
  </si>
  <si>
    <t>230603-367</t>
  </si>
  <si>
    <t>TDS Receivable - Others FY 2018-19 AY 2019-20</t>
  </si>
  <si>
    <t>230603-370</t>
  </si>
  <si>
    <t>TDS Receivable - Others FY 2021-22 AY 2022-23</t>
  </si>
  <si>
    <t>230603-371</t>
  </si>
  <si>
    <t>TDS Receivable - Others FY 2022-23 AY 2023-24</t>
  </si>
  <si>
    <t>230603-385</t>
  </si>
  <si>
    <t>TDS Receivable - Others FY 2023-24 AY 2024-25</t>
  </si>
  <si>
    <t>230603-531</t>
  </si>
  <si>
    <t>TCS Receivable FY 2017-18 AY 2018-19</t>
  </si>
  <si>
    <t>230603-532</t>
  </si>
  <si>
    <t>TCS Receivable FY 2018-19 AY 2019-20</t>
  </si>
  <si>
    <t>230603-533</t>
  </si>
  <si>
    <t>TCS Receivable FY 2019-20 AY 2020-21</t>
  </si>
  <si>
    <t>230603-535</t>
  </si>
  <si>
    <t>TCS Receivable FY 2021-22 AY 2022-23</t>
  </si>
  <si>
    <t>230603-536</t>
  </si>
  <si>
    <t>TCS Receivable FY 2022-23 AY 2023-24</t>
  </si>
  <si>
    <t>230603-537</t>
  </si>
  <si>
    <t>TCS Receivable FY 2023-24 AY 2024-25</t>
  </si>
  <si>
    <t>230603-622</t>
  </si>
  <si>
    <t>TDS Received on Dividend Income FY 2021-22 AY 2022-23</t>
  </si>
  <si>
    <t>230603-623</t>
  </si>
  <si>
    <t>TDS Received on Dividend Income FY 2022-23 AY 2023-24</t>
  </si>
  <si>
    <t>230603-653</t>
  </si>
  <si>
    <t>TDS Received on Interest Income FY 2018-19 AY 2019-20</t>
  </si>
  <si>
    <t>230603-654</t>
  </si>
  <si>
    <t>TDS Received on Interest Income FY 2019-20 AY 2020-21</t>
  </si>
  <si>
    <t>230603-655</t>
  </si>
  <si>
    <t>TDS Received on Interest Income FY 2021-22 AY 2022-23</t>
  </si>
  <si>
    <t>230603-657</t>
  </si>
  <si>
    <t>TDS Received on Interest Income FY 2022-23 AY 2023-24</t>
  </si>
  <si>
    <t>230603-658</t>
  </si>
  <si>
    <t>TDS Received on Interest Income FY 2015-16 AY 2016-17</t>
  </si>
  <si>
    <t>230603-690</t>
  </si>
  <si>
    <t>TDS ON OTHERS F.Y.2023-2024</t>
  </si>
  <si>
    <t>230702-001</t>
  </si>
  <si>
    <t>Input CGST Receivable A/c</t>
  </si>
  <si>
    <t>230702-002</t>
  </si>
  <si>
    <t>Input SGST Receivable A/c</t>
  </si>
  <si>
    <t>230702-003</t>
  </si>
  <si>
    <t>Input IGST Receivable A/c</t>
  </si>
  <si>
    <t>230702-004</t>
  </si>
  <si>
    <t>Input CGST Receivable (RCM) A/c</t>
  </si>
  <si>
    <t>230702-005</t>
  </si>
  <si>
    <t>Input SGST Receivable (RCM) A/c</t>
  </si>
  <si>
    <t>230702-013</t>
  </si>
  <si>
    <t>Cess Input Receivable A/c</t>
  </si>
  <si>
    <t>230702-014</t>
  </si>
  <si>
    <t>Electronic Credit Ledger A/c</t>
  </si>
  <si>
    <t>230703-053</t>
  </si>
  <si>
    <t>Accrued Interest on Fixed Deposit</t>
  </si>
  <si>
    <t>240201-002</t>
  </si>
  <si>
    <t>Advance Against Salary</t>
  </si>
  <si>
    <t>240201-003</t>
  </si>
  <si>
    <t>Advances to Staff</t>
  </si>
  <si>
    <t>240202-006</t>
  </si>
  <si>
    <t>Advance to Supplier</t>
  </si>
  <si>
    <t>240202-013</t>
  </si>
  <si>
    <t>Material Advance</t>
  </si>
  <si>
    <t>240203-024</t>
  </si>
  <si>
    <t>Savannah Phoenix Pvt Ltd</t>
  </si>
  <si>
    <t>240203-025</t>
  </si>
  <si>
    <t>Advance Given to Party</t>
  </si>
  <si>
    <t>240203-026</t>
  </si>
  <si>
    <t>Staff IOU</t>
  </si>
  <si>
    <t>240203-027</t>
  </si>
  <si>
    <t>Advance - Prashant Issar</t>
  </si>
  <si>
    <t>240400-002</t>
  </si>
  <si>
    <t>Prepaid Expenses</t>
  </si>
  <si>
    <t>320402-006</t>
  </si>
  <si>
    <t>Sale of Scrap</t>
  </si>
  <si>
    <t>320402-019</t>
  </si>
  <si>
    <t>Pool Table Income</t>
  </si>
  <si>
    <t>Ho admin</t>
  </si>
  <si>
    <t>Prov entry</t>
  </si>
  <si>
    <t>Staff Food</t>
  </si>
  <si>
    <t>MIS HEAD</t>
  </si>
  <si>
    <t xml:space="preserve">Electricity Charges </t>
  </si>
  <si>
    <t xml:space="preserve">Water Charges </t>
  </si>
  <si>
    <t>Mall Infra Esta Charges</t>
  </si>
  <si>
    <t>Gas Infrastructure Cost</t>
  </si>
  <si>
    <t xml:space="preserve">Electricity Infrastructure Cost </t>
  </si>
  <si>
    <t>Note: No electric Infra from April 2024, it will be charged as Mall Infra (Nilesh)</t>
  </si>
  <si>
    <t>YARDI FIGURES</t>
  </si>
  <si>
    <t>No Gas Charges</t>
  </si>
  <si>
    <t>SALES</t>
  </si>
  <si>
    <t>Plotting TB Diff</t>
  </si>
  <si>
    <t>Service Charge</t>
  </si>
  <si>
    <t>Service Charge Expense</t>
  </si>
  <si>
    <t>30% Income</t>
  </si>
  <si>
    <t>70 % Exps</t>
  </si>
  <si>
    <t>Allocation</t>
  </si>
  <si>
    <t>Fixed Marketing retainer</t>
  </si>
  <si>
    <t>420201-001</t>
  </si>
  <si>
    <t>Advertisement Expenses</t>
  </si>
  <si>
    <t>450002-013</t>
  </si>
  <si>
    <t>Commission - On Card Settlements</t>
  </si>
  <si>
    <t>450002-014</t>
  </si>
  <si>
    <t>Commission - On Aggregators</t>
  </si>
  <si>
    <t>Linked TB</t>
  </si>
  <si>
    <t>Diff</t>
  </si>
  <si>
    <t>Loss As per MIS</t>
  </si>
  <si>
    <t>Loss As per Books</t>
  </si>
  <si>
    <t>Rounding off Diff</t>
  </si>
  <si>
    <t>%</t>
  </si>
  <si>
    <t>Food and Beverage Cost</t>
  </si>
  <si>
    <t>Revenue (Including Taxes)</t>
  </si>
  <si>
    <t>Sales Promotion</t>
  </si>
  <si>
    <t>Actual Value in TB of Sales Promotion</t>
  </si>
  <si>
    <t>Total Sales Pro</t>
  </si>
  <si>
    <t>ASSET NAME</t>
  </si>
  <si>
    <t>TOTAL SALES</t>
  </si>
  <si>
    <t>TOTAL EBITA</t>
  </si>
  <si>
    <t>NET PROFIT/LOSS %</t>
  </si>
  <si>
    <t>PALLADIUM - LOWERPAREL</t>
  </si>
  <si>
    <t>Caffe Allora, Palladium, Mum</t>
  </si>
  <si>
    <t>ChaPalladium, Mum</t>
  </si>
  <si>
    <t>DobaraaPalladium, Mum</t>
  </si>
  <si>
    <t>EightPalladium, Mum</t>
  </si>
  <si>
    <t>FyolePalladium, Mum</t>
  </si>
  <si>
    <t>JuliusPalladium, Mum</t>
  </si>
  <si>
    <t>LegumePalladium, Mum</t>
  </si>
  <si>
    <t>PoultPalladium, Mum</t>
  </si>
  <si>
    <t>BANGALORE- WHITEFIELD</t>
  </si>
  <si>
    <t>Caffe AlloraPMC Blr</t>
  </si>
  <si>
    <t>Cha Cha ChaPMC Blr</t>
  </si>
  <si>
    <t>DobaraaPMC Blr</t>
  </si>
  <si>
    <t>IshaaraPMC Blr</t>
  </si>
  <si>
    <t>KURLA</t>
  </si>
  <si>
    <t>DobaraaPMC Kurla</t>
  </si>
  <si>
    <t>Cream CentrePMC Kurla</t>
  </si>
  <si>
    <t>IshaaraPMC Kurla</t>
  </si>
  <si>
    <t>PUNE- VIMAN NAGAR</t>
  </si>
  <si>
    <t>Caffe AlloraPMC Pune</t>
  </si>
  <si>
    <t>Cha Cha ChaPMC Pune</t>
  </si>
  <si>
    <t>DobaraaPMC Pune</t>
  </si>
  <si>
    <t>IshaaraPMC Pune</t>
  </si>
  <si>
    <t>AHMEDABAD</t>
  </si>
  <si>
    <t>IshaaraPalladium, Ahm</t>
  </si>
  <si>
    <t>PoultPalladium, Ahm</t>
  </si>
  <si>
    <t>Caffe AlloraPalladium, Ahm</t>
  </si>
  <si>
    <t>ChaPalladium, Ahm</t>
  </si>
  <si>
    <t>LUCKNOW</t>
  </si>
  <si>
    <t>IshaaraPallasio Lucknow</t>
  </si>
  <si>
    <t>DobaraaPallasio Lucknow</t>
  </si>
  <si>
    <t>EightPallasio Lucknow</t>
  </si>
  <si>
    <t>BANGALORE- MOA</t>
  </si>
  <si>
    <t>IshaaraMOA Blr</t>
  </si>
  <si>
    <t>DobaraaMOA Blr</t>
  </si>
  <si>
    <t>ChaMOA Blr</t>
  </si>
  <si>
    <t>Caffe AlloraMOA Blr</t>
  </si>
  <si>
    <t>EightMOA Blr</t>
  </si>
  <si>
    <t>FyoleMOA Blr</t>
  </si>
  <si>
    <t>Fyole UGMOA Blr</t>
  </si>
  <si>
    <t>PUNE- WAKAD (MOM)</t>
  </si>
  <si>
    <t>IshaaraMOM Pune</t>
  </si>
  <si>
    <t>PoultMOM Pune</t>
  </si>
  <si>
    <t>Caffe AlloraMOM Pune</t>
  </si>
  <si>
    <t>EightMOM Pune</t>
  </si>
  <si>
    <t>FyoleMOM Pune</t>
  </si>
  <si>
    <t xml:space="preserve">TOTAL Outlets </t>
  </si>
  <si>
    <t>Add: Ho Admin Expense</t>
  </si>
  <si>
    <t>Total Profit /Loss</t>
  </si>
  <si>
    <t>Summary Bellona Profitability-April'2024</t>
  </si>
  <si>
    <t>Cost of Good Sold</t>
  </si>
  <si>
    <t>Gross Profit</t>
  </si>
  <si>
    <t>Occupational Cost</t>
  </si>
  <si>
    <t>Manpower Cost</t>
  </si>
  <si>
    <t>Marketing &amp; Business Promotion Cost</t>
  </si>
  <si>
    <t>Other Operating Cost</t>
  </si>
  <si>
    <t>EBITDA</t>
  </si>
  <si>
    <t>Bellona Profitability for April, 2024</t>
  </si>
  <si>
    <t>Palladium Ahmedabad</t>
  </si>
  <si>
    <t>HSP Mumbai</t>
  </si>
  <si>
    <t>MOA Bangalore</t>
  </si>
  <si>
    <t>PMC Vimaan Nagar</t>
  </si>
  <si>
    <t>Employee PF</t>
  </si>
  <si>
    <t>Employer PF Allocation</t>
  </si>
  <si>
    <t>GST/ VAT</t>
  </si>
  <si>
    <t>Consumables</t>
  </si>
  <si>
    <t>Total Sale (Including Taxes and Service Charges)</t>
  </si>
  <si>
    <t>Net Sale (Excluding Service Charges)</t>
  </si>
  <si>
    <t>Total Sale (Including Services Charges)</t>
  </si>
  <si>
    <t>Service Charges</t>
  </si>
  <si>
    <t>April'24
Total</t>
  </si>
  <si>
    <t>April'23
Total</t>
  </si>
  <si>
    <t>Please Use the below section to Maintain data in same format for the month of May 2024 from Sanjit COGS Report</t>
  </si>
  <si>
    <t>Please Use the below section to Maintain data in same format for the month of May 2024 from Sanjay Ji Sales Summary</t>
  </si>
  <si>
    <t>330001-001</t>
  </si>
  <si>
    <t>Interest on Bank FD</t>
  </si>
  <si>
    <t>410200-004</t>
  </si>
  <si>
    <t>Horticulture - Garden</t>
  </si>
  <si>
    <t>411001-152</t>
  </si>
  <si>
    <t>Repairs &amp; Maintenance - Furniture &amp; Fixtures</t>
  </si>
  <si>
    <t>411001-202</t>
  </si>
  <si>
    <t>Repairs &amp; Maintenance - Computer &amp; IT</t>
  </si>
  <si>
    <t>411001-209</t>
  </si>
  <si>
    <t>420101-016</t>
  </si>
  <si>
    <t>Uniform Allowance</t>
  </si>
  <si>
    <t>420108-001</t>
  </si>
  <si>
    <t>License Fee - Paid</t>
  </si>
  <si>
    <t>420111-211</t>
  </si>
  <si>
    <t>Travelling Local - Employees</t>
  </si>
  <si>
    <t>420113-029</t>
  </si>
  <si>
    <t>Rounding Off Difference</t>
  </si>
  <si>
    <t>420202-004</t>
  </si>
  <si>
    <t>Event Expenses</t>
  </si>
  <si>
    <t>420202-012</t>
  </si>
  <si>
    <t>Event - Decoration</t>
  </si>
  <si>
    <t>420204-003</t>
  </si>
  <si>
    <t>Gifts &amp; Souveniors</t>
  </si>
  <si>
    <t>450002-002</t>
  </si>
  <si>
    <t>Decoration Charges</t>
  </si>
  <si>
    <t>450002-032</t>
  </si>
  <si>
    <t>EDC Rental &amp; Charges</t>
  </si>
  <si>
    <t>Sales for May 2024</t>
  </si>
  <si>
    <t>Difference in GST</t>
  </si>
  <si>
    <t>Difference in VAT</t>
  </si>
  <si>
    <t>GST Formula</t>
  </si>
  <si>
    <t>GST Yardi</t>
  </si>
  <si>
    <t>Diff GST</t>
  </si>
  <si>
    <t>VAT Formula</t>
  </si>
  <si>
    <t>VAT Yardi</t>
  </si>
  <si>
    <t>Diff VAT</t>
  </si>
  <si>
    <t>FYOLE SF</t>
  </si>
  <si>
    <t>Rounded off Diff</t>
  </si>
  <si>
    <t>Net Diff</t>
  </si>
  <si>
    <t>Staff Food &amp; Manager Meal</t>
  </si>
  <si>
    <t>Marketing &amp; Promotion Offers</t>
  </si>
  <si>
    <t>Guest Complimentary &amp; Trails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</si>
</sst>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  <numFmt numFmtId="166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theme="0"/>
      <name val="Verdan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sz val="11"/>
      <name val="Calibri"/>
      <family val="2"/>
      <scheme val="minor"/>
    </font>
    <font>
      <sz val="9"/>
      <color rgb="FF000000"/>
      <name val="Verdana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medium">
        <color indexed="64"/>
      </left>
      <right style="thin">
        <color theme="5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5" tint="-0.24994659260841701"/>
      </left>
      <right style="thin">
        <color theme="5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5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43" fontId="11" fillId="0" borderId="0" applyFont="0" applyFill="0" applyBorder="0" applyAlignment="0" applyProtection="0"/>
    <xf numFmtId="0" fontId="15" fillId="0" borderId="0"/>
    <xf numFmtId="0" fontId="17" fillId="0" borderId="0"/>
    <xf numFmtId="165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3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4" fontId="3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5" fillId="0" borderId="4" xfId="0" applyFont="1" applyBorder="1" applyAlignment="1">
      <alignment wrapText="1"/>
    </xf>
    <xf numFmtId="0" fontId="6" fillId="0" borderId="0" xfId="0" quotePrefix="1" applyFont="1" applyAlignment="1">
      <alignment wrapText="1"/>
    </xf>
    <xf numFmtId="0" fontId="5" fillId="0" borderId="7" xfId="0" applyFont="1" applyBorder="1" applyAlignment="1">
      <alignment wrapText="1"/>
    </xf>
    <xf numFmtId="0" fontId="0" fillId="0" borderId="8" xfId="0" applyBorder="1" applyAlignment="1">
      <alignment wrapText="1"/>
    </xf>
    <xf numFmtId="0" fontId="5" fillId="0" borderId="8" xfId="0" applyFont="1" applyBorder="1" applyAlignment="1">
      <alignment wrapText="1"/>
    </xf>
    <xf numFmtId="0" fontId="7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8" xfId="0" applyFont="1" applyBorder="1" applyAlignment="1" applyProtection="1">
      <alignment wrapText="1"/>
      <protection locked="0"/>
    </xf>
    <xf numFmtId="0" fontId="5" fillId="0" borderId="9" xfId="0" applyFont="1" applyBorder="1" applyAlignment="1" applyProtection="1">
      <alignment wrapText="1"/>
      <protection locked="0"/>
    </xf>
    <xf numFmtId="0" fontId="0" fillId="0" borderId="0" xfId="0" applyAlignment="1">
      <alignment vertical="top"/>
    </xf>
    <xf numFmtId="0" fontId="5" fillId="4" borderId="0" xfId="0" applyFont="1" applyFill="1"/>
    <xf numFmtId="0" fontId="5" fillId="0" borderId="0" xfId="0" applyFont="1" applyAlignment="1">
      <alignment wrapText="1"/>
    </xf>
    <xf numFmtId="0" fontId="5" fillId="3" borderId="13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  <xf numFmtId="0" fontId="5" fillId="3" borderId="15" xfId="0" applyFont="1" applyFill="1" applyBorder="1" applyAlignment="1">
      <alignment vertical="center" wrapText="1"/>
    </xf>
    <xf numFmtId="0" fontId="0" fillId="0" borderId="12" xfId="0" applyBorder="1"/>
    <xf numFmtId="0" fontId="0" fillId="0" borderId="11" xfId="0" applyBorder="1"/>
    <xf numFmtId="0" fontId="0" fillId="0" borderId="15" xfId="0" applyBorder="1"/>
    <xf numFmtId="0" fontId="0" fillId="0" borderId="10" xfId="0" applyBorder="1"/>
    <xf numFmtId="0" fontId="0" fillId="0" borderId="6" xfId="0" applyBorder="1"/>
    <xf numFmtId="0" fontId="5" fillId="0" borderId="5" xfId="0" applyFont="1" applyBorder="1" applyAlignment="1">
      <alignment wrapText="1"/>
    </xf>
    <xf numFmtId="0" fontId="0" fillId="0" borderId="10" xfId="0" applyBorder="1" applyAlignment="1">
      <alignment wrapText="1"/>
    </xf>
    <xf numFmtId="0" fontId="5" fillId="0" borderId="10" xfId="0" applyFont="1" applyBorder="1" applyAlignment="1">
      <alignment wrapText="1"/>
    </xf>
    <xf numFmtId="0" fontId="7" fillId="0" borderId="10" xfId="0" applyFont="1" applyBorder="1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5" fillId="0" borderId="10" xfId="0" applyFont="1" applyBorder="1" applyAlignment="1" applyProtection="1">
      <alignment wrapText="1"/>
      <protection locked="0"/>
    </xf>
    <xf numFmtId="0" fontId="5" fillId="0" borderId="6" xfId="0" applyFont="1" applyBorder="1" applyAlignment="1" applyProtection="1">
      <alignment wrapText="1"/>
      <protection locked="0"/>
    </xf>
    <xf numFmtId="0" fontId="0" fillId="0" borderId="7" xfId="0" applyBorder="1" applyAlignment="1">
      <alignment wrapText="1"/>
    </xf>
    <xf numFmtId="0" fontId="5" fillId="0" borderId="11" xfId="0" applyFont="1" applyBorder="1"/>
    <xf numFmtId="0" fontId="5" fillId="0" borderId="10" xfId="0" applyFont="1" applyBorder="1"/>
    <xf numFmtId="0" fontId="5" fillId="0" borderId="11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5" fillId="0" borderId="0" xfId="0" applyFont="1"/>
    <xf numFmtId="0" fontId="0" fillId="6" borderId="10" xfId="0" applyFill="1" applyBorder="1"/>
    <xf numFmtId="0" fontId="0" fillId="6" borderId="11" xfId="0" applyFill="1" applyBorder="1"/>
    <xf numFmtId="0" fontId="5" fillId="6" borderId="8" xfId="0" applyFont="1" applyFill="1" applyBorder="1" applyAlignment="1">
      <alignment wrapText="1"/>
    </xf>
    <xf numFmtId="0" fontId="5" fillId="6" borderId="10" xfId="0" applyFont="1" applyFill="1" applyBorder="1" applyAlignment="1">
      <alignment wrapText="1"/>
    </xf>
    <xf numFmtId="0" fontId="0" fillId="7" borderId="10" xfId="0" applyFill="1" applyBorder="1"/>
    <xf numFmtId="0" fontId="0" fillId="7" borderId="11" xfId="0" applyFill="1" applyBorder="1"/>
    <xf numFmtId="0" fontId="5" fillId="7" borderId="8" xfId="0" applyFont="1" applyFill="1" applyBorder="1" applyAlignment="1">
      <alignment wrapText="1"/>
    </xf>
    <xf numFmtId="0" fontId="5" fillId="7" borderId="10" xfId="0" applyFont="1" applyFill="1" applyBorder="1" applyAlignment="1">
      <alignment wrapText="1"/>
    </xf>
    <xf numFmtId="0" fontId="5" fillId="8" borderId="8" xfId="0" applyFont="1" applyFill="1" applyBorder="1" applyAlignment="1">
      <alignment wrapText="1"/>
    </xf>
    <xf numFmtId="0" fontId="0" fillId="8" borderId="8" xfId="0" applyFill="1" applyBorder="1" applyAlignment="1">
      <alignment wrapText="1"/>
    </xf>
    <xf numFmtId="0" fontId="9" fillId="0" borderId="19" xfId="0" applyFont="1" applyBorder="1" applyAlignment="1">
      <alignment horizontal="center" vertical="center"/>
    </xf>
    <xf numFmtId="0" fontId="0" fillId="0" borderId="19" xfId="0" applyBorder="1"/>
    <xf numFmtId="0" fontId="5" fillId="0" borderId="19" xfId="0" applyFont="1" applyBorder="1"/>
    <xf numFmtId="0" fontId="0" fillId="8" borderId="8" xfId="0" applyFill="1" applyBorder="1" applyAlignment="1">
      <alignment horizontal="left" wrapText="1"/>
    </xf>
    <xf numFmtId="17" fontId="5" fillId="0" borderId="19" xfId="0" applyNumberFormat="1" applyFont="1" applyBorder="1"/>
    <xf numFmtId="0" fontId="5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9" xfId="0" applyNumberFormat="1" applyBorder="1"/>
    <xf numFmtId="4" fontId="0" fillId="0" borderId="0" xfId="0" applyNumberFormat="1"/>
    <xf numFmtId="0" fontId="0" fillId="0" borderId="19" xfId="0" applyBorder="1" applyAlignment="1">
      <alignment wrapText="1"/>
    </xf>
    <xf numFmtId="0" fontId="0" fillId="0" borderId="8" xfId="0" applyBorder="1"/>
    <xf numFmtId="0" fontId="0" fillId="0" borderId="20" xfId="0" applyBorder="1"/>
    <xf numFmtId="0" fontId="0" fillId="0" borderId="9" xfId="0" applyBorder="1"/>
    <xf numFmtId="0" fontId="0" fillId="0" borderId="9" xfId="0" applyBorder="1" applyAlignment="1" applyProtection="1">
      <alignment wrapText="1"/>
      <protection locked="0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21" xfId="0" applyBorder="1"/>
    <xf numFmtId="10" fontId="0" fillId="0" borderId="11" xfId="0" applyNumberFormat="1" applyBorder="1"/>
    <xf numFmtId="0" fontId="5" fillId="3" borderId="17" xfId="0" applyFont="1" applyFill="1" applyBorder="1" applyAlignment="1">
      <alignment horizontal="center" vertical="center" wrapText="1"/>
    </xf>
    <xf numFmtId="17" fontId="4" fillId="0" borderId="0" xfId="0" applyNumberFormat="1" applyFont="1" applyAlignment="1">
      <alignment horizontal="left" vertical="center"/>
    </xf>
    <xf numFmtId="0" fontId="4" fillId="10" borderId="2" xfId="0" applyFont="1" applyFill="1" applyBorder="1" applyAlignment="1">
      <alignment horizontal="left" vertical="center"/>
    </xf>
    <xf numFmtId="0" fontId="0" fillId="10" borderId="0" xfId="0" applyFill="1"/>
    <xf numFmtId="4" fontId="4" fillId="10" borderId="2" xfId="0" applyNumberFormat="1" applyFont="1" applyFill="1" applyBorder="1" applyAlignment="1">
      <alignment horizontal="right" vertical="center"/>
    </xf>
    <xf numFmtId="4" fontId="3" fillId="10" borderId="3" xfId="0" applyNumberFormat="1" applyFont="1" applyFill="1" applyBorder="1" applyAlignment="1">
      <alignment horizontal="right" vertical="center"/>
    </xf>
    <xf numFmtId="0" fontId="0" fillId="5" borderId="0" xfId="0" applyFill="1"/>
    <xf numFmtId="4" fontId="4" fillId="8" borderId="0" xfId="0" applyNumberFormat="1" applyFont="1" applyFill="1" applyAlignment="1">
      <alignment horizontal="right" vertical="center"/>
    </xf>
    <xf numFmtId="4" fontId="4" fillId="8" borderId="2" xfId="0" applyNumberFormat="1" applyFont="1" applyFill="1" applyBorder="1" applyAlignment="1">
      <alignment horizontal="right" vertical="center"/>
    </xf>
    <xf numFmtId="0" fontId="5" fillId="3" borderId="5" xfId="0" applyFont="1" applyFill="1" applyBorder="1" applyAlignment="1">
      <alignment vertical="center" wrapText="1"/>
    </xf>
    <xf numFmtId="0" fontId="0" fillId="0" borderId="8" xfId="0" applyBorder="1" applyAlignment="1">
      <alignment horizontal="left" wrapText="1"/>
    </xf>
    <xf numFmtId="164" fontId="0" fillId="0" borderId="10" xfId="1" applyNumberFormat="1" applyFont="1" applyFill="1" applyBorder="1" applyAlignment="1">
      <alignment wrapText="1"/>
    </xf>
    <xf numFmtId="0" fontId="12" fillId="0" borderId="0" xfId="0" quotePrefix="1" applyFont="1" applyAlignment="1">
      <alignment wrapText="1"/>
    </xf>
    <xf numFmtId="0" fontId="0" fillId="0" borderId="23" xfId="0" applyBorder="1"/>
    <xf numFmtId="0" fontId="0" fillId="0" borderId="18" xfId="0" applyBorder="1"/>
    <xf numFmtId="0" fontId="3" fillId="2" borderId="23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17" fontId="5" fillId="3" borderId="23" xfId="0" applyNumberFormat="1" applyFont="1" applyFill="1" applyBorder="1" applyAlignment="1">
      <alignment horizontal="center" vertical="center" wrapText="1"/>
    </xf>
    <xf numFmtId="17" fontId="5" fillId="3" borderId="17" xfId="0" applyNumberFormat="1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5" fillId="3" borderId="55" xfId="0" applyFont="1" applyFill="1" applyBorder="1" applyAlignment="1">
      <alignment horizontal="center" vertical="center" wrapText="1"/>
    </xf>
    <xf numFmtId="164" fontId="0" fillId="0" borderId="33" xfId="1" applyNumberFormat="1" applyFont="1" applyBorder="1"/>
    <xf numFmtId="164" fontId="0" fillId="0" borderId="36" xfId="1" applyNumberFormat="1" applyFont="1" applyBorder="1"/>
    <xf numFmtId="164" fontId="0" fillId="0" borderId="44" xfId="1" applyNumberFormat="1" applyFont="1" applyBorder="1"/>
    <xf numFmtId="164" fontId="0" fillId="0" borderId="30" xfId="1" applyNumberFormat="1" applyFont="1" applyBorder="1"/>
    <xf numFmtId="164" fontId="0" fillId="0" borderId="25" xfId="1" applyNumberFormat="1" applyFont="1" applyBorder="1"/>
    <xf numFmtId="164" fontId="0" fillId="0" borderId="24" xfId="1" applyNumberFormat="1" applyFont="1" applyBorder="1"/>
    <xf numFmtId="164" fontId="0" fillId="0" borderId="26" xfId="1" applyNumberFormat="1" applyFont="1" applyBorder="1"/>
    <xf numFmtId="164" fontId="0" fillId="0" borderId="0" xfId="1" applyNumberFormat="1" applyFont="1"/>
    <xf numFmtId="164" fontId="0" fillId="0" borderId="8" xfId="1" applyNumberFormat="1" applyFont="1" applyBorder="1"/>
    <xf numFmtId="164" fontId="0" fillId="0" borderId="37" xfId="1" applyNumberFormat="1" applyFont="1" applyBorder="1"/>
    <xf numFmtId="164" fontId="0" fillId="0" borderId="47" xfId="1" applyNumberFormat="1" applyFont="1" applyBorder="1"/>
    <xf numFmtId="164" fontId="0" fillId="0" borderId="7" xfId="1" applyNumberFormat="1" applyFont="1" applyBorder="1"/>
    <xf numFmtId="164" fontId="0" fillId="0" borderId="21" xfId="1" applyNumberFormat="1" applyFont="1" applyBorder="1"/>
    <xf numFmtId="164" fontId="0" fillId="0" borderId="19" xfId="1" applyNumberFormat="1" applyFont="1" applyBorder="1"/>
    <xf numFmtId="164" fontId="0" fillId="0" borderId="34" xfId="1" applyNumberFormat="1" applyFont="1" applyBorder="1"/>
    <xf numFmtId="164" fontId="0" fillId="0" borderId="35" xfId="1" applyNumberFormat="1" applyFont="1" applyBorder="1"/>
    <xf numFmtId="164" fontId="0" fillId="0" borderId="9" xfId="1" applyNumberFormat="1" applyFont="1" applyBorder="1"/>
    <xf numFmtId="164" fontId="0" fillId="0" borderId="38" xfId="1" applyNumberFormat="1" applyFont="1" applyBorder="1"/>
    <xf numFmtId="164" fontId="0" fillId="0" borderId="6" xfId="1" applyNumberFormat="1" applyFont="1" applyBorder="1"/>
    <xf numFmtId="164" fontId="0" fillId="0" borderId="45" xfId="1" applyNumberFormat="1" applyFont="1" applyBorder="1"/>
    <xf numFmtId="164" fontId="0" fillId="0" borderId="31" xfId="1" applyNumberFormat="1" applyFont="1" applyBorder="1"/>
    <xf numFmtId="164" fontId="0" fillId="0" borderId="28" xfId="1" applyNumberFormat="1" applyFont="1" applyBorder="1"/>
    <xf numFmtId="164" fontId="0" fillId="0" borderId="53" xfId="1" applyNumberFormat="1" applyFont="1" applyBorder="1"/>
    <xf numFmtId="164" fontId="0" fillId="0" borderId="27" xfId="1" applyNumberFormat="1" applyFont="1" applyBorder="1"/>
    <xf numFmtId="164" fontId="0" fillId="0" borderId="29" xfId="1" applyNumberFormat="1" applyFont="1" applyBorder="1"/>
    <xf numFmtId="164" fontId="0" fillId="0" borderId="15" xfId="1" applyNumberFormat="1" applyFont="1" applyBorder="1"/>
    <xf numFmtId="164" fontId="0" fillId="0" borderId="14" xfId="1" applyNumberFormat="1" applyFont="1" applyBorder="1"/>
    <xf numFmtId="164" fontId="0" fillId="0" borderId="49" xfId="1" applyNumberFormat="1" applyFont="1" applyBorder="1"/>
    <xf numFmtId="164" fontId="0" fillId="0" borderId="50" xfId="1" applyNumberFormat="1" applyFont="1" applyBorder="1"/>
    <xf numFmtId="164" fontId="0" fillId="0" borderId="54" xfId="1" applyNumberFormat="1" applyFont="1" applyBorder="1"/>
    <xf numFmtId="164" fontId="0" fillId="0" borderId="56" xfId="1" applyNumberFormat="1" applyFont="1" applyBorder="1"/>
    <xf numFmtId="164" fontId="0" fillId="0" borderId="51" xfId="1" applyNumberFormat="1" applyFont="1" applyBorder="1"/>
    <xf numFmtId="164" fontId="5" fillId="0" borderId="23" xfId="1" applyNumberFormat="1" applyFont="1" applyBorder="1"/>
    <xf numFmtId="164" fontId="5" fillId="0" borderId="18" xfId="1" applyNumberFormat="1" applyFont="1" applyBorder="1"/>
    <xf numFmtId="164" fontId="5" fillId="0" borderId="17" xfId="1" applyNumberFormat="1" applyFont="1" applyBorder="1"/>
    <xf numFmtId="164" fontId="5" fillId="0" borderId="41" xfId="1" applyNumberFormat="1" applyFont="1" applyBorder="1"/>
    <xf numFmtId="164" fontId="5" fillId="0" borderId="42" xfId="1" applyNumberFormat="1" applyFont="1" applyBorder="1"/>
    <xf numFmtId="164" fontId="5" fillId="0" borderId="52" xfId="1" applyNumberFormat="1" applyFont="1" applyBorder="1"/>
    <xf numFmtId="164" fontId="5" fillId="0" borderId="55" xfId="1" applyNumberFormat="1" applyFont="1" applyBorder="1"/>
    <xf numFmtId="164" fontId="5" fillId="0" borderId="43" xfId="1" applyNumberFormat="1" applyFont="1" applyBorder="1"/>
    <xf numFmtId="164" fontId="0" fillId="0" borderId="39" xfId="1" applyNumberFormat="1" applyFont="1" applyBorder="1"/>
    <xf numFmtId="164" fontId="0" fillId="0" borderId="46" xfId="1" applyNumberFormat="1" applyFont="1" applyBorder="1"/>
    <xf numFmtId="164" fontId="0" fillId="0" borderId="32" xfId="1" applyNumberFormat="1" applyFont="1" applyBorder="1"/>
    <xf numFmtId="164" fontId="13" fillId="0" borderId="23" xfId="1" applyNumberFormat="1" applyFont="1" applyBorder="1"/>
    <xf numFmtId="164" fontId="5" fillId="0" borderId="0" xfId="1" applyNumberFormat="1" applyFont="1"/>
    <xf numFmtId="164" fontId="0" fillId="0" borderId="22" xfId="1" applyNumberFormat="1" applyFont="1" applyBorder="1"/>
    <xf numFmtId="0" fontId="0" fillId="0" borderId="0" xfId="0" applyAlignment="1">
      <alignment wrapText="1"/>
    </xf>
    <xf numFmtId="164" fontId="14" fillId="0" borderId="60" xfId="1" applyNumberFormat="1" applyFont="1" applyBorder="1"/>
    <xf numFmtId="164" fontId="14" fillId="0" borderId="61" xfId="1" applyNumberFormat="1" applyFont="1" applyBorder="1"/>
    <xf numFmtId="164" fontId="14" fillId="0" borderId="62" xfId="1" applyNumberFormat="1" applyFont="1" applyBorder="1"/>
    <xf numFmtId="164" fontId="14" fillId="0" borderId="63" xfId="1" applyNumberFormat="1" applyFont="1" applyBorder="1"/>
    <xf numFmtId="0" fontId="15" fillId="0" borderId="0" xfId="2"/>
    <xf numFmtId="0" fontId="16" fillId="0" borderId="42" xfId="2" applyFont="1" applyBorder="1"/>
    <xf numFmtId="0" fontId="16" fillId="0" borderId="43" xfId="2" applyFont="1" applyBorder="1"/>
    <xf numFmtId="0" fontId="15" fillId="0" borderId="22" xfId="2" applyBorder="1"/>
    <xf numFmtId="164" fontId="15" fillId="0" borderId="22" xfId="1" applyNumberFormat="1" applyFont="1" applyBorder="1"/>
    <xf numFmtId="164" fontId="16" fillId="0" borderId="22" xfId="1" applyNumberFormat="1" applyFont="1" applyBorder="1"/>
    <xf numFmtId="164" fontId="16" fillId="0" borderId="48" xfId="1" applyNumberFormat="1" applyFont="1" applyBorder="1"/>
    <xf numFmtId="0" fontId="15" fillId="0" borderId="19" xfId="2" applyBorder="1"/>
    <xf numFmtId="164" fontId="15" fillId="0" borderId="19" xfId="1" applyNumberFormat="1" applyFont="1" applyBorder="1"/>
    <xf numFmtId="0" fontId="15" fillId="0" borderId="65" xfId="2" applyBorder="1"/>
    <xf numFmtId="164" fontId="15" fillId="0" borderId="65" xfId="1" applyNumberFormat="1" applyFont="1" applyBorder="1"/>
    <xf numFmtId="164" fontId="16" fillId="0" borderId="43" xfId="1" applyNumberFormat="1" applyFont="1" applyBorder="1"/>
    <xf numFmtId="0" fontId="15" fillId="0" borderId="0" xfId="2" applyAlignment="1">
      <alignment wrapText="1"/>
    </xf>
    <xf numFmtId="0" fontId="18" fillId="2" borderId="1" xfId="3" applyFont="1" applyFill="1" applyBorder="1" applyAlignment="1">
      <alignment horizontal="center" vertical="center"/>
    </xf>
    <xf numFmtId="17" fontId="18" fillId="2" borderId="1" xfId="3" applyNumberFormat="1" applyFont="1" applyFill="1" applyBorder="1" applyAlignment="1">
      <alignment horizontal="center" vertical="center"/>
    </xf>
    <xf numFmtId="0" fontId="19" fillId="0" borderId="0" xfId="3" applyFont="1"/>
    <xf numFmtId="166" fontId="19" fillId="0" borderId="0" xfId="4" applyNumberFormat="1" applyFont="1"/>
    <xf numFmtId="0" fontId="19" fillId="0" borderId="0" xfId="3" applyFont="1" applyAlignment="1">
      <alignment horizontal="center"/>
    </xf>
    <xf numFmtId="166" fontId="19" fillId="0" borderId="0" xfId="3" applyNumberFormat="1" applyFont="1"/>
    <xf numFmtId="165" fontId="19" fillId="0" borderId="0" xfId="4" applyFont="1" applyAlignment="1">
      <alignment horizontal="center"/>
    </xf>
    <xf numFmtId="165" fontId="19" fillId="0" borderId="0" xfId="4" applyFont="1"/>
    <xf numFmtId="166" fontId="19" fillId="0" borderId="19" xfId="4" applyNumberFormat="1" applyFont="1" applyBorder="1" applyAlignment="1">
      <alignment horizontal="center"/>
    </xf>
    <xf numFmtId="166" fontId="19" fillId="0" borderId="19" xfId="3" applyNumberFormat="1" applyFont="1" applyBorder="1" applyAlignment="1">
      <alignment horizontal="center"/>
    </xf>
    <xf numFmtId="166" fontId="19" fillId="0" borderId="19" xfId="4" applyNumberFormat="1" applyFont="1" applyBorder="1"/>
    <xf numFmtId="0" fontId="19" fillId="0" borderId="19" xfId="3" applyFont="1" applyBorder="1" applyAlignment="1">
      <alignment horizontal="left"/>
    </xf>
    <xf numFmtId="0" fontId="19" fillId="0" borderId="19" xfId="3" applyFont="1" applyBorder="1" applyAlignment="1">
      <alignment horizontal="center"/>
    </xf>
    <xf numFmtId="165" fontId="19" fillId="0" borderId="19" xfId="4" applyFont="1" applyBorder="1" applyAlignment="1">
      <alignment horizontal="center"/>
    </xf>
    <xf numFmtId="0" fontId="19" fillId="0" borderId="22" xfId="3" applyFont="1" applyBorder="1" applyAlignment="1">
      <alignment horizontal="left"/>
    </xf>
    <xf numFmtId="0" fontId="19" fillId="0" borderId="22" xfId="3" applyFont="1" applyBorder="1" applyAlignment="1">
      <alignment horizontal="center"/>
    </xf>
    <xf numFmtId="166" fontId="19" fillId="0" borderId="22" xfId="4" applyNumberFormat="1" applyFont="1" applyBorder="1" applyAlignment="1">
      <alignment horizontal="center"/>
    </xf>
    <xf numFmtId="166" fontId="19" fillId="0" borderId="22" xfId="4" applyNumberFormat="1" applyFont="1" applyBorder="1"/>
    <xf numFmtId="0" fontId="19" fillId="0" borderId="22" xfId="3" applyFont="1" applyBorder="1"/>
    <xf numFmtId="166" fontId="19" fillId="0" borderId="22" xfId="3" applyNumberFormat="1" applyFont="1" applyBorder="1" applyAlignment="1">
      <alignment horizontal="center"/>
    </xf>
    <xf numFmtId="0" fontId="18" fillId="2" borderId="66" xfId="3" applyFont="1" applyFill="1" applyBorder="1" applyAlignment="1">
      <alignment horizontal="center" vertical="center"/>
    </xf>
    <xf numFmtId="166" fontId="19" fillId="0" borderId="67" xfId="3" applyNumberFormat="1" applyFont="1" applyBorder="1" applyAlignment="1">
      <alignment horizontal="center"/>
    </xf>
    <xf numFmtId="166" fontId="19" fillId="0" borderId="4" xfId="3" applyNumberFormat="1" applyFont="1" applyBorder="1" applyAlignment="1">
      <alignment horizontal="center"/>
    </xf>
    <xf numFmtId="166" fontId="19" fillId="0" borderId="53" xfId="3" applyNumberFormat="1" applyFont="1" applyBorder="1" applyAlignment="1">
      <alignment horizontal="center"/>
    </xf>
    <xf numFmtId="17" fontId="18" fillId="2" borderId="5" xfId="3" applyNumberFormat="1" applyFont="1" applyFill="1" applyBorder="1" applyAlignment="1">
      <alignment horizontal="center" vertical="center" wrapText="1"/>
    </xf>
    <xf numFmtId="166" fontId="19" fillId="0" borderId="33" xfId="4" applyNumberFormat="1" applyFont="1" applyBorder="1"/>
    <xf numFmtId="166" fontId="19" fillId="0" borderId="8" xfId="4" applyNumberFormat="1" applyFont="1" applyBorder="1"/>
    <xf numFmtId="166" fontId="19" fillId="11" borderId="8" xfId="4" applyNumberFormat="1" applyFont="1" applyFill="1" applyBorder="1"/>
    <xf numFmtId="166" fontId="19" fillId="0" borderId="9" xfId="4" applyNumberFormat="1" applyFont="1" applyBorder="1"/>
    <xf numFmtId="0" fontId="18" fillId="2" borderId="68" xfId="3" applyFont="1" applyFill="1" applyBorder="1" applyAlignment="1">
      <alignment horizontal="center" vertical="center"/>
    </xf>
    <xf numFmtId="166" fontId="19" fillId="0" borderId="30" xfId="4" applyNumberFormat="1" applyFont="1" applyBorder="1" applyAlignment="1">
      <alignment horizontal="center"/>
    </xf>
    <xf numFmtId="166" fontId="19" fillId="0" borderId="21" xfId="4" applyNumberFormat="1" applyFont="1" applyBorder="1" applyAlignment="1">
      <alignment horizontal="center"/>
    </xf>
    <xf numFmtId="166" fontId="19" fillId="0" borderId="31" xfId="4" applyNumberFormat="1" applyFont="1" applyBorder="1" applyAlignment="1">
      <alignment horizontal="center"/>
    </xf>
    <xf numFmtId="0" fontId="18" fillId="2" borderId="5" xfId="3" applyFont="1" applyFill="1" applyBorder="1" applyAlignment="1">
      <alignment horizontal="center" vertical="center"/>
    </xf>
    <xf numFmtId="166" fontId="19" fillId="0" borderId="33" xfId="4" applyNumberFormat="1" applyFont="1" applyBorder="1" applyAlignment="1">
      <alignment horizontal="center"/>
    </xf>
    <xf numFmtId="166" fontId="19" fillId="0" borderId="8" xfId="4" applyNumberFormat="1" applyFont="1" applyBorder="1" applyAlignment="1">
      <alignment horizontal="center"/>
    </xf>
    <xf numFmtId="166" fontId="19" fillId="0" borderId="9" xfId="4" applyNumberFormat="1" applyFont="1" applyBorder="1" applyAlignment="1">
      <alignment horizontal="center"/>
    </xf>
    <xf numFmtId="0" fontId="18" fillId="2" borderId="69" xfId="3" applyFont="1" applyFill="1" applyBorder="1" applyAlignment="1">
      <alignment horizontal="center" vertical="center"/>
    </xf>
    <xf numFmtId="166" fontId="19" fillId="0" borderId="44" xfId="4" applyNumberFormat="1" applyFont="1" applyBorder="1" applyAlignment="1">
      <alignment horizontal="center"/>
    </xf>
    <xf numFmtId="166" fontId="19" fillId="0" borderId="47" xfId="4" applyNumberFormat="1" applyFont="1" applyBorder="1" applyAlignment="1">
      <alignment horizontal="center"/>
    </xf>
    <xf numFmtId="166" fontId="19" fillId="0" borderId="45" xfId="4" applyNumberFormat="1" applyFont="1" applyBorder="1" applyAlignment="1">
      <alignment horizontal="center"/>
    </xf>
    <xf numFmtId="166" fontId="18" fillId="0" borderId="23" xfId="4" applyNumberFormat="1" applyFont="1" applyBorder="1" applyAlignment="1">
      <alignment horizontal="center"/>
    </xf>
    <xf numFmtId="166" fontId="18" fillId="0" borderId="17" xfId="4" applyNumberFormat="1" applyFont="1" applyBorder="1" applyAlignment="1">
      <alignment horizontal="center"/>
    </xf>
    <xf numFmtId="166" fontId="18" fillId="0" borderId="41" xfId="4" applyNumberFormat="1" applyFont="1" applyBorder="1" applyAlignment="1">
      <alignment horizontal="center"/>
    </xf>
    <xf numFmtId="166" fontId="18" fillId="0" borderId="52" xfId="3" applyNumberFormat="1" applyFont="1" applyBorder="1" applyAlignment="1">
      <alignment horizontal="center"/>
    </xf>
    <xf numFmtId="166" fontId="18" fillId="0" borderId="0" xfId="3" applyNumberFormat="1" applyFont="1"/>
    <xf numFmtId="0" fontId="18" fillId="0" borderId="0" xfId="3" applyFont="1"/>
    <xf numFmtId="0" fontId="20" fillId="0" borderId="0" xfId="0" applyFont="1"/>
    <xf numFmtId="0" fontId="20" fillId="0" borderId="0" xfId="0" applyFont="1" applyAlignment="1">
      <alignment horizontal="center"/>
    </xf>
    <xf numFmtId="166" fontId="20" fillId="0" borderId="0" xfId="5" applyNumberFormat="1" applyFont="1"/>
    <xf numFmtId="165" fontId="20" fillId="0" borderId="0" xfId="5" applyFont="1"/>
    <xf numFmtId="165" fontId="21" fillId="0" borderId="0" xfId="5" applyFont="1" applyAlignment="1">
      <alignment horizontal="center"/>
    </xf>
    <xf numFmtId="166" fontId="21" fillId="0" borderId="0" xfId="5" applyNumberFormat="1" applyFont="1" applyAlignment="1">
      <alignment horizontal="center"/>
    </xf>
    <xf numFmtId="0" fontId="18" fillId="0" borderId="44" xfId="3" applyFont="1" applyBorder="1" applyAlignment="1">
      <alignment horizontal="center"/>
    </xf>
    <xf numFmtId="0" fontId="18" fillId="0" borderId="47" xfId="3" applyFont="1" applyBorder="1" applyAlignment="1">
      <alignment horizontal="center"/>
    </xf>
    <xf numFmtId="0" fontId="19" fillId="0" borderId="47" xfId="3" applyFont="1" applyBorder="1" applyAlignment="1">
      <alignment horizontal="center"/>
    </xf>
    <xf numFmtId="0" fontId="19" fillId="0" borderId="45" xfId="3" applyFont="1" applyBorder="1" applyAlignment="1">
      <alignment horizontal="center"/>
    </xf>
    <xf numFmtId="0" fontId="18" fillId="0" borderId="17" xfId="3" applyFont="1" applyBorder="1" applyAlignment="1">
      <alignment horizontal="center"/>
    </xf>
    <xf numFmtId="0" fontId="18" fillId="0" borderId="33" xfId="3" applyFont="1" applyBorder="1" applyAlignment="1">
      <alignment horizontal="left"/>
    </xf>
    <xf numFmtId="0" fontId="19" fillId="0" borderId="8" xfId="3" applyFont="1" applyBorder="1" applyAlignment="1">
      <alignment horizontal="left"/>
    </xf>
    <xf numFmtId="0" fontId="18" fillId="0" borderId="8" xfId="3" applyFont="1" applyBorder="1" applyAlignment="1">
      <alignment horizontal="left"/>
    </xf>
    <xf numFmtId="0" fontId="19" fillId="0" borderId="8" xfId="3" applyFont="1" applyBorder="1"/>
    <xf numFmtId="0" fontId="19" fillId="0" borderId="9" xfId="3" applyFont="1" applyBorder="1" applyAlignment="1">
      <alignment horizontal="left"/>
    </xf>
    <xf numFmtId="0" fontId="18" fillId="0" borderId="23" xfId="3" applyFont="1" applyBorder="1"/>
    <xf numFmtId="0" fontId="3" fillId="2" borderId="1" xfId="0" applyFont="1" applyFill="1" applyBorder="1" applyAlignment="1">
      <alignment horizontal="center" vertical="center" wrapText="1"/>
    </xf>
    <xf numFmtId="164" fontId="0" fillId="0" borderId="0" xfId="1" applyNumberFormat="1" applyFont="1" applyFill="1" applyBorder="1"/>
    <xf numFmtId="43" fontId="0" fillId="0" borderId="0" xfId="1" applyFont="1"/>
    <xf numFmtId="43" fontId="5" fillId="8" borderId="55" xfId="1" applyFont="1" applyFill="1" applyBorder="1" applyAlignment="1">
      <alignment horizontal="center" vertical="center"/>
    </xf>
    <xf numFmtId="43" fontId="5" fillId="8" borderId="42" xfId="1" applyFont="1" applyFill="1" applyBorder="1" applyAlignment="1">
      <alignment horizontal="center" vertical="center"/>
    </xf>
    <xf numFmtId="43" fontId="5" fillId="8" borderId="52" xfId="1" applyFont="1" applyFill="1" applyBorder="1" applyAlignment="1">
      <alignment horizontal="center" vertical="center"/>
    </xf>
    <xf numFmtId="43" fontId="5" fillId="8" borderId="43" xfId="1" applyFont="1" applyFill="1" applyBorder="1" applyAlignment="1">
      <alignment horizontal="center" vertical="center"/>
    </xf>
    <xf numFmtId="43" fontId="5" fillId="8" borderId="56" xfId="1" applyFont="1" applyFill="1" applyBorder="1" applyAlignment="1">
      <alignment horizontal="center" vertical="center"/>
    </xf>
    <xf numFmtId="43" fontId="5" fillId="8" borderId="50" xfId="1" applyFont="1" applyFill="1" applyBorder="1" applyAlignment="1">
      <alignment horizontal="center" vertical="center"/>
    </xf>
    <xf numFmtId="43" fontId="5" fillId="8" borderId="54" xfId="1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5" fillId="0" borderId="46" xfId="0" applyFont="1" applyBorder="1"/>
    <xf numFmtId="0" fontId="5" fillId="0" borderId="74" xfId="0" applyFont="1" applyBorder="1"/>
    <xf numFmtId="43" fontId="0" fillId="0" borderId="57" xfId="1" applyFont="1" applyBorder="1"/>
    <xf numFmtId="43" fontId="0" fillId="0" borderId="22" xfId="1" applyFont="1" applyBorder="1"/>
    <xf numFmtId="43" fontId="0" fillId="0" borderId="75" xfId="1" applyFont="1" applyBorder="1"/>
    <xf numFmtId="43" fontId="0" fillId="0" borderId="39" xfId="1" applyFont="1" applyBorder="1"/>
    <xf numFmtId="43" fontId="0" fillId="0" borderId="7" xfId="1" applyFont="1" applyBorder="1"/>
    <xf numFmtId="43" fontId="0" fillId="0" borderId="74" xfId="0" applyNumberFormat="1" applyBorder="1"/>
    <xf numFmtId="43" fontId="0" fillId="0" borderId="74" xfId="1" applyFont="1" applyBorder="1"/>
    <xf numFmtId="43" fontId="0" fillId="6" borderId="7" xfId="0" applyNumberFormat="1" applyFill="1" applyBorder="1"/>
    <xf numFmtId="0" fontId="5" fillId="0" borderId="47" xfId="0" applyFont="1" applyBorder="1"/>
    <xf numFmtId="0" fontId="5" fillId="0" borderId="76" xfId="0" applyFont="1" applyBorder="1"/>
    <xf numFmtId="0" fontId="0" fillId="0" borderId="20" xfId="0" applyBorder="1" applyAlignment="1">
      <alignment horizontal="left"/>
    </xf>
    <xf numFmtId="43" fontId="0" fillId="0" borderId="7" xfId="0" applyNumberFormat="1" applyBorder="1"/>
    <xf numFmtId="0" fontId="5" fillId="13" borderId="47" xfId="0" applyFont="1" applyFill="1" applyBorder="1"/>
    <xf numFmtId="0" fontId="5" fillId="13" borderId="76" xfId="0" applyFont="1" applyFill="1" applyBorder="1"/>
    <xf numFmtId="43" fontId="5" fillId="8" borderId="55" xfId="1" applyFont="1" applyFill="1" applyBorder="1"/>
    <xf numFmtId="43" fontId="5" fillId="8" borderId="16" xfId="0" applyNumberFormat="1" applyFont="1" applyFill="1" applyBorder="1"/>
    <xf numFmtId="43" fontId="5" fillId="8" borderId="16" xfId="1" applyFont="1" applyFill="1" applyBorder="1"/>
    <xf numFmtId="0" fontId="0" fillId="0" borderId="7" xfId="0" applyBorder="1" applyAlignment="1">
      <alignment horizontal="left"/>
    </xf>
    <xf numFmtId="0" fontId="0" fillId="14" borderId="8" xfId="0" applyFill="1" applyBorder="1" applyAlignment="1">
      <alignment horizontal="left"/>
    </xf>
    <xf numFmtId="0" fontId="5" fillId="14" borderId="47" xfId="0" applyFont="1" applyFill="1" applyBorder="1"/>
    <xf numFmtId="0" fontId="5" fillId="14" borderId="76" xfId="0" applyFont="1" applyFill="1" applyBorder="1"/>
    <xf numFmtId="43" fontId="0" fillId="14" borderId="57" xfId="1" applyFont="1" applyFill="1" applyBorder="1"/>
    <xf numFmtId="43" fontId="0" fillId="14" borderId="22" xfId="1" applyFont="1" applyFill="1" applyBorder="1"/>
    <xf numFmtId="43" fontId="0" fillId="14" borderId="39" xfId="1" applyFont="1" applyFill="1" applyBorder="1"/>
    <xf numFmtId="43" fontId="0" fillId="14" borderId="0" xfId="1" applyFont="1" applyFill="1"/>
    <xf numFmtId="43" fontId="0" fillId="14" borderId="75" xfId="1" applyFont="1" applyFill="1" applyBorder="1"/>
    <xf numFmtId="43" fontId="0" fillId="14" borderId="7" xfId="1" applyFont="1" applyFill="1" applyBorder="1"/>
    <xf numFmtId="0" fontId="0" fillId="14" borderId="0" xfId="0" applyFill="1"/>
    <xf numFmtId="43" fontId="0" fillId="14" borderId="74" xfId="0" applyNumberFormat="1" applyFill="1" applyBorder="1"/>
    <xf numFmtId="43" fontId="0" fillId="14" borderId="74" xfId="1" applyFont="1" applyFill="1" applyBorder="1"/>
    <xf numFmtId="0" fontId="5" fillId="0" borderId="69" xfId="0" applyFont="1" applyBorder="1"/>
    <xf numFmtId="0" fontId="5" fillId="0" borderId="77" xfId="0" applyFont="1" applyBorder="1"/>
    <xf numFmtId="0" fontId="5" fillId="13" borderId="17" xfId="0" applyFont="1" applyFill="1" applyBorder="1"/>
    <xf numFmtId="0" fontId="5" fillId="13" borderId="16" xfId="0" applyFont="1" applyFill="1" applyBorder="1"/>
    <xf numFmtId="43" fontId="5" fillId="8" borderId="23" xfId="1" applyFont="1" applyFill="1" applyBorder="1"/>
    <xf numFmtId="43" fontId="0" fillId="0" borderId="57" xfId="1" applyFont="1" applyFill="1" applyBorder="1"/>
    <xf numFmtId="43" fontId="0" fillId="0" borderId="22" xfId="1" applyFont="1" applyFill="1" applyBorder="1"/>
    <xf numFmtId="43" fontId="0" fillId="0" borderId="75" xfId="1" applyFont="1" applyFill="1" applyBorder="1"/>
    <xf numFmtId="43" fontId="0" fillId="0" borderId="39" xfId="1" applyFont="1" applyFill="1" applyBorder="1"/>
    <xf numFmtId="43" fontId="0" fillId="0" borderId="0" xfId="1" applyFont="1" applyFill="1"/>
    <xf numFmtId="43" fontId="0" fillId="0" borderId="7" xfId="1" applyFont="1" applyFill="1" applyBorder="1"/>
    <xf numFmtId="43" fontId="0" fillId="0" borderId="74" xfId="1" applyFont="1" applyFill="1" applyBorder="1"/>
    <xf numFmtId="0" fontId="5" fillId="0" borderId="13" xfId="0" applyFont="1" applyBorder="1"/>
    <xf numFmtId="0" fontId="5" fillId="0" borderId="14" xfId="0" applyFont="1" applyBorder="1"/>
    <xf numFmtId="43" fontId="0" fillId="0" borderId="78" xfId="1" applyFont="1" applyBorder="1"/>
    <xf numFmtId="43" fontId="0" fillId="0" borderId="79" xfId="1" applyFont="1" applyBorder="1"/>
    <xf numFmtId="43" fontId="0" fillId="0" borderId="0" xfId="1" applyFont="1" applyBorder="1"/>
    <xf numFmtId="43" fontId="0" fillId="0" borderId="80" xfId="1" applyFont="1" applyBorder="1"/>
    <xf numFmtId="0" fontId="5" fillId="13" borderId="14" xfId="0" applyFont="1" applyFill="1" applyBorder="1"/>
    <xf numFmtId="43" fontId="5" fillId="8" borderId="56" xfId="1" applyFont="1" applyFill="1" applyBorder="1"/>
    <xf numFmtId="0" fontId="5" fillId="15" borderId="14" xfId="0" applyFont="1" applyFill="1" applyBorder="1"/>
    <xf numFmtId="0" fontId="5" fillId="15" borderId="13" xfId="0" applyFont="1" applyFill="1" applyBorder="1"/>
    <xf numFmtId="43" fontId="5" fillId="10" borderId="56" xfId="1" applyFont="1" applyFill="1" applyBorder="1"/>
    <xf numFmtId="165" fontId="0" fillId="0" borderId="0" xfId="0" applyNumberFormat="1"/>
    <xf numFmtId="4" fontId="3" fillId="16" borderId="3" xfId="0" applyNumberFormat="1" applyFont="1" applyFill="1" applyBorder="1" applyAlignment="1">
      <alignment horizontal="right" vertical="center"/>
    </xf>
    <xf numFmtId="43" fontId="5" fillId="0" borderId="22" xfId="1" applyFont="1" applyBorder="1"/>
    <xf numFmtId="43" fontId="5" fillId="0" borderId="57" xfId="1" applyFont="1" applyBorder="1"/>
    <xf numFmtId="43" fontId="0" fillId="16" borderId="57" xfId="1" applyFont="1" applyFill="1" applyBorder="1"/>
    <xf numFmtId="43" fontId="0" fillId="0" borderId="0" xfId="0" applyNumberFormat="1"/>
    <xf numFmtId="9" fontId="0" fillId="0" borderId="0" xfId="0" applyNumberFormat="1"/>
    <xf numFmtId="43" fontId="0" fillId="16" borderId="78" xfId="1" applyFont="1" applyFill="1" applyBorder="1"/>
    <xf numFmtId="43" fontId="0" fillId="16" borderId="0" xfId="1" applyFont="1" applyFill="1"/>
    <xf numFmtId="0" fontId="16" fillId="0" borderId="0" xfId="2" applyFont="1"/>
    <xf numFmtId="0" fontId="16" fillId="0" borderId="0" xfId="2" applyFont="1" applyAlignment="1">
      <alignment wrapText="1"/>
    </xf>
    <xf numFmtId="0" fontId="1" fillId="10" borderId="0" xfId="0" applyFont="1" applyFill="1" applyAlignment="1">
      <alignment vertical="center"/>
    </xf>
    <xf numFmtId="0" fontId="4" fillId="10" borderId="0" xfId="0" applyFont="1" applyFill="1" applyAlignment="1">
      <alignment horizontal="center" vertical="center"/>
    </xf>
    <xf numFmtId="164" fontId="15" fillId="0" borderId="0" xfId="2" applyNumberFormat="1"/>
    <xf numFmtId="164" fontId="15" fillId="0" borderId="0" xfId="1" applyNumberFormat="1" applyFont="1"/>
    <xf numFmtId="0" fontId="15" fillId="0" borderId="19" xfId="2" applyBorder="1" applyAlignment="1">
      <alignment wrapText="1"/>
    </xf>
    <xf numFmtId="164" fontId="15" fillId="0" borderId="19" xfId="1" applyNumberFormat="1" applyFont="1" applyBorder="1" applyAlignment="1">
      <alignment wrapText="1"/>
    </xf>
    <xf numFmtId="164" fontId="15" fillId="0" borderId="19" xfId="2" applyNumberFormat="1" applyBorder="1"/>
    <xf numFmtId="0" fontId="16" fillId="0" borderId="55" xfId="2" applyFont="1" applyBorder="1" applyAlignment="1">
      <alignment wrapText="1"/>
    </xf>
    <xf numFmtId="0" fontId="15" fillId="0" borderId="57" xfId="2" applyBorder="1" applyAlignment="1">
      <alignment wrapText="1"/>
    </xf>
    <xf numFmtId="0" fontId="15" fillId="0" borderId="34" xfId="2" applyBorder="1" applyAlignment="1">
      <alignment wrapText="1"/>
    </xf>
    <xf numFmtId="0" fontId="15" fillId="0" borderId="64" xfId="2" applyBorder="1" applyAlignment="1">
      <alignment wrapText="1"/>
    </xf>
    <xf numFmtId="0" fontId="4" fillId="10" borderId="0" xfId="0" applyFont="1" applyFill="1" applyAlignment="1">
      <alignment horizontal="left" vertical="center"/>
    </xf>
    <xf numFmtId="43" fontId="5" fillId="8" borderId="13" xfId="1" applyFont="1" applyFill="1" applyBorder="1"/>
    <xf numFmtId="43" fontId="5" fillId="10" borderId="13" xfId="1" applyFont="1" applyFill="1" applyBorder="1"/>
    <xf numFmtId="43" fontId="5" fillId="8" borderId="41" xfId="1" applyFont="1" applyFill="1" applyBorder="1"/>
    <xf numFmtId="43" fontId="5" fillId="8" borderId="49" xfId="1" applyFont="1" applyFill="1" applyBorder="1"/>
    <xf numFmtId="43" fontId="5" fillId="10" borderId="49" xfId="1" applyFont="1" applyFill="1" applyBorder="1"/>
    <xf numFmtId="43" fontId="0" fillId="0" borderId="33" xfId="1" applyFont="1" applyBorder="1"/>
    <xf numFmtId="43" fontId="0" fillId="0" borderId="10" xfId="1" applyFont="1" applyBorder="1"/>
    <xf numFmtId="43" fontId="5" fillId="8" borderId="6" xfId="1" applyFont="1" applyFill="1" applyBorder="1"/>
    <xf numFmtId="43" fontId="5" fillId="10" borderId="6" xfId="1" applyFont="1" applyFill="1" applyBorder="1"/>
    <xf numFmtId="164" fontId="0" fillId="0" borderId="57" xfId="1" applyNumberFormat="1" applyFont="1" applyBorder="1"/>
    <xf numFmtId="164" fontId="0" fillId="0" borderId="19" xfId="0" applyNumberFormat="1" applyBorder="1"/>
    <xf numFmtId="164" fontId="0" fillId="0" borderId="5" xfId="1" applyNumberFormat="1" applyFont="1" applyBorder="1" applyAlignment="1"/>
    <xf numFmtId="164" fontId="0" fillId="0" borderId="58" xfId="1" applyNumberFormat="1" applyFont="1" applyBorder="1" applyAlignment="1"/>
    <xf numFmtId="164" fontId="0" fillId="0" borderId="40" xfId="1" applyNumberFormat="1" applyFont="1" applyBorder="1" applyAlignment="1"/>
    <xf numFmtId="164" fontId="0" fillId="0" borderId="59" xfId="1" applyNumberFormat="1" applyFont="1" applyBorder="1" applyAlignment="1"/>
    <xf numFmtId="164" fontId="0" fillId="0" borderId="7" xfId="1" applyNumberFormat="1" applyFont="1" applyBorder="1" applyAlignment="1"/>
    <xf numFmtId="164" fontId="0" fillId="0" borderId="57" xfId="1" applyNumberFormat="1" applyFont="1" applyBorder="1" applyAlignment="1"/>
    <xf numFmtId="164" fontId="0" fillId="0" borderId="22" xfId="1" applyNumberFormat="1" applyFont="1" applyBorder="1" applyAlignment="1"/>
    <xf numFmtId="164" fontId="0" fillId="0" borderId="48" xfId="1" applyNumberFormat="1" applyFont="1" applyBorder="1" applyAlignment="1"/>
    <xf numFmtId="9" fontId="0" fillId="0" borderId="0" xfId="6" applyFont="1" applyFill="1"/>
    <xf numFmtId="4" fontId="4" fillId="10" borderId="0" xfId="0" applyNumberFormat="1" applyFont="1" applyFill="1" applyAlignment="1">
      <alignment horizontal="right" vertical="center"/>
    </xf>
    <xf numFmtId="4" fontId="5" fillId="0" borderId="4" xfId="0" applyNumberFormat="1" applyFont="1" applyBorder="1"/>
    <xf numFmtId="0" fontId="0" fillId="0" borderId="55" xfId="0" applyBorder="1"/>
    <xf numFmtId="0" fontId="5" fillId="0" borderId="42" xfId="0" applyFont="1" applyBorder="1"/>
    <xf numFmtId="0" fontId="5" fillId="0" borderId="52" xfId="0" applyFont="1" applyBorder="1"/>
    <xf numFmtId="164" fontId="0" fillId="0" borderId="48" xfId="1" applyNumberFormat="1" applyFont="1" applyBorder="1"/>
    <xf numFmtId="0" fontId="5" fillId="0" borderId="41" xfId="0" applyFont="1" applyBorder="1"/>
    <xf numFmtId="0" fontId="0" fillId="0" borderId="16" xfId="0" applyBorder="1"/>
    <xf numFmtId="0" fontId="8" fillId="0" borderId="42" xfId="0" applyFont="1" applyBorder="1" applyAlignment="1">
      <alignment horizontal="center" vertical="center" wrapText="1"/>
    </xf>
    <xf numFmtId="0" fontId="10" fillId="9" borderId="42" xfId="0" applyFont="1" applyFill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164" fontId="0" fillId="0" borderId="75" xfId="1" applyNumberFormat="1" applyFont="1" applyBorder="1"/>
    <xf numFmtId="164" fontId="0" fillId="0" borderId="4" xfId="1" applyNumberFormat="1" applyFont="1" applyBorder="1"/>
    <xf numFmtId="0" fontId="0" fillId="0" borderId="81" xfId="0" applyBorder="1" applyAlignment="1">
      <alignment horizontal="center"/>
    </xf>
    <xf numFmtId="17" fontId="5" fillId="3" borderId="58" xfId="0" applyNumberFormat="1" applyFont="1" applyFill="1" applyBorder="1" applyAlignment="1">
      <alignment horizontal="center" vertical="center" wrapText="1"/>
    </xf>
    <xf numFmtId="17" fontId="5" fillId="3" borderId="40" xfId="0" applyNumberFormat="1" applyFont="1" applyFill="1" applyBorder="1" applyAlignment="1">
      <alignment horizontal="center" vertical="center" wrapText="1"/>
    </xf>
    <xf numFmtId="17" fontId="5" fillId="3" borderId="71" xfId="0" applyNumberFormat="1" applyFont="1" applyFill="1" applyBorder="1" applyAlignment="1">
      <alignment horizontal="center" vertical="center" wrapText="1"/>
    </xf>
    <xf numFmtId="17" fontId="5" fillId="3" borderId="24" xfId="0" applyNumberFormat="1" applyFont="1" applyFill="1" applyBorder="1" applyAlignment="1">
      <alignment horizontal="center" vertical="center" wrapText="1"/>
    </xf>
    <xf numFmtId="17" fontId="5" fillId="3" borderId="25" xfId="0" applyNumberFormat="1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164" fontId="0" fillId="0" borderId="42" xfId="1" applyNumberFormat="1" applyFont="1" applyBorder="1"/>
    <xf numFmtId="164" fontId="0" fillId="0" borderId="17" xfId="1" applyNumberFormat="1" applyFont="1" applyBorder="1"/>
    <xf numFmtId="164" fontId="0" fillId="0" borderId="55" xfId="1" applyNumberFormat="1" applyFont="1" applyBorder="1"/>
    <xf numFmtId="0" fontId="5" fillId="3" borderId="67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164" fontId="5" fillId="10" borderId="55" xfId="1" applyNumberFormat="1" applyFont="1" applyFill="1" applyBorder="1"/>
    <xf numFmtId="164" fontId="5" fillId="10" borderId="16" xfId="1" applyNumberFormat="1" applyFont="1" applyFill="1" applyBorder="1"/>
    <xf numFmtId="4" fontId="22" fillId="8" borderId="0" xfId="0" applyNumberFormat="1" applyFont="1" applyFill="1" applyAlignment="1">
      <alignment horizontal="right" vertical="center"/>
    </xf>
    <xf numFmtId="164" fontId="0" fillId="10" borderId="42" xfId="1" applyNumberFormat="1" applyFont="1" applyFill="1" applyBorder="1"/>
    <xf numFmtId="164" fontId="5" fillId="10" borderId="17" xfId="1" applyNumberFormat="1" applyFont="1" applyFill="1" applyBorder="1"/>
    <xf numFmtId="164" fontId="5" fillId="10" borderId="23" xfId="1" applyNumberFormat="1" applyFont="1" applyFill="1" applyBorder="1"/>
    <xf numFmtId="0" fontId="16" fillId="0" borderId="4" xfId="2" applyFont="1" applyBorder="1"/>
    <xf numFmtId="0" fontId="15" fillId="0" borderId="4" xfId="2" applyBorder="1"/>
    <xf numFmtId="0" fontId="16" fillId="0" borderId="21" xfId="2" applyFont="1" applyBorder="1" applyAlignment="1">
      <alignment wrapText="1"/>
    </xf>
    <xf numFmtId="0" fontId="16" fillId="0" borderId="24" xfId="2" applyFont="1" applyBorder="1" applyAlignment="1">
      <alignment wrapText="1"/>
    </xf>
    <xf numFmtId="0" fontId="16" fillId="0" borderId="25" xfId="2" applyFont="1" applyBorder="1" applyAlignment="1">
      <alignment wrapText="1"/>
    </xf>
    <xf numFmtId="0" fontId="16" fillId="0" borderId="26" xfId="2" applyFont="1" applyBorder="1" applyAlignment="1">
      <alignment wrapText="1"/>
    </xf>
    <xf numFmtId="0" fontId="15" fillId="0" borderId="35" xfId="2" applyBorder="1" applyAlignment="1">
      <alignment wrapText="1"/>
    </xf>
    <xf numFmtId="164" fontId="15" fillId="0" borderId="34" xfId="1" applyNumberFormat="1" applyFont="1" applyBorder="1" applyAlignment="1">
      <alignment wrapText="1"/>
    </xf>
    <xf numFmtId="0" fontId="15" fillId="0" borderId="34" xfId="2" applyBorder="1"/>
    <xf numFmtId="0" fontId="15" fillId="0" borderId="35" xfId="2" applyBorder="1"/>
    <xf numFmtId="164" fontId="15" fillId="0" borderId="34" xfId="2" applyNumberFormat="1" applyBorder="1"/>
    <xf numFmtId="164" fontId="15" fillId="0" borderId="35" xfId="2" applyNumberFormat="1" applyBorder="1"/>
    <xf numFmtId="164" fontId="16" fillId="0" borderId="27" xfId="1" applyNumberFormat="1" applyFont="1" applyBorder="1"/>
    <xf numFmtId="164" fontId="16" fillId="0" borderId="28" xfId="1" applyNumberFormat="1" applyFont="1" applyBorder="1"/>
    <xf numFmtId="164" fontId="16" fillId="0" borderId="29" xfId="1" applyNumberFormat="1" applyFont="1" applyBorder="1"/>
    <xf numFmtId="164" fontId="15" fillId="10" borderId="34" xfId="1" applyNumberFormat="1" applyFont="1" applyFill="1" applyBorder="1" applyAlignment="1">
      <alignment wrapText="1"/>
    </xf>
    <xf numFmtId="164" fontId="15" fillId="10" borderId="19" xfId="1" applyNumberFormat="1" applyFont="1" applyFill="1" applyBorder="1" applyAlignment="1">
      <alignment wrapText="1"/>
    </xf>
    <xf numFmtId="0" fontId="16" fillId="0" borderId="36" xfId="2" applyFont="1" applyBorder="1" applyAlignment="1">
      <alignment wrapText="1"/>
    </xf>
    <xf numFmtId="0" fontId="15" fillId="0" borderId="37" xfId="2" applyBorder="1" applyAlignment="1">
      <alignment wrapText="1"/>
    </xf>
    <xf numFmtId="0" fontId="15" fillId="0" borderId="37" xfId="2" applyBorder="1"/>
    <xf numFmtId="164" fontId="15" fillId="0" borderId="37" xfId="2" applyNumberFormat="1" applyBorder="1"/>
    <xf numFmtId="164" fontId="16" fillId="0" borderId="38" xfId="1" applyNumberFormat="1" applyFont="1" applyBorder="1"/>
    <xf numFmtId="0" fontId="16" fillId="0" borderId="21" xfId="2" applyFont="1" applyBorder="1" applyAlignment="1">
      <alignment horizontal="center" wrapText="1"/>
    </xf>
    <xf numFmtId="164" fontId="16" fillId="0" borderId="21" xfId="2" applyNumberFormat="1" applyFont="1" applyBorder="1" applyAlignment="1">
      <alignment wrapText="1"/>
    </xf>
    <xf numFmtId="0" fontId="16" fillId="0" borderId="21" xfId="2" applyFont="1" applyBorder="1"/>
    <xf numFmtId="164" fontId="15" fillId="17" borderId="34" xfId="1" applyNumberFormat="1" applyFont="1" applyFill="1" applyBorder="1" applyAlignment="1">
      <alignment wrapText="1"/>
    </xf>
    <xf numFmtId="164" fontId="15" fillId="17" borderId="19" xfId="1" applyNumberFormat="1" applyFont="1" applyFill="1" applyBorder="1" applyAlignment="1">
      <alignment wrapText="1"/>
    </xf>
    <xf numFmtId="164" fontId="15" fillId="8" borderId="19" xfId="1" applyNumberFormat="1" applyFont="1" applyFill="1" applyBorder="1" applyAlignment="1">
      <alignment wrapText="1"/>
    </xf>
    <xf numFmtId="0" fontId="15" fillId="10" borderId="19" xfId="2" applyFill="1" applyBorder="1" applyAlignment="1">
      <alignment wrapText="1"/>
    </xf>
    <xf numFmtId="4" fontId="23" fillId="8" borderId="0" xfId="0" applyNumberFormat="1" applyFont="1" applyFill="1" applyAlignment="1">
      <alignment horizontal="right" vertical="center"/>
    </xf>
    <xf numFmtId="0" fontId="17" fillId="0" borderId="0" xfId="3"/>
    <xf numFmtId="0" fontId="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left" vertical="center"/>
    </xf>
    <xf numFmtId="0" fontId="3" fillId="2" borderId="82" xfId="3" applyFont="1" applyFill="1" applyBorder="1" applyAlignment="1">
      <alignment horizontal="center" vertical="center"/>
    </xf>
    <xf numFmtId="0" fontId="3" fillId="2" borderId="82" xfId="3" applyFont="1" applyFill="1" applyBorder="1" applyAlignment="1">
      <alignment horizontal="left" vertical="center"/>
    </xf>
    <xf numFmtId="0" fontId="4" fillId="0" borderId="83" xfId="3" applyFont="1" applyBorder="1" applyAlignment="1">
      <alignment horizontal="center" vertical="center"/>
    </xf>
    <xf numFmtId="0" fontId="4" fillId="0" borderId="83" xfId="3" applyFont="1" applyBorder="1" applyAlignment="1">
      <alignment horizontal="left" vertical="center"/>
    </xf>
    <xf numFmtId="4" fontId="4" fillId="0" borderId="83" xfId="3" applyNumberFormat="1" applyFont="1" applyBorder="1" applyAlignment="1">
      <alignment horizontal="righ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4" fontId="4" fillId="0" borderId="0" xfId="3" applyNumberFormat="1" applyFont="1" applyAlignment="1">
      <alignment horizontal="right" vertical="center"/>
    </xf>
    <xf numFmtId="4" fontId="4" fillId="0" borderId="1" xfId="3" applyNumberFormat="1" applyFont="1" applyBorder="1" applyAlignment="1">
      <alignment horizontal="right" vertical="center"/>
    </xf>
    <xf numFmtId="4" fontId="4" fillId="0" borderId="82" xfId="3" applyNumberFormat="1" applyFont="1" applyBorder="1" applyAlignment="1">
      <alignment horizontal="right" vertical="center"/>
    </xf>
    <xf numFmtId="0" fontId="4" fillId="0" borderId="2" xfId="3" applyFont="1" applyBorder="1" applyAlignment="1">
      <alignment horizontal="left" vertical="center"/>
    </xf>
    <xf numFmtId="4" fontId="4" fillId="0" borderId="2" xfId="3" applyNumberFormat="1" applyFont="1" applyBorder="1" applyAlignment="1">
      <alignment horizontal="right" vertical="center"/>
    </xf>
    <xf numFmtId="0" fontId="3" fillId="0" borderId="3" xfId="3" applyFont="1" applyBorder="1" applyAlignment="1">
      <alignment horizontal="left" vertical="center"/>
    </xf>
    <xf numFmtId="4" fontId="3" fillId="0" borderId="3" xfId="3" applyNumberFormat="1" applyFont="1" applyBorder="1" applyAlignment="1">
      <alignment horizontal="right" vertical="center"/>
    </xf>
    <xf numFmtId="164" fontId="5" fillId="0" borderId="5" xfId="1" applyNumberFormat="1" applyFont="1" applyBorder="1" applyAlignment="1"/>
    <xf numFmtId="0" fontId="9" fillId="0" borderId="4" xfId="0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4" fontId="0" fillId="0" borderId="21" xfId="0" applyNumberFormat="1" applyBorder="1"/>
    <xf numFmtId="164" fontId="8" fillId="10" borderId="23" xfId="1" applyNumberFormat="1" applyFont="1" applyFill="1" applyBorder="1" applyAlignment="1">
      <alignment vertical="center"/>
    </xf>
    <xf numFmtId="164" fontId="0" fillId="10" borderId="28" xfId="1" applyNumberFormat="1" applyFont="1" applyFill="1" applyBorder="1"/>
    <xf numFmtId="0" fontId="8" fillId="0" borderId="17" xfId="0" applyFont="1" applyBorder="1" applyAlignment="1">
      <alignment vertical="center"/>
    </xf>
    <xf numFmtId="0" fontId="9" fillId="12" borderId="4" xfId="0" applyFont="1" applyFill="1" applyBorder="1" applyAlignment="1">
      <alignment vertical="center"/>
    </xf>
    <xf numFmtId="0" fontId="0" fillId="12" borderId="8" xfId="0" applyFill="1" applyBorder="1" applyAlignment="1">
      <alignment horizontal="left" wrapText="1"/>
    </xf>
    <xf numFmtId="0" fontId="8" fillId="0" borderId="84" xfId="0" applyFont="1" applyBorder="1" applyAlignment="1">
      <alignment horizontal="center" vertical="center" wrapText="1"/>
    </xf>
    <xf numFmtId="0" fontId="10" fillId="9" borderId="40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 vertical="center" wrapText="1"/>
    </xf>
    <xf numFmtId="0" fontId="5" fillId="3" borderId="58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3" borderId="71" xfId="0" applyFont="1" applyFill="1" applyBorder="1" applyAlignment="1">
      <alignment horizontal="center" vertical="center" wrapText="1"/>
    </xf>
    <xf numFmtId="0" fontId="5" fillId="3" borderId="64" xfId="0" applyFont="1" applyFill="1" applyBorder="1" applyAlignment="1">
      <alignment horizontal="center" vertical="center" wrapText="1"/>
    </xf>
    <xf numFmtId="0" fontId="5" fillId="3" borderId="65" xfId="0" applyFont="1" applyFill="1" applyBorder="1" applyAlignment="1">
      <alignment horizontal="center" vertical="center" wrapText="1"/>
    </xf>
    <xf numFmtId="0" fontId="5" fillId="3" borderId="85" xfId="0" applyFont="1" applyFill="1" applyBorder="1" applyAlignment="1">
      <alignment horizontal="center" vertical="center" wrapText="1"/>
    </xf>
    <xf numFmtId="0" fontId="5" fillId="3" borderId="69" xfId="0" applyFont="1" applyFill="1" applyBorder="1" applyAlignment="1">
      <alignment horizontal="center" vertical="center" wrapText="1"/>
    </xf>
    <xf numFmtId="0" fontId="5" fillId="3" borderId="66" xfId="0" applyFont="1" applyFill="1" applyBorder="1" applyAlignment="1">
      <alignment horizontal="center" vertical="center" wrapText="1"/>
    </xf>
    <xf numFmtId="0" fontId="5" fillId="3" borderId="6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75" xfId="0" applyFont="1" applyBorder="1" applyAlignment="1">
      <alignment vertical="center"/>
    </xf>
    <xf numFmtId="4" fontId="0" fillId="0" borderId="32" xfId="0" applyNumberFormat="1" applyBorder="1"/>
    <xf numFmtId="4" fontId="0" fillId="0" borderId="22" xfId="0" applyNumberFormat="1" applyBorder="1"/>
    <xf numFmtId="0" fontId="0" fillId="0" borderId="22" xfId="0" applyBorder="1"/>
    <xf numFmtId="4" fontId="5" fillId="0" borderId="75" xfId="0" applyNumberFormat="1" applyFont="1" applyBorder="1"/>
    <xf numFmtId="0" fontId="8" fillId="0" borderId="5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164" fontId="8" fillId="0" borderId="23" xfId="1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164" fontId="0" fillId="0" borderId="52" xfId="1" applyNumberFormat="1" applyFont="1" applyBorder="1"/>
    <xf numFmtId="164" fontId="0" fillId="0" borderId="43" xfId="1" applyNumberFormat="1" applyFont="1" applyBorder="1"/>
    <xf numFmtId="164" fontId="0" fillId="0" borderId="41" xfId="1" applyNumberFormat="1" applyFont="1" applyBorder="1"/>
    <xf numFmtId="0" fontId="9" fillId="0" borderId="72" xfId="0" applyFont="1" applyBorder="1" applyAlignment="1">
      <alignment vertical="center"/>
    </xf>
    <xf numFmtId="0" fontId="0" fillId="0" borderId="33" xfId="0" applyBorder="1" applyAlignment="1">
      <alignment wrapText="1"/>
    </xf>
    <xf numFmtId="0" fontId="9" fillId="0" borderId="76" xfId="0" applyFont="1" applyBorder="1" applyAlignment="1">
      <alignment vertical="center"/>
    </xf>
    <xf numFmtId="0" fontId="9" fillId="12" borderId="76" xfId="0" applyFont="1" applyFill="1" applyBorder="1" applyAlignment="1">
      <alignment vertical="center"/>
    </xf>
    <xf numFmtId="0" fontId="9" fillId="12" borderId="73" xfId="0" applyFont="1" applyFill="1" applyBorder="1" applyAlignment="1">
      <alignment vertical="center" wrapText="1"/>
    </xf>
    <xf numFmtId="0" fontId="0" fillId="12" borderId="9" xfId="0" applyFill="1" applyBorder="1" applyAlignment="1">
      <alignment horizontal="left" wrapText="1"/>
    </xf>
    <xf numFmtId="0" fontId="9" fillId="11" borderId="19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left" wrapText="1"/>
    </xf>
    <xf numFmtId="164" fontId="9" fillId="11" borderId="8" xfId="1" applyNumberFormat="1" applyFont="1" applyFill="1" applyBorder="1" applyAlignment="1">
      <alignment vertical="center"/>
    </xf>
    <xf numFmtId="0" fontId="0" fillId="11" borderId="21" xfId="0" applyFill="1" applyBorder="1"/>
    <xf numFmtId="0" fontId="0" fillId="11" borderId="19" xfId="0" applyFill="1" applyBorder="1"/>
    <xf numFmtId="4" fontId="5" fillId="11" borderId="4" xfId="0" applyNumberFormat="1" applyFont="1" applyFill="1" applyBorder="1"/>
    <xf numFmtId="164" fontId="0" fillId="11" borderId="34" xfId="1" applyNumberFormat="1" applyFont="1" applyFill="1" applyBorder="1"/>
    <xf numFmtId="164" fontId="0" fillId="11" borderId="19" xfId="1" applyNumberFormat="1" applyFont="1" applyFill="1" applyBorder="1"/>
    <xf numFmtId="164" fontId="0" fillId="11" borderId="4" xfId="1" applyNumberFormat="1" applyFont="1" applyFill="1" applyBorder="1"/>
    <xf numFmtId="164" fontId="0" fillId="11" borderId="35" xfId="1" applyNumberFormat="1" applyFont="1" applyFill="1" applyBorder="1"/>
    <xf numFmtId="164" fontId="0" fillId="11" borderId="47" xfId="1" applyNumberFormat="1" applyFont="1" applyFill="1" applyBorder="1"/>
    <xf numFmtId="0" fontId="0" fillId="11" borderId="0" xfId="0" applyFill="1"/>
    <xf numFmtId="164" fontId="9" fillId="0" borderId="8" xfId="1" applyNumberFormat="1" applyFont="1" applyFill="1" applyBorder="1" applyAlignment="1">
      <alignment vertical="center"/>
    </xf>
    <xf numFmtId="164" fontId="0" fillId="0" borderId="34" xfId="1" applyNumberFormat="1" applyFont="1" applyFill="1" applyBorder="1"/>
    <xf numFmtId="164" fontId="0" fillId="0" borderId="19" xfId="1" applyNumberFormat="1" applyFont="1" applyFill="1" applyBorder="1"/>
    <xf numFmtId="164" fontId="0" fillId="0" borderId="4" xfId="1" applyNumberFormat="1" applyFont="1" applyFill="1" applyBorder="1"/>
    <xf numFmtId="164" fontId="0" fillId="0" borderId="35" xfId="1" applyNumberFormat="1" applyFont="1" applyFill="1" applyBorder="1"/>
    <xf numFmtId="164" fontId="0" fillId="0" borderId="47" xfId="1" applyNumberFormat="1" applyFont="1" applyFill="1" applyBorder="1"/>
    <xf numFmtId="164" fontId="9" fillId="0" borderId="7" xfId="1" applyNumberFormat="1" applyFont="1" applyFill="1" applyBorder="1" applyAlignment="1">
      <alignment vertical="center"/>
    </xf>
    <xf numFmtId="164" fontId="24" fillId="0" borderId="19" xfId="1" applyNumberFormat="1" applyFont="1" applyFill="1" applyBorder="1"/>
    <xf numFmtId="164" fontId="24" fillId="0" borderId="35" xfId="1" applyNumberFormat="1" applyFont="1" applyFill="1" applyBorder="1"/>
    <xf numFmtId="0" fontId="9" fillId="11" borderId="4" xfId="0" applyFont="1" applyFill="1" applyBorder="1" applyAlignment="1">
      <alignment vertical="center" wrapText="1"/>
    </xf>
    <xf numFmtId="164" fontId="0" fillId="0" borderId="55" xfId="1" applyNumberFormat="1" applyFont="1" applyFill="1" applyBorder="1"/>
    <xf numFmtId="164" fontId="0" fillId="0" borderId="42" xfId="1" applyNumberFormat="1" applyFont="1" applyFill="1" applyBorder="1"/>
    <xf numFmtId="164" fontId="0" fillId="0" borderId="43" xfId="1" applyNumberFormat="1" applyFont="1" applyFill="1" applyBorder="1"/>
    <xf numFmtId="164" fontId="0" fillId="0" borderId="52" xfId="1" applyNumberFormat="1" applyFont="1" applyFill="1" applyBorder="1"/>
    <xf numFmtId="0" fontId="0" fillId="0" borderId="23" xfId="0" applyBorder="1" applyAlignment="1">
      <alignment wrapText="1"/>
    </xf>
    <xf numFmtId="0" fontId="25" fillId="0" borderId="19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164" fontId="0" fillId="0" borderId="0" xfId="0" applyNumberFormat="1"/>
    <xf numFmtId="9" fontId="5" fillId="0" borderId="80" xfId="6" applyFont="1" applyFill="1" applyBorder="1" applyAlignment="1">
      <alignment wrapText="1"/>
    </xf>
    <xf numFmtId="0" fontId="5" fillId="3" borderId="10" xfId="0" applyFont="1" applyFill="1" applyBorder="1" applyAlignment="1">
      <alignment vertical="center" wrapText="1"/>
    </xf>
    <xf numFmtId="4" fontId="4" fillId="0" borderId="1" xfId="0" applyNumberFormat="1" applyFont="1" applyBorder="1" applyAlignment="1">
      <alignment horizontal="right" vertical="center"/>
    </xf>
    <xf numFmtId="4" fontId="4" fillId="0" borderId="83" xfId="0" applyNumberFormat="1" applyFont="1" applyBorder="1" applyAlignment="1">
      <alignment horizontal="right" vertical="center"/>
    </xf>
    <xf numFmtId="0" fontId="3" fillId="2" borderId="0" xfId="0" applyFont="1" applyFill="1" applyAlignment="1">
      <alignment horizontal="center" vertical="center" wrapText="1"/>
    </xf>
    <xf numFmtId="4" fontId="0" fillId="8" borderId="0" xfId="0" applyNumberFormat="1" applyFill="1"/>
    <xf numFmtId="0" fontId="15" fillId="8" borderId="34" xfId="2" applyFill="1" applyBorder="1" applyAlignment="1">
      <alignment wrapText="1"/>
    </xf>
    <xf numFmtId="0" fontId="15" fillId="8" borderId="19" xfId="2" applyFill="1" applyBorder="1"/>
    <xf numFmtId="164" fontId="15" fillId="8" borderId="19" xfId="1" applyNumberFormat="1" applyFont="1" applyFill="1" applyBorder="1"/>
    <xf numFmtId="164" fontId="16" fillId="8" borderId="22" xfId="1" applyNumberFormat="1" applyFont="1" applyFill="1" applyBorder="1"/>
    <xf numFmtId="164" fontId="16" fillId="8" borderId="48" xfId="1" applyNumberFormat="1" applyFont="1" applyFill="1" applyBorder="1"/>
    <xf numFmtId="0" fontId="15" fillId="8" borderId="0" xfId="2" applyFill="1"/>
    <xf numFmtId="164" fontId="15" fillId="8" borderId="0" xfId="1" applyNumberFormat="1" applyFont="1" applyFill="1"/>
    <xf numFmtId="164" fontId="16" fillId="0" borderId="25" xfId="1" applyNumberFormat="1" applyFont="1" applyBorder="1" applyAlignment="1">
      <alignment wrapText="1"/>
    </xf>
    <xf numFmtId="164" fontId="16" fillId="0" borderId="0" xfId="1" applyNumberFormat="1" applyFont="1"/>
    <xf numFmtId="164" fontId="15" fillId="0" borderId="0" xfId="1" applyNumberFormat="1" applyFont="1" applyAlignment="1">
      <alignment wrapText="1"/>
    </xf>
    <xf numFmtId="164" fontId="15" fillId="10" borderId="0" xfId="1" applyNumberFormat="1" applyFont="1" applyFill="1"/>
    <xf numFmtId="164" fontId="15" fillId="0" borderId="0" xfId="1" applyNumberFormat="1" applyFont="1" applyFill="1"/>
    <xf numFmtId="164" fontId="15" fillId="12" borderId="19" xfId="1" applyNumberFormat="1" applyFont="1" applyFill="1" applyBorder="1" applyAlignment="1">
      <alignment wrapText="1"/>
    </xf>
    <xf numFmtId="164" fontId="15" fillId="12" borderId="35" xfId="1" applyNumberFormat="1" applyFont="1" applyFill="1" applyBorder="1" applyAlignment="1">
      <alignment wrapText="1"/>
    </xf>
    <xf numFmtId="0" fontId="5" fillId="3" borderId="6" xfId="0" applyFont="1" applyFill="1" applyBorder="1" applyAlignment="1">
      <alignment horizontal="center" vertical="center" wrapText="1"/>
    </xf>
    <xf numFmtId="43" fontId="15" fillId="0" borderId="0" xfId="2" applyNumberFormat="1"/>
    <xf numFmtId="164" fontId="15" fillId="12" borderId="37" xfId="1" applyNumberFormat="1" applyFont="1" applyFill="1" applyBorder="1" applyAlignment="1">
      <alignment wrapText="1"/>
    </xf>
    <xf numFmtId="4" fontId="0" fillId="10" borderId="0" xfId="0" applyNumberFormat="1" applyFill="1"/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0" fillId="8" borderId="0" xfId="0" applyFill="1"/>
    <xf numFmtId="164" fontId="0" fillId="0" borderId="0" xfId="1" applyNumberFormat="1" applyFont="1" applyAlignment="1"/>
    <xf numFmtId="164" fontId="0" fillId="10" borderId="0" xfId="1" applyNumberFormat="1" applyFont="1" applyFill="1" applyAlignment="1"/>
    <xf numFmtId="164" fontId="0" fillId="12" borderId="19" xfId="1" applyNumberFormat="1" applyFont="1" applyFill="1" applyBorder="1"/>
    <xf numFmtId="164" fontId="0" fillId="10" borderId="19" xfId="1" applyNumberFormat="1" applyFont="1" applyFill="1" applyBorder="1"/>
    <xf numFmtId="164" fontId="15" fillId="12" borderId="34" xfId="1" applyNumberFormat="1" applyFont="1" applyFill="1" applyBorder="1" applyAlignment="1">
      <alignment wrapText="1"/>
    </xf>
    <xf numFmtId="9" fontId="5" fillId="0" borderId="10" xfId="6" applyFont="1" applyFill="1" applyBorder="1" applyAlignment="1">
      <alignment wrapText="1"/>
    </xf>
    <xf numFmtId="164" fontId="5" fillId="0" borderId="10" xfId="1" applyNumberFormat="1" applyFont="1" applyFill="1" applyBorder="1" applyAlignment="1">
      <alignment wrapText="1"/>
    </xf>
    <xf numFmtId="0" fontId="5" fillId="5" borderId="7" xfId="0" applyFont="1" applyFill="1" applyBorder="1" applyAlignment="1">
      <alignment wrapText="1"/>
    </xf>
    <xf numFmtId="164" fontId="5" fillId="5" borderId="5" xfId="1" applyNumberFormat="1" applyFon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9" fontId="5" fillId="5" borderId="10" xfId="6" applyFont="1" applyFill="1" applyBorder="1" applyAlignment="1">
      <alignment wrapText="1"/>
    </xf>
    <xf numFmtId="164" fontId="5" fillId="5" borderId="10" xfId="1" applyNumberFormat="1" applyFont="1" applyFill="1" applyBorder="1" applyAlignment="1">
      <alignment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64" fontId="0" fillId="5" borderId="10" xfId="1" applyNumberFormat="1" applyFont="1" applyFill="1" applyBorder="1" applyAlignment="1">
      <alignment wrapText="1"/>
    </xf>
    <xf numFmtId="0" fontId="5" fillId="5" borderId="10" xfId="0" applyFont="1" applyFill="1" applyBorder="1" applyAlignment="1">
      <alignment wrapText="1"/>
    </xf>
    <xf numFmtId="0" fontId="7" fillId="5" borderId="10" xfId="0" applyFont="1" applyFill="1" applyBorder="1" applyAlignment="1" applyProtection="1">
      <alignment wrapText="1"/>
      <protection locked="0"/>
    </xf>
    <xf numFmtId="0" fontId="0" fillId="5" borderId="10" xfId="0" applyFill="1" applyBorder="1" applyAlignment="1" applyProtection="1">
      <alignment wrapText="1"/>
      <protection locked="0"/>
    </xf>
    <xf numFmtId="0" fontId="5" fillId="5" borderId="10" xfId="0" applyFont="1" applyFill="1" applyBorder="1" applyAlignment="1" applyProtection="1">
      <alignment wrapText="1"/>
      <protection locked="0"/>
    </xf>
    <xf numFmtId="0" fontId="5" fillId="5" borderId="6" xfId="0" applyFont="1" applyFill="1" applyBorder="1" applyAlignment="1" applyProtection="1">
      <alignment wrapText="1"/>
      <protection locked="0"/>
    </xf>
    <xf numFmtId="9" fontId="0" fillId="0" borderId="10" xfId="6" applyFont="1" applyFill="1" applyBorder="1" applyAlignment="1">
      <alignment wrapText="1"/>
    </xf>
    <xf numFmtId="0" fontId="5" fillId="3" borderId="8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4" fontId="5" fillId="3" borderId="80" xfId="1" applyNumberFormat="1" applyFont="1" applyFill="1" applyBorder="1" applyAlignment="1">
      <alignment horizontal="center" vertical="center" wrapText="1"/>
    </xf>
    <xf numFmtId="164" fontId="5" fillId="3" borderId="0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Fill="1"/>
    <xf numFmtId="0" fontId="5" fillId="3" borderId="15" xfId="0" applyFont="1" applyFill="1" applyBorder="1" applyAlignment="1">
      <alignment horizontal="center" vertical="center" wrapText="1"/>
    </xf>
    <xf numFmtId="164" fontId="5" fillId="3" borderId="86" xfId="1" applyNumberFormat="1" applyFont="1" applyFill="1" applyBorder="1" applyAlignment="1">
      <alignment vertical="center" wrapText="1"/>
    </xf>
    <xf numFmtId="164" fontId="5" fillId="3" borderId="86" xfId="1" applyNumberFormat="1" applyFont="1" applyFill="1" applyBorder="1" applyAlignment="1">
      <alignment horizontal="center" vertical="center" wrapText="1"/>
    </xf>
    <xf numFmtId="9" fontId="5" fillId="3" borderId="86" xfId="6" applyFont="1" applyFill="1" applyBorder="1" applyAlignment="1">
      <alignment horizontal="center" vertical="center" wrapText="1"/>
    </xf>
    <xf numFmtId="0" fontId="27" fillId="19" borderId="5" xfId="0" applyFont="1" applyFill="1" applyBorder="1" applyAlignment="1">
      <alignment horizontal="left" vertical="center"/>
    </xf>
    <xf numFmtId="164" fontId="28" fillId="19" borderId="42" xfId="1" applyNumberFormat="1" applyFont="1" applyFill="1" applyBorder="1" applyAlignment="1">
      <alignment horizontal="center"/>
    </xf>
    <xf numFmtId="9" fontId="28" fillId="19" borderId="43" xfId="6" applyFont="1" applyFill="1" applyBorder="1" applyAlignment="1">
      <alignment horizontal="center"/>
    </xf>
    <xf numFmtId="0" fontId="29" fillId="0" borderId="24" xfId="0" applyFont="1" applyBorder="1" applyAlignment="1">
      <alignment horizontal="left"/>
    </xf>
    <xf numFmtId="164" fontId="29" fillId="0" borderId="25" xfId="1" applyNumberFormat="1" applyFont="1" applyFill="1" applyBorder="1" applyAlignment="1">
      <alignment horizontal="center"/>
    </xf>
    <xf numFmtId="164" fontId="29" fillId="0" borderId="67" xfId="1" applyNumberFormat="1" applyFont="1" applyFill="1" applyBorder="1" applyAlignment="1">
      <alignment horizontal="center"/>
    </xf>
    <xf numFmtId="9" fontId="29" fillId="0" borderId="26" xfId="6" applyFont="1" applyFill="1" applyBorder="1" applyAlignment="1">
      <alignment horizontal="center"/>
    </xf>
    <xf numFmtId="0" fontId="29" fillId="0" borderId="34" xfId="0" applyFont="1" applyBorder="1" applyAlignment="1">
      <alignment horizontal="left"/>
    </xf>
    <xf numFmtId="164" fontId="29" fillId="0" borderId="19" xfId="1" applyNumberFormat="1" applyFont="1" applyFill="1" applyBorder="1" applyAlignment="1">
      <alignment horizontal="center"/>
    </xf>
    <xf numFmtId="164" fontId="29" fillId="0" borderId="4" xfId="1" applyNumberFormat="1" applyFont="1" applyFill="1" applyBorder="1" applyAlignment="1">
      <alignment horizontal="center"/>
    </xf>
    <xf numFmtId="9" fontId="29" fillId="0" borderId="48" xfId="6" applyFont="1" applyFill="1" applyBorder="1" applyAlignment="1">
      <alignment horizontal="center"/>
    </xf>
    <xf numFmtId="0" fontId="29" fillId="0" borderId="27" xfId="0" applyFont="1" applyBorder="1" applyAlignment="1">
      <alignment horizontal="left"/>
    </xf>
    <xf numFmtId="164" fontId="29" fillId="0" borderId="28" xfId="1" applyNumberFormat="1" applyFont="1" applyFill="1" applyBorder="1" applyAlignment="1">
      <alignment horizontal="center"/>
    </xf>
    <xf numFmtId="164" fontId="29" fillId="0" borderId="53" xfId="1" applyNumberFormat="1" applyFont="1" applyFill="1" applyBorder="1" applyAlignment="1">
      <alignment horizontal="center"/>
    </xf>
    <xf numFmtId="9" fontId="29" fillId="0" borderId="51" xfId="6" applyFont="1" applyFill="1" applyBorder="1" applyAlignment="1">
      <alignment horizontal="center"/>
    </xf>
    <xf numFmtId="0" fontId="29" fillId="0" borderId="78" xfId="0" applyFont="1" applyBorder="1" applyAlignment="1">
      <alignment horizontal="left"/>
    </xf>
    <xf numFmtId="164" fontId="29" fillId="0" borderId="87" xfId="1" applyNumberFormat="1" applyFont="1" applyFill="1" applyBorder="1" applyAlignment="1">
      <alignment horizontal="center"/>
    </xf>
    <xf numFmtId="164" fontId="29" fillId="0" borderId="88" xfId="1" applyNumberFormat="1" applyFont="1" applyFill="1" applyBorder="1" applyAlignment="1">
      <alignment horizontal="center"/>
    </xf>
    <xf numFmtId="0" fontId="29" fillId="0" borderId="89" xfId="0" applyFont="1" applyBorder="1" applyAlignment="1">
      <alignment horizontal="center"/>
    </xf>
    <xf numFmtId="0" fontId="27" fillId="19" borderId="55" xfId="0" applyFont="1" applyFill="1" applyBorder="1" applyAlignment="1">
      <alignment horizontal="left" vertical="center"/>
    </xf>
    <xf numFmtId="9" fontId="29" fillId="0" borderId="35" xfId="6" applyFont="1" applyFill="1" applyBorder="1" applyAlignment="1">
      <alignment horizontal="center"/>
    </xf>
    <xf numFmtId="9" fontId="29" fillId="0" borderId="29" xfId="6" applyFont="1" applyFill="1" applyBorder="1" applyAlignment="1">
      <alignment horizontal="center"/>
    </xf>
    <xf numFmtId="164" fontId="30" fillId="0" borderId="25" xfId="1" applyNumberFormat="1" applyFont="1" applyFill="1" applyBorder="1" applyAlignment="1">
      <alignment horizontal="center" vertical="center"/>
    </xf>
    <xf numFmtId="164" fontId="30" fillId="0" borderId="19" xfId="1" applyNumberFormat="1" applyFont="1" applyFill="1" applyBorder="1" applyAlignment="1">
      <alignment horizontal="center" vertical="center"/>
    </xf>
    <xf numFmtId="164" fontId="30" fillId="0" borderId="28" xfId="1" applyNumberFormat="1" applyFont="1" applyFill="1" applyBorder="1" applyAlignment="1">
      <alignment horizontal="center" vertical="center"/>
    </xf>
    <xf numFmtId="164" fontId="30" fillId="0" borderId="87" xfId="1" applyNumberFormat="1" applyFont="1" applyFill="1" applyBorder="1" applyAlignment="1">
      <alignment horizontal="center" vertical="center"/>
    </xf>
    <xf numFmtId="0" fontId="29" fillId="0" borderId="57" xfId="0" applyFont="1" applyBorder="1" applyAlignment="1">
      <alignment horizontal="left"/>
    </xf>
    <xf numFmtId="164" fontId="30" fillId="0" borderId="22" xfId="1" applyNumberFormat="1" applyFont="1" applyFill="1" applyBorder="1" applyAlignment="1">
      <alignment horizontal="center" vertical="center"/>
    </xf>
    <xf numFmtId="164" fontId="29" fillId="0" borderId="75" xfId="1" applyNumberFormat="1" applyFont="1" applyFill="1" applyBorder="1" applyAlignment="1">
      <alignment horizontal="center"/>
    </xf>
    <xf numFmtId="0" fontId="29" fillId="0" borderId="80" xfId="0" applyFont="1" applyBorder="1" applyAlignment="1">
      <alignment horizontal="left"/>
    </xf>
    <xf numFmtId="164" fontId="29" fillId="0" borderId="0" xfId="1" applyNumberFormat="1" applyFont="1" applyFill="1" applyBorder="1"/>
    <xf numFmtId="0" fontId="29" fillId="0" borderId="11" xfId="0" applyFont="1" applyBorder="1"/>
    <xf numFmtId="0" fontId="26" fillId="20" borderId="58" xfId="0" applyFont="1" applyFill="1" applyBorder="1" applyAlignment="1">
      <alignment horizontal="left"/>
    </xf>
    <xf numFmtId="164" fontId="26" fillId="20" borderId="40" xfId="1" applyNumberFormat="1" applyFont="1" applyFill="1" applyBorder="1" applyAlignment="1">
      <alignment horizontal="center"/>
    </xf>
    <xf numFmtId="9" fontId="26" fillId="20" borderId="59" xfId="6" applyFont="1" applyFill="1" applyBorder="1" applyAlignment="1">
      <alignment horizontal="center"/>
    </xf>
    <xf numFmtId="0" fontId="29" fillId="0" borderId="64" xfId="0" applyFont="1" applyBorder="1" applyAlignment="1">
      <alignment horizontal="left"/>
    </xf>
    <xf numFmtId="164" fontId="0" fillId="0" borderId="65" xfId="1" applyNumberFormat="1" applyFont="1" applyBorder="1"/>
    <xf numFmtId="0" fontId="0" fillId="0" borderId="85" xfId="0" applyBorder="1"/>
    <xf numFmtId="0" fontId="28" fillId="0" borderId="55" xfId="0" applyFont="1" applyBorder="1" applyAlignment="1">
      <alignment horizontal="left"/>
    </xf>
    <xf numFmtId="9" fontId="5" fillId="0" borderId="43" xfId="6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1" applyNumberFormat="1" applyFont="1" applyBorder="1"/>
    <xf numFmtId="9" fontId="5" fillId="21" borderId="35" xfId="6" applyFont="1" applyFill="1" applyBorder="1" applyAlignment="1">
      <alignment horizontal="right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/>
    <xf numFmtId="0" fontId="5" fillId="0" borderId="58" xfId="0" applyFont="1" applyBorder="1"/>
    <xf numFmtId="0" fontId="5" fillId="21" borderId="8" xfId="0" applyFont="1" applyFill="1" applyBorder="1" applyAlignment="1">
      <alignment horizontal="left"/>
    </xf>
    <xf numFmtId="0" fontId="5" fillId="21" borderId="8" xfId="0" applyFont="1" applyFill="1" applyBorder="1"/>
    <xf numFmtId="0" fontId="5" fillId="21" borderId="9" xfId="0" applyFont="1" applyFill="1" applyBorder="1"/>
    <xf numFmtId="164" fontId="16" fillId="0" borderId="0" xfId="1" applyNumberFormat="1" applyFont="1" applyBorder="1"/>
    <xf numFmtId="164" fontId="16" fillId="0" borderId="0" xfId="2" applyNumberFormat="1" applyFont="1" applyAlignment="1">
      <alignment wrapText="1"/>
    </xf>
    <xf numFmtId="43" fontId="16" fillId="0" borderId="0" xfId="1" applyFont="1" applyBorder="1"/>
    <xf numFmtId="43" fontId="16" fillId="12" borderId="0" xfId="1" applyFont="1" applyFill="1" applyBorder="1"/>
    <xf numFmtId="43" fontId="16" fillId="0" borderId="0" xfId="1" applyFont="1" applyFill="1" applyBorder="1"/>
    <xf numFmtId="43" fontId="15" fillId="0" borderId="0" xfId="1" applyFont="1" applyBorder="1"/>
    <xf numFmtId="43" fontId="15" fillId="12" borderId="0" xfId="1" applyFont="1" applyFill="1" applyBorder="1"/>
    <xf numFmtId="0" fontId="5" fillId="0" borderId="8" xfId="0" applyFont="1" applyBorder="1"/>
    <xf numFmtId="0" fontId="0" fillId="0" borderId="59" xfId="0" applyBorder="1" applyAlignment="1">
      <alignment horizontal="right"/>
    </xf>
    <xf numFmtId="9" fontId="0" fillId="0" borderId="35" xfId="6" applyFont="1" applyBorder="1" applyAlignment="1">
      <alignment horizontal="right"/>
    </xf>
    <xf numFmtId="9" fontId="5" fillId="0" borderId="35" xfId="6" applyFont="1" applyBorder="1" applyAlignment="1">
      <alignment horizontal="right"/>
    </xf>
    <xf numFmtId="9" fontId="5" fillId="21" borderId="29" xfId="6" applyFont="1" applyFill="1" applyBorder="1" applyAlignment="1">
      <alignment horizontal="right"/>
    </xf>
    <xf numFmtId="0" fontId="0" fillId="0" borderId="0" xfId="0" applyAlignment="1">
      <alignment horizontal="right"/>
    </xf>
    <xf numFmtId="164" fontId="5" fillId="21" borderId="34" xfId="1" applyNumberFormat="1" applyFont="1" applyFill="1" applyBorder="1" applyAlignment="1">
      <alignment horizontal="right"/>
    </xf>
    <xf numFmtId="164" fontId="5" fillId="21" borderId="8" xfId="1" applyNumberFormat="1" applyFont="1" applyFill="1" applyBorder="1" applyAlignment="1">
      <alignment horizontal="right"/>
    </xf>
    <xf numFmtId="164" fontId="0" fillId="0" borderId="34" xfId="1" applyNumberFormat="1" applyFont="1" applyBorder="1" applyAlignment="1">
      <alignment horizontal="right"/>
    </xf>
    <xf numFmtId="164" fontId="0" fillId="0" borderId="8" xfId="1" applyNumberFormat="1" applyFont="1" applyBorder="1" applyAlignment="1">
      <alignment horizontal="right"/>
    </xf>
    <xf numFmtId="164" fontId="5" fillId="0" borderId="34" xfId="1" applyNumberFormat="1" applyFont="1" applyBorder="1" applyAlignment="1">
      <alignment horizontal="right"/>
    </xf>
    <xf numFmtId="164" fontId="5" fillId="21" borderId="27" xfId="1" applyNumberFormat="1" applyFont="1" applyFill="1" applyBorder="1" applyAlignment="1">
      <alignment horizontal="right"/>
    </xf>
    <xf numFmtId="164" fontId="5" fillId="21" borderId="9" xfId="1" applyNumberFormat="1" applyFont="1" applyFill="1" applyBorder="1" applyAlignment="1">
      <alignment horizontal="right"/>
    </xf>
    <xf numFmtId="0" fontId="5" fillId="6" borderId="33" xfId="0" applyFont="1" applyFill="1" applyBorder="1" applyAlignment="1">
      <alignment horizontal="left" vertical="center"/>
    </xf>
    <xf numFmtId="0" fontId="5" fillId="6" borderId="24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12" borderId="34" xfId="1" applyNumberFormat="1" applyFont="1" applyFill="1" applyBorder="1" applyAlignment="1">
      <alignment horizontal="right"/>
    </xf>
    <xf numFmtId="9" fontId="5" fillId="12" borderId="35" xfId="6" applyFont="1" applyFill="1" applyBorder="1" applyAlignment="1">
      <alignment horizontal="right"/>
    </xf>
    <xf numFmtId="164" fontId="0" fillId="12" borderId="34" xfId="1" applyNumberFormat="1" applyFont="1" applyFill="1" applyBorder="1" applyAlignment="1">
      <alignment horizontal="right"/>
    </xf>
    <xf numFmtId="9" fontId="0" fillId="12" borderId="35" xfId="6" applyFont="1" applyFill="1" applyBorder="1" applyAlignment="1">
      <alignment horizontal="right"/>
    </xf>
    <xf numFmtId="164" fontId="5" fillId="12" borderId="27" xfId="1" applyNumberFormat="1" applyFont="1" applyFill="1" applyBorder="1" applyAlignment="1">
      <alignment horizontal="right"/>
    </xf>
    <xf numFmtId="9" fontId="5" fillId="12" borderId="29" xfId="6" applyFont="1" applyFill="1" applyBorder="1" applyAlignment="1">
      <alignment horizontal="right"/>
    </xf>
    <xf numFmtId="0" fontId="5" fillId="6" borderId="26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 wrapText="1"/>
    </xf>
    <xf numFmtId="0" fontId="5" fillId="12" borderId="26" xfId="0" applyFont="1" applyFill="1" applyBorder="1" applyAlignment="1">
      <alignment horizontal="center" vertical="center"/>
    </xf>
    <xf numFmtId="0" fontId="0" fillId="22" borderId="0" xfId="0" applyFill="1"/>
    <xf numFmtId="17" fontId="0" fillId="0" borderId="0" xfId="0" applyNumberFormat="1"/>
    <xf numFmtId="43" fontId="0" fillId="22" borderId="0" xfId="1" applyFont="1" applyFill="1"/>
    <xf numFmtId="43" fontId="5" fillId="8" borderId="5" xfId="1" applyFont="1" applyFill="1" applyBorder="1" applyAlignment="1">
      <alignment horizontal="center" vertical="center" wrapText="1"/>
    </xf>
    <xf numFmtId="43" fontId="5" fillId="8" borderId="6" xfId="1" applyFont="1" applyFill="1" applyBorder="1" applyAlignment="1">
      <alignment horizontal="center" vertical="center" wrapText="1"/>
    </xf>
    <xf numFmtId="43" fontId="5" fillId="8" borderId="5" xfId="1" applyFont="1" applyFill="1" applyBorder="1" applyAlignment="1">
      <alignment horizontal="center" vertical="center"/>
    </xf>
    <xf numFmtId="43" fontId="5" fillId="8" borderId="6" xfId="1" applyFont="1" applyFill="1" applyBorder="1" applyAlignment="1">
      <alignment horizontal="center" vertical="center"/>
    </xf>
    <xf numFmtId="43" fontId="5" fillId="8" borderId="72" xfId="1" applyFont="1" applyFill="1" applyBorder="1" applyAlignment="1">
      <alignment horizontal="center" vertical="center"/>
    </xf>
    <xf numFmtId="43" fontId="5" fillId="8" borderId="73" xfId="1" applyFont="1" applyFill="1" applyBorder="1" applyAlignment="1">
      <alignment horizontal="center" vertical="center"/>
    </xf>
    <xf numFmtId="43" fontId="5" fillId="8" borderId="72" xfId="1" applyFont="1" applyFill="1" applyBorder="1" applyAlignment="1">
      <alignment horizontal="center" wrapText="1"/>
    </xf>
    <xf numFmtId="43" fontId="5" fillId="8" borderId="73" xfId="1" applyFont="1" applyFill="1" applyBorder="1" applyAlignment="1">
      <alignment horizontal="center" wrapText="1"/>
    </xf>
    <xf numFmtId="0" fontId="5" fillId="8" borderId="33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7" fontId="5" fillId="0" borderId="0" xfId="0" applyNumberFormat="1" applyFont="1"/>
    <xf numFmtId="43" fontId="5" fillId="8" borderId="0" xfId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43" fontId="0" fillId="0" borderId="48" xfId="1" applyFont="1" applyBorder="1"/>
    <xf numFmtId="43" fontId="0" fillId="0" borderId="19" xfId="1" applyFont="1" applyBorder="1"/>
    <xf numFmtId="43" fontId="0" fillId="0" borderId="19" xfId="1" applyFont="1" applyFill="1" applyBorder="1"/>
    <xf numFmtId="43" fontId="0" fillId="10" borderId="19" xfId="1" applyFont="1" applyFill="1" applyBorder="1"/>
    <xf numFmtId="43" fontId="5" fillId="8" borderId="19" xfId="1" applyFont="1" applyFill="1" applyBorder="1"/>
    <xf numFmtId="43" fontId="5" fillId="8" borderId="0" xfId="1" applyFont="1" applyFill="1" applyBorder="1"/>
    <xf numFmtId="43" fontId="0" fillId="14" borderId="48" xfId="1" applyFont="1" applyFill="1" applyBorder="1"/>
    <xf numFmtId="43" fontId="0" fillId="14" borderId="19" xfId="1" applyFont="1" applyFill="1" applyBorder="1"/>
    <xf numFmtId="43" fontId="0" fillId="23" borderId="7" xfId="0" applyNumberFormat="1" applyFill="1" applyBorder="1"/>
    <xf numFmtId="43" fontId="0" fillId="7" borderId="7" xfId="0" applyNumberFormat="1" applyFill="1" applyBorder="1"/>
    <xf numFmtId="0" fontId="5" fillId="0" borderId="80" xfId="0" applyFont="1" applyBorder="1"/>
    <xf numFmtId="0" fontId="5" fillId="0" borderId="16" xfId="0" applyFont="1" applyBorder="1"/>
    <xf numFmtId="0" fontId="5" fillId="0" borderId="18" xfId="0" applyFont="1" applyBorder="1"/>
    <xf numFmtId="43" fontId="5" fillId="10" borderId="19" xfId="1" applyFont="1" applyFill="1" applyBorder="1"/>
    <xf numFmtId="43" fontId="5" fillId="10" borderId="0" xfId="1" applyFont="1" applyFill="1" applyBorder="1"/>
    <xf numFmtId="4" fontId="3" fillId="8" borderId="0" xfId="0" applyNumberFormat="1" applyFont="1" applyFill="1" applyAlignment="1">
      <alignment horizontal="right" vertical="center"/>
    </xf>
    <xf numFmtId="0" fontId="0" fillId="0" borderId="5" xfId="0" applyBorder="1"/>
    <xf numFmtId="0" fontId="3" fillId="2" borderId="5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13" fillId="0" borderId="19" xfId="1" applyNumberFormat="1" applyFont="1" applyBorder="1"/>
    <xf numFmtId="164" fontId="5" fillId="0" borderId="19" xfId="1" applyNumberFormat="1" applyFont="1" applyBorder="1"/>
    <xf numFmtId="0" fontId="3" fillId="0" borderId="0" xfId="0" applyFont="1" applyAlignment="1">
      <alignment horizontal="center" vertical="center"/>
    </xf>
    <xf numFmtId="164" fontId="0" fillId="14" borderId="55" xfId="1" applyNumberFormat="1" applyFont="1" applyFill="1" applyBorder="1"/>
    <xf numFmtId="164" fontId="0" fillId="14" borderId="42" xfId="1" applyNumberFormat="1" applyFont="1" applyFill="1" applyBorder="1"/>
    <xf numFmtId="164" fontId="0" fillId="14" borderId="52" xfId="1" applyNumberFormat="1" applyFont="1" applyFill="1" applyBorder="1"/>
    <xf numFmtId="164" fontId="0" fillId="14" borderId="43" xfId="1" applyNumberFormat="1" applyFont="1" applyFill="1" applyBorder="1"/>
    <xf numFmtId="164" fontId="0" fillId="14" borderId="17" xfId="1" applyNumberFormat="1" applyFont="1" applyFill="1" applyBorder="1"/>
    <xf numFmtId="164" fontId="0" fillId="14" borderId="41" xfId="1" applyNumberFormat="1" applyFont="1" applyFill="1" applyBorder="1"/>
    <xf numFmtId="0" fontId="19" fillId="0" borderId="22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19" fillId="0" borderId="75" xfId="0" applyFont="1" applyBorder="1" applyAlignment="1">
      <alignment vertical="center"/>
    </xf>
    <xf numFmtId="0" fontId="24" fillId="0" borderId="7" xfId="0" applyFont="1" applyBorder="1" applyAlignment="1">
      <alignment wrapText="1"/>
    </xf>
    <xf numFmtId="164" fontId="19" fillId="0" borderId="7" xfId="1" applyNumberFormat="1" applyFont="1" applyFill="1" applyBorder="1" applyAlignment="1">
      <alignment vertical="center"/>
    </xf>
    <xf numFmtId="4" fontId="24" fillId="0" borderId="32" xfId="0" applyNumberFormat="1" applyFont="1" applyBorder="1"/>
    <xf numFmtId="4" fontId="24" fillId="0" borderId="22" xfId="0" applyNumberFormat="1" applyFont="1" applyBorder="1"/>
    <xf numFmtId="0" fontId="24" fillId="0" borderId="22" xfId="0" applyFont="1" applyBorder="1"/>
    <xf numFmtId="4" fontId="12" fillId="0" borderId="75" xfId="0" applyNumberFormat="1" applyFont="1" applyBorder="1"/>
    <xf numFmtId="164" fontId="24" fillId="0" borderId="57" xfId="1" applyNumberFormat="1" applyFont="1" applyFill="1" applyBorder="1"/>
    <xf numFmtId="164" fontId="24" fillId="0" borderId="22" xfId="1" applyNumberFormat="1" applyFont="1" applyFill="1" applyBorder="1"/>
    <xf numFmtId="164" fontId="24" fillId="0" borderId="75" xfId="1" applyNumberFormat="1" applyFont="1" applyFill="1" applyBorder="1"/>
    <xf numFmtId="164" fontId="24" fillId="0" borderId="48" xfId="1" applyNumberFormat="1" applyFont="1" applyFill="1" applyBorder="1"/>
    <xf numFmtId="164" fontId="24" fillId="0" borderId="46" xfId="1" applyNumberFormat="1" applyFont="1" applyFill="1" applyBorder="1"/>
    <xf numFmtId="164" fontId="24" fillId="0" borderId="24" xfId="1" applyNumberFormat="1" applyFont="1" applyFill="1" applyBorder="1"/>
    <xf numFmtId="164" fontId="24" fillId="0" borderId="25" xfId="1" applyNumberFormat="1" applyFont="1" applyFill="1" applyBorder="1"/>
    <xf numFmtId="164" fontId="24" fillId="0" borderId="26" xfId="1" applyNumberFormat="1" applyFont="1" applyFill="1" applyBorder="1"/>
    <xf numFmtId="164" fontId="24" fillId="0" borderId="30" xfId="1" applyNumberFormat="1" applyFont="1" applyFill="1" applyBorder="1"/>
    <xf numFmtId="0" fontId="24" fillId="0" borderId="0" xfId="0" applyFont="1"/>
    <xf numFmtId="164" fontId="24" fillId="0" borderId="34" xfId="1" applyNumberFormat="1" applyFont="1" applyFill="1" applyBorder="1"/>
    <xf numFmtId="164" fontId="24" fillId="0" borderId="4" xfId="1" applyNumberFormat="1" applyFont="1" applyFill="1" applyBorder="1"/>
    <xf numFmtId="164" fontId="24" fillId="0" borderId="0" xfId="1" applyNumberFormat="1" applyFont="1" applyFill="1"/>
    <xf numFmtId="164" fontId="24" fillId="0" borderId="47" xfId="1" applyNumberFormat="1" applyFont="1" applyFill="1" applyBorder="1"/>
    <xf numFmtId="3" fontId="24" fillId="0" borderId="35" xfId="1" applyNumberFormat="1" applyFont="1" applyFill="1" applyBorder="1"/>
    <xf numFmtId="164" fontId="0" fillId="0" borderId="27" xfId="1" applyNumberFormat="1" applyFont="1" applyFill="1" applyBorder="1"/>
    <xf numFmtId="164" fontId="0" fillId="0" borderId="28" xfId="1" applyNumberFormat="1" applyFont="1" applyFill="1" applyBorder="1"/>
    <xf numFmtId="164" fontId="0" fillId="0" borderId="29" xfId="1" applyNumberFormat="1" applyFont="1" applyFill="1" applyBorder="1"/>
    <xf numFmtId="164" fontId="24" fillId="0" borderId="87" xfId="1" applyNumberFormat="1" applyFont="1" applyFill="1" applyBorder="1"/>
    <xf numFmtId="164" fontId="24" fillId="0" borderId="88" xfId="1" applyNumberFormat="1" applyFont="1" applyFill="1" applyBorder="1"/>
    <xf numFmtId="164" fontId="24" fillId="0" borderId="89" xfId="1" applyNumberFormat="1" applyFont="1" applyFill="1" applyBorder="1"/>
    <xf numFmtId="164" fontId="0" fillId="11" borderId="57" xfId="1" applyNumberFormat="1" applyFont="1" applyFill="1" applyBorder="1"/>
    <xf numFmtId="164" fontId="0" fillId="11" borderId="22" xfId="1" applyNumberFormat="1" applyFont="1" applyFill="1" applyBorder="1"/>
    <xf numFmtId="164" fontId="0" fillId="11" borderId="48" xfId="1" applyNumberFormat="1" applyFont="1" applyFill="1" applyBorder="1"/>
    <xf numFmtId="0" fontId="0" fillId="10" borderId="16" xfId="0" applyFill="1" applyBorder="1"/>
    <xf numFmtId="0" fontId="0" fillId="10" borderId="55" xfId="0" applyFill="1" applyBorder="1"/>
    <xf numFmtId="0" fontId="8" fillId="10" borderId="52" xfId="0" applyFont="1" applyFill="1" applyBorder="1" applyAlignment="1">
      <alignment vertical="center"/>
    </xf>
    <xf numFmtId="0" fontId="8" fillId="10" borderId="17" xfId="0" applyFont="1" applyFill="1" applyBorder="1" applyAlignment="1">
      <alignment vertical="center"/>
    </xf>
    <xf numFmtId="0" fontId="5" fillId="10" borderId="41" xfId="0" applyFont="1" applyFill="1" applyBorder="1"/>
    <xf numFmtId="0" fontId="5" fillId="10" borderId="42" xfId="0" applyFont="1" applyFill="1" applyBorder="1"/>
    <xf numFmtId="0" fontId="5" fillId="10" borderId="52" xfId="0" applyFont="1" applyFill="1" applyBorder="1"/>
    <xf numFmtId="164" fontId="0" fillId="10" borderId="17" xfId="1" applyNumberFormat="1" applyFont="1" applyFill="1" applyBorder="1"/>
    <xf numFmtId="164" fontId="0" fillId="10" borderId="55" xfId="1" applyNumberFormat="1" applyFont="1" applyFill="1" applyBorder="1"/>
    <xf numFmtId="164" fontId="8" fillId="10" borderId="55" xfId="1" applyNumberFormat="1" applyFont="1" applyFill="1" applyBorder="1" applyAlignment="1">
      <alignment vertical="center"/>
    </xf>
    <xf numFmtId="164" fontId="8" fillId="10" borderId="41" xfId="1" applyNumberFormat="1" applyFont="1" applyFill="1" applyBorder="1" applyAlignment="1">
      <alignment vertical="center"/>
    </xf>
    <xf numFmtId="164" fontId="8" fillId="10" borderId="18" xfId="1" applyNumberFormat="1" applyFont="1" applyFill="1" applyBorder="1" applyAlignment="1">
      <alignment vertical="center"/>
    </xf>
    <xf numFmtId="164" fontId="8" fillId="11" borderId="23" xfId="1" applyNumberFormat="1" applyFont="1" applyFill="1" applyBorder="1" applyAlignment="1">
      <alignment vertical="center"/>
    </xf>
    <xf numFmtId="164" fontId="8" fillId="11" borderId="18" xfId="1" applyNumberFormat="1" applyFont="1" applyFill="1" applyBorder="1" applyAlignment="1">
      <alignment vertical="center"/>
    </xf>
    <xf numFmtId="164" fontId="8" fillId="0" borderId="18" xfId="1" applyNumberFormat="1" applyFont="1" applyFill="1" applyBorder="1" applyAlignment="1">
      <alignment vertical="center"/>
    </xf>
    <xf numFmtId="164" fontId="8" fillId="24" borderId="18" xfId="1" applyNumberFormat="1" applyFont="1" applyFill="1" applyBorder="1" applyAlignment="1">
      <alignment vertical="center"/>
    </xf>
    <xf numFmtId="164" fontId="8" fillId="25" borderId="18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9" fontId="0" fillId="0" borderId="0" xfId="6" applyFont="1"/>
    <xf numFmtId="0" fontId="0" fillId="0" borderId="0" xfId="0" applyAlignment="1">
      <alignment horizontal="left" wrapText="1"/>
    </xf>
    <xf numFmtId="164" fontId="0" fillId="10" borderId="0" xfId="0" applyNumberFormat="1" applyFill="1"/>
    <xf numFmtId="43" fontId="4" fillId="0" borderId="0" xfId="1" applyFont="1" applyFill="1" applyBorder="1" applyAlignment="1">
      <alignment horizontal="left" vertical="center"/>
    </xf>
    <xf numFmtId="43" fontId="4" fillId="0" borderId="0" xfId="1" applyFont="1" applyFill="1" applyBorder="1" applyAlignment="1">
      <alignment horizontal="right" vertical="center"/>
    </xf>
    <xf numFmtId="0" fontId="9" fillId="23" borderId="19" xfId="0" applyFont="1" applyFill="1" applyBorder="1" applyAlignment="1">
      <alignment horizontal="center" vertical="center"/>
    </xf>
    <xf numFmtId="0" fontId="25" fillId="23" borderId="19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vertical="center"/>
    </xf>
    <xf numFmtId="0" fontId="0" fillId="23" borderId="8" xfId="0" applyFill="1" applyBorder="1" applyAlignment="1">
      <alignment horizontal="left" wrapText="1"/>
    </xf>
    <xf numFmtId="164" fontId="9" fillId="23" borderId="8" xfId="1" applyNumberFormat="1" applyFont="1" applyFill="1" applyBorder="1" applyAlignment="1">
      <alignment vertical="center"/>
    </xf>
    <xf numFmtId="0" fontId="0" fillId="23" borderId="21" xfId="0" applyFill="1" applyBorder="1"/>
    <xf numFmtId="0" fontId="0" fillId="23" borderId="19" xfId="0" applyFill="1" applyBorder="1"/>
    <xf numFmtId="4" fontId="5" fillId="23" borderId="4" xfId="0" applyNumberFormat="1" applyFont="1" applyFill="1" applyBorder="1"/>
    <xf numFmtId="164" fontId="24" fillId="23" borderId="34" xfId="1" applyNumberFormat="1" applyFont="1" applyFill="1" applyBorder="1"/>
    <xf numFmtId="164" fontId="24" fillId="23" borderId="19" xfId="1" applyNumberFormat="1" applyFont="1" applyFill="1" applyBorder="1"/>
    <xf numFmtId="164" fontId="24" fillId="23" borderId="4" xfId="1" applyNumberFormat="1" applyFont="1" applyFill="1" applyBorder="1"/>
    <xf numFmtId="3" fontId="24" fillId="23" borderId="35" xfId="1" applyNumberFormat="1" applyFont="1" applyFill="1" applyBorder="1"/>
    <xf numFmtId="164" fontId="24" fillId="23" borderId="35" xfId="1" applyNumberFormat="1" applyFont="1" applyFill="1" applyBorder="1"/>
    <xf numFmtId="164" fontId="24" fillId="23" borderId="47" xfId="1" applyNumberFormat="1" applyFont="1" applyFill="1" applyBorder="1"/>
    <xf numFmtId="164" fontId="0" fillId="23" borderId="19" xfId="1" applyNumberFormat="1" applyFont="1" applyFill="1" applyBorder="1"/>
    <xf numFmtId="164" fontId="0" fillId="23" borderId="35" xfId="1" applyNumberFormat="1" applyFont="1" applyFill="1" applyBorder="1"/>
    <xf numFmtId="164" fontId="0" fillId="23" borderId="34" xfId="1" applyNumberFormat="1" applyFont="1" applyFill="1" applyBorder="1"/>
    <xf numFmtId="164" fontId="0" fillId="23" borderId="4" xfId="1" applyNumberFormat="1" applyFont="1" applyFill="1" applyBorder="1"/>
    <xf numFmtId="0" fontId="0" fillId="23" borderId="0" xfId="0" applyFill="1"/>
    <xf numFmtId="164" fontId="0" fillId="23" borderId="27" xfId="1" applyNumberFormat="1" applyFont="1" applyFill="1" applyBorder="1"/>
    <xf numFmtId="164" fontId="0" fillId="23" borderId="28" xfId="1" applyNumberFormat="1" applyFont="1" applyFill="1" applyBorder="1"/>
    <xf numFmtId="164" fontId="0" fillId="23" borderId="29" xfId="1" applyNumberFormat="1" applyFont="1" applyFill="1" applyBorder="1"/>
    <xf numFmtId="164" fontId="0" fillId="23" borderId="47" xfId="1" applyNumberFormat="1" applyFont="1" applyFill="1" applyBorder="1"/>
    <xf numFmtId="164" fontId="0" fillId="23" borderId="21" xfId="1" applyNumberFormat="1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6" fillId="18" borderId="24" xfId="0" applyFont="1" applyFill="1" applyBorder="1" applyAlignment="1">
      <alignment horizontal="center" vertical="center"/>
    </xf>
    <xf numFmtId="0" fontId="26" fillId="18" borderId="64" xfId="0" applyFont="1" applyFill="1" applyBorder="1" applyAlignment="1">
      <alignment horizontal="center" vertical="center"/>
    </xf>
    <xf numFmtId="164" fontId="26" fillId="18" borderId="25" xfId="1" applyNumberFormat="1" applyFont="1" applyFill="1" applyBorder="1" applyAlignment="1">
      <alignment horizontal="center" vertical="center"/>
    </xf>
    <xf numFmtId="164" fontId="26" fillId="18" borderId="65" xfId="1" applyNumberFormat="1" applyFont="1" applyFill="1" applyBorder="1" applyAlignment="1">
      <alignment horizontal="center" vertical="center"/>
    </xf>
    <xf numFmtId="164" fontId="26" fillId="18" borderId="67" xfId="1" applyNumberFormat="1" applyFont="1" applyFill="1" applyBorder="1" applyAlignment="1">
      <alignment horizontal="center" vertical="center"/>
    </xf>
    <xf numFmtId="164" fontId="26" fillId="18" borderId="66" xfId="1" applyNumberFormat="1" applyFont="1" applyFill="1" applyBorder="1" applyAlignment="1">
      <alignment horizontal="center" vertical="center"/>
    </xf>
    <xf numFmtId="0" fontId="26" fillId="18" borderId="26" xfId="0" applyFont="1" applyFill="1" applyBorder="1" applyAlignment="1">
      <alignment horizontal="center" vertical="center"/>
    </xf>
    <xf numFmtId="0" fontId="26" fillId="18" borderId="85" xfId="0" applyFont="1" applyFill="1" applyBorder="1" applyAlignment="1">
      <alignment horizontal="center" vertical="center"/>
    </xf>
    <xf numFmtId="0" fontId="5" fillId="3" borderId="70" xfId="0" applyFont="1" applyFill="1" applyBorder="1" applyAlignment="1">
      <alignment horizontal="center" vertical="center" wrapText="1"/>
    </xf>
    <xf numFmtId="0" fontId="5" fillId="3" borderId="81" xfId="0" applyFont="1" applyFill="1" applyBorder="1" applyAlignment="1">
      <alignment horizontal="center" vertical="center" wrapText="1"/>
    </xf>
    <xf numFmtId="17" fontId="5" fillId="3" borderId="16" xfId="0" applyNumberFormat="1" applyFont="1" applyFill="1" applyBorder="1" applyAlignment="1">
      <alignment horizontal="center" vertical="center" wrapText="1"/>
    </xf>
    <xf numFmtId="17" fontId="5" fillId="3" borderId="17" xfId="0" applyNumberFormat="1" applyFont="1" applyFill="1" applyBorder="1" applyAlignment="1">
      <alignment horizontal="center" vertical="center" wrapText="1"/>
    </xf>
    <xf numFmtId="17" fontId="5" fillId="3" borderId="18" xfId="0" applyNumberFormat="1" applyFont="1" applyFill="1" applyBorder="1" applyAlignment="1">
      <alignment horizontal="center" vertical="center" wrapText="1"/>
    </xf>
    <xf numFmtId="17" fontId="5" fillId="3" borderId="13" xfId="0" applyNumberFormat="1" applyFont="1" applyFill="1" applyBorder="1" applyAlignment="1">
      <alignment horizontal="center" vertical="center" wrapText="1"/>
    </xf>
    <xf numFmtId="17" fontId="5" fillId="3" borderId="14" xfId="0" applyNumberFormat="1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43" fontId="5" fillId="10" borderId="55" xfId="1" applyFont="1" applyFill="1" applyBorder="1" applyAlignment="1">
      <alignment horizontal="center"/>
    </xf>
    <xf numFmtId="43" fontId="5" fillId="10" borderId="42" xfId="1" applyFont="1" applyFill="1" applyBorder="1" applyAlignment="1">
      <alignment horizontal="center"/>
    </xf>
    <xf numFmtId="43" fontId="5" fillId="10" borderId="52" xfId="1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0" fontId="5" fillId="13" borderId="70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43" fontId="5" fillId="10" borderId="58" xfId="1" applyFont="1" applyFill="1" applyBorder="1" applyAlignment="1">
      <alignment horizontal="center"/>
    </xf>
    <xf numFmtId="43" fontId="5" fillId="10" borderId="40" xfId="1" applyFont="1" applyFill="1" applyBorder="1" applyAlignment="1">
      <alignment horizontal="center"/>
    </xf>
    <xf numFmtId="43" fontId="5" fillId="10" borderId="71" xfId="1" applyFont="1" applyFill="1" applyBorder="1" applyAlignment="1">
      <alignment horizontal="center"/>
    </xf>
    <xf numFmtId="43" fontId="5" fillId="10" borderId="59" xfId="1" applyFont="1" applyFill="1" applyBorder="1" applyAlignment="1">
      <alignment horizontal="center"/>
    </xf>
    <xf numFmtId="43" fontId="5" fillId="8" borderId="5" xfId="1" applyFont="1" applyFill="1" applyBorder="1" applyAlignment="1">
      <alignment horizontal="center" vertical="center"/>
    </xf>
    <xf numFmtId="43" fontId="5" fillId="8" borderId="6" xfId="1" applyFont="1" applyFill="1" applyBorder="1" applyAlignment="1">
      <alignment horizontal="center" vertical="center"/>
    </xf>
    <xf numFmtId="43" fontId="5" fillId="8" borderId="5" xfId="1" applyFont="1" applyFill="1" applyBorder="1" applyAlignment="1">
      <alignment horizontal="center" vertical="center" wrapText="1"/>
    </xf>
    <xf numFmtId="43" fontId="5" fillId="8" borderId="6" xfId="1" applyFont="1" applyFill="1" applyBorder="1" applyAlignment="1">
      <alignment horizontal="center" vertical="center" wrapText="1"/>
    </xf>
    <xf numFmtId="43" fontId="5" fillId="8" borderId="72" xfId="1" applyFont="1" applyFill="1" applyBorder="1" applyAlignment="1">
      <alignment horizontal="center" vertical="center"/>
    </xf>
    <xf numFmtId="43" fontId="5" fillId="8" borderId="73" xfId="1" applyFont="1" applyFill="1" applyBorder="1" applyAlignment="1">
      <alignment horizontal="center" vertical="center"/>
    </xf>
    <xf numFmtId="43" fontId="5" fillId="8" borderId="72" xfId="1" applyFont="1" applyFill="1" applyBorder="1" applyAlignment="1">
      <alignment horizontal="center" wrapText="1"/>
    </xf>
    <xf numFmtId="43" fontId="5" fillId="8" borderId="73" xfId="1" applyFont="1" applyFill="1" applyBorder="1" applyAlignment="1">
      <alignment horizontal="center" wrapText="1"/>
    </xf>
    <xf numFmtId="0" fontId="5" fillId="8" borderId="9" xfId="0" applyFont="1" applyFill="1" applyBorder="1" applyAlignment="1">
      <alignment horizontal="center" vertical="center"/>
    </xf>
    <xf numFmtId="43" fontId="5" fillId="14" borderId="55" xfId="1" applyFont="1" applyFill="1" applyBorder="1" applyAlignment="1">
      <alignment horizontal="center"/>
    </xf>
    <xf numFmtId="43" fontId="5" fillId="14" borderId="42" xfId="1" applyFont="1" applyFill="1" applyBorder="1" applyAlignment="1">
      <alignment horizontal="center"/>
    </xf>
    <xf numFmtId="43" fontId="5" fillId="14" borderId="52" xfId="1" applyFont="1" applyFill="1" applyBorder="1" applyAlignment="1">
      <alignment horizontal="center"/>
    </xf>
    <xf numFmtId="43" fontId="5" fillId="14" borderId="58" xfId="1" applyFont="1" applyFill="1" applyBorder="1" applyAlignment="1">
      <alignment horizontal="center"/>
    </xf>
    <xf numFmtId="43" fontId="5" fillId="14" borderId="40" xfId="1" applyFont="1" applyFill="1" applyBorder="1" applyAlignment="1">
      <alignment horizontal="center"/>
    </xf>
    <xf numFmtId="43" fontId="5" fillId="14" borderId="71" xfId="1" applyFont="1" applyFill="1" applyBorder="1" applyAlignment="1">
      <alignment horizontal="center"/>
    </xf>
    <xf numFmtId="43" fontId="5" fillId="14" borderId="59" xfId="1" applyFont="1" applyFill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4" fontId="8" fillId="0" borderId="33" xfId="1" applyNumberFormat="1" applyFont="1" applyBorder="1" applyAlignment="1">
      <alignment horizontal="center" vertical="center" wrapText="1"/>
    </xf>
    <xf numFmtId="164" fontId="8" fillId="0" borderId="20" xfId="1" applyNumberFormat="1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/>
    </xf>
    <xf numFmtId="0" fontId="16" fillId="0" borderId="17" xfId="2" applyFont="1" applyBorder="1" applyAlignment="1">
      <alignment horizontal="center"/>
    </xf>
    <xf numFmtId="0" fontId="16" fillId="0" borderId="18" xfId="2" applyFont="1" applyBorder="1" applyAlignment="1">
      <alignment horizontal="center"/>
    </xf>
  </cellXfs>
  <cellStyles count="7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2" xr:uid="{00000000-0005-0000-0000-000004000000}"/>
    <cellStyle name="Normal 2 2" xfId="3" xr:uid="{00000000-0005-0000-0000-000005000000}"/>
    <cellStyle name="Percent" xfId="6" builtinId="5"/>
  </cellStyles>
  <dxfs count="1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22" formatCode="mmm/yy"/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solid">
          <fgColor indexed="64"/>
          <bgColor rgb="FFD3D3D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adeepk\AppData\Local\Microsoft\Windows\INetCache\Content.Outlook\B4EOYU1B\Copy%20of%20MIS_BHSL_Apr_2024_V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deep/MIS/May%202024/Property_Comparison_bhslall_Accrual%20TB%20to%20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neehalt\Desktop\Property_Comparision_TB_bhslall_Accru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neehalt\Desktop\MIS%20APRIL%202024\MALL%20EXP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of Outlets"/>
      <sheetName val="Budget"/>
      <sheetName val="MIS Linked TB"/>
      <sheetName val="unadjusted tb"/>
      <sheetName val="Reco Vs Books"/>
      <sheetName val="MIS V2"/>
      <sheetName val="OVERALL PROFITABILITY"/>
      <sheetName val="TB Apr 24"/>
      <sheetName val="TB 17.05.24"/>
      <sheetName val="MIS"/>
      <sheetName val="TB 18.05.24"/>
      <sheetName val="Sales summary"/>
      <sheetName val="REV &amp; COGS"/>
      <sheetName val="Occupational Cost-Mall Expenses"/>
      <sheetName val="Manpower Cost"/>
      <sheetName val="Staff Room Rent"/>
      <sheetName val="Provisions April -Expenses"/>
      <sheetName val="Marketing &amp; Business Promotion "/>
      <sheetName val="Other Operating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4">
          <cell r="BU54">
            <v>0</v>
          </cell>
        </row>
        <row r="55">
          <cell r="CA55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1"/>
      <sheetName val="Sheet1"/>
    </sheetNames>
    <sheetDataSet>
      <sheetData sheetId="0"/>
      <sheetData sheetId="1">
        <row r="8">
          <cell r="A8" t="str">
            <v>320402-019</v>
          </cell>
        </row>
        <row r="9">
          <cell r="A9" t="str">
            <v>330004-025</v>
          </cell>
        </row>
        <row r="10">
          <cell r="A10" t="str">
            <v>360000-002</v>
          </cell>
        </row>
        <row r="11">
          <cell r="A11" t="str">
            <v>360000-003</v>
          </cell>
        </row>
        <row r="12">
          <cell r="A12" t="str">
            <v>360001-002</v>
          </cell>
        </row>
        <row r="13">
          <cell r="A13" t="str">
            <v>360001-003</v>
          </cell>
        </row>
        <row r="14">
          <cell r="A14" t="str">
            <v>360001-004</v>
          </cell>
        </row>
        <row r="15">
          <cell r="A15" t="str">
            <v>360001-005</v>
          </cell>
        </row>
        <row r="16">
          <cell r="A16" t="str">
            <v>360001-006</v>
          </cell>
        </row>
        <row r="17">
          <cell r="A17" t="str">
            <v>360001-007</v>
          </cell>
        </row>
        <row r="18">
          <cell r="A18" t="str">
            <v>360002-002</v>
          </cell>
        </row>
        <row r="19">
          <cell r="A19" t="str">
            <v>360002-003</v>
          </cell>
        </row>
        <row r="20">
          <cell r="A20" t="str">
            <v>410100-003</v>
          </cell>
        </row>
        <row r="21">
          <cell r="A21" t="str">
            <v>410200-003</v>
          </cell>
        </row>
        <row r="22">
          <cell r="A22" t="str">
            <v>410200-004</v>
          </cell>
        </row>
        <row r="23">
          <cell r="A23" t="str">
            <v>410500-010</v>
          </cell>
        </row>
        <row r="24">
          <cell r="A24" t="str">
            <v>411001-004</v>
          </cell>
        </row>
        <row r="25">
          <cell r="A25" t="str">
            <v>411001-152</v>
          </cell>
        </row>
        <row r="26">
          <cell r="A26" t="str">
            <v>411001-202</v>
          </cell>
        </row>
        <row r="27">
          <cell r="A27" t="str">
            <v>411001-209</v>
          </cell>
        </row>
        <row r="28">
          <cell r="A28" t="str">
            <v>411001-253</v>
          </cell>
        </row>
        <row r="29">
          <cell r="A29" t="str">
            <v>411002-003</v>
          </cell>
        </row>
        <row r="30">
          <cell r="A30" t="str">
            <v>411002-205</v>
          </cell>
        </row>
        <row r="31">
          <cell r="A31" t="str">
            <v>420101-002</v>
          </cell>
        </row>
        <row r="32">
          <cell r="A32" t="str">
            <v>420101-003</v>
          </cell>
        </row>
        <row r="33">
          <cell r="A33" t="str">
            <v>420101-006</v>
          </cell>
        </row>
        <row r="34">
          <cell r="A34" t="str">
            <v>420101-016</v>
          </cell>
        </row>
        <row r="35">
          <cell r="A35" t="str">
            <v>420101-102</v>
          </cell>
        </row>
        <row r="36">
          <cell r="A36" t="str">
            <v>420101-103</v>
          </cell>
        </row>
        <row r="37">
          <cell r="A37" t="str">
            <v>420101-105</v>
          </cell>
        </row>
        <row r="38">
          <cell r="A38" t="str">
            <v>420101-203</v>
          </cell>
        </row>
        <row r="39">
          <cell r="A39" t="str">
            <v>420101-304</v>
          </cell>
        </row>
        <row r="40">
          <cell r="A40" t="str">
            <v>420101-404</v>
          </cell>
        </row>
        <row r="41">
          <cell r="A41" t="str">
            <v>420101-405</v>
          </cell>
        </row>
        <row r="42">
          <cell r="A42" t="str">
            <v>420102-004</v>
          </cell>
        </row>
        <row r="43">
          <cell r="A43" t="str">
            <v>420102-005</v>
          </cell>
        </row>
        <row r="44">
          <cell r="A44" t="str">
            <v>420102-302</v>
          </cell>
        </row>
        <row r="45">
          <cell r="A45" t="str">
            <v>420102-402</v>
          </cell>
        </row>
        <row r="46">
          <cell r="A46" t="str">
            <v>420103-001</v>
          </cell>
        </row>
        <row r="47">
          <cell r="A47" t="str">
            <v>420105-002</v>
          </cell>
        </row>
        <row r="48">
          <cell r="A48" t="str">
            <v>420108-001</v>
          </cell>
        </row>
        <row r="49">
          <cell r="A49" t="str">
            <v>420108-004</v>
          </cell>
        </row>
        <row r="50">
          <cell r="A50" t="str">
            <v>420109-015</v>
          </cell>
        </row>
        <row r="51">
          <cell r="A51" t="str">
            <v>420111-002</v>
          </cell>
        </row>
        <row r="52">
          <cell r="A52" t="str">
            <v>420111-211</v>
          </cell>
        </row>
        <row r="53">
          <cell r="A53" t="str">
            <v>420111-213</v>
          </cell>
        </row>
        <row r="54">
          <cell r="A54" t="str">
            <v>420111-214</v>
          </cell>
        </row>
        <row r="55">
          <cell r="A55" t="str">
            <v>420113-004</v>
          </cell>
        </row>
        <row r="56">
          <cell r="A56" t="str">
            <v>420113-008</v>
          </cell>
        </row>
        <row r="57">
          <cell r="A57" t="str">
            <v>420113-009</v>
          </cell>
        </row>
        <row r="58">
          <cell r="A58" t="str">
            <v>420113-015</v>
          </cell>
        </row>
        <row r="59">
          <cell r="A59" t="str">
            <v>420113-035</v>
          </cell>
        </row>
        <row r="60">
          <cell r="A60" t="str">
            <v>420202-004</v>
          </cell>
        </row>
        <row r="61">
          <cell r="A61" t="str">
            <v>420202-012</v>
          </cell>
        </row>
        <row r="62">
          <cell r="A62" t="str">
            <v>420204-003</v>
          </cell>
        </row>
        <row r="63">
          <cell r="A63" t="str">
            <v>420204-006</v>
          </cell>
        </row>
        <row r="64">
          <cell r="A64" t="str">
            <v>450001-001</v>
          </cell>
        </row>
        <row r="65">
          <cell r="A65" t="str">
            <v>450001-002</v>
          </cell>
        </row>
        <row r="66">
          <cell r="A66" t="str">
            <v>450001-003</v>
          </cell>
        </row>
        <row r="67">
          <cell r="A67" t="str">
            <v>450001-004</v>
          </cell>
        </row>
        <row r="68">
          <cell r="A68" t="str">
            <v>450001-005</v>
          </cell>
        </row>
        <row r="69">
          <cell r="A69" t="str">
            <v>450001-006</v>
          </cell>
        </row>
        <row r="70">
          <cell r="A70" t="str">
            <v>450001-007</v>
          </cell>
        </row>
        <row r="71">
          <cell r="A71" t="str">
            <v>450001-008</v>
          </cell>
        </row>
        <row r="72">
          <cell r="A72" t="str">
            <v>450001-009</v>
          </cell>
        </row>
        <row r="73">
          <cell r="A73" t="str">
            <v>450001-010</v>
          </cell>
        </row>
        <row r="74">
          <cell r="A74" t="str">
            <v>450002-001</v>
          </cell>
        </row>
        <row r="75">
          <cell r="A75" t="str">
            <v>450002-002</v>
          </cell>
        </row>
        <row r="76">
          <cell r="A76" t="str">
            <v>450002-003</v>
          </cell>
        </row>
        <row r="77">
          <cell r="A77" t="str">
            <v>450002-005</v>
          </cell>
        </row>
        <row r="78">
          <cell r="A78" t="str">
            <v>450002-006</v>
          </cell>
        </row>
        <row r="79">
          <cell r="A79" t="str">
            <v>450002-008</v>
          </cell>
        </row>
        <row r="80">
          <cell r="A80" t="str">
            <v>450002-009</v>
          </cell>
        </row>
        <row r="81">
          <cell r="A81" t="str">
            <v>450002-012</v>
          </cell>
        </row>
        <row r="82">
          <cell r="A82" t="str">
            <v>450002-015</v>
          </cell>
        </row>
        <row r="83">
          <cell r="A83" t="str">
            <v>450002-016</v>
          </cell>
        </row>
        <row r="84">
          <cell r="A84" t="str">
            <v>450002-018</v>
          </cell>
        </row>
        <row r="85">
          <cell r="A85" t="str">
            <v>450002-019</v>
          </cell>
        </row>
        <row r="86">
          <cell r="A86" t="str">
            <v>450002-020</v>
          </cell>
        </row>
        <row r="87">
          <cell r="A87" t="str">
            <v>450002-022</v>
          </cell>
        </row>
        <row r="88">
          <cell r="A88" t="str">
            <v>450002-023</v>
          </cell>
        </row>
        <row r="89">
          <cell r="A89" t="str">
            <v>450002-024</v>
          </cell>
        </row>
        <row r="90">
          <cell r="A90" t="str">
            <v>450002-025</v>
          </cell>
        </row>
        <row r="91">
          <cell r="A91" t="str">
            <v>450002-026</v>
          </cell>
        </row>
        <row r="92">
          <cell r="A92" t="str">
            <v>450002-027</v>
          </cell>
        </row>
        <row r="93">
          <cell r="A93" t="str">
            <v>450002-028</v>
          </cell>
        </row>
        <row r="94">
          <cell r="A94" t="str">
            <v>451000-002</v>
          </cell>
        </row>
        <row r="95">
          <cell r="A95" t="str">
            <v>451000-003</v>
          </cell>
        </row>
        <row r="96">
          <cell r="A96" t="str">
            <v>451000-004</v>
          </cell>
        </row>
        <row r="97">
          <cell r="A97" t="str">
            <v>451000-005</v>
          </cell>
        </row>
        <row r="98">
          <cell r="A98" t="str">
            <v>451000-006</v>
          </cell>
        </row>
        <row r="99">
          <cell r="A99" t="str">
            <v>451000-007</v>
          </cell>
        </row>
        <row r="100">
          <cell r="A100" t="str">
            <v>451000-008</v>
          </cell>
        </row>
        <row r="101">
          <cell r="A101" t="str">
            <v>452000-001</v>
          </cell>
        </row>
        <row r="102">
          <cell r="A102" t="str">
            <v>500001-001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1"/>
    </sheetNames>
    <sheetDataSet>
      <sheetData sheetId="0">
        <row r="307">
          <cell r="D307">
            <v>1446290</v>
          </cell>
          <cell r="E307">
            <v>1698893</v>
          </cell>
          <cell r="F307">
            <v>0</v>
          </cell>
          <cell r="G307">
            <v>3441504</v>
          </cell>
          <cell r="H307">
            <v>1308602</v>
          </cell>
          <cell r="I307">
            <v>3232619.5</v>
          </cell>
          <cell r="J307">
            <v>5092021.5</v>
          </cell>
          <cell r="K307">
            <v>0</v>
          </cell>
          <cell r="L307">
            <v>5800090.5</v>
          </cell>
          <cell r="M307">
            <v>4114376.5</v>
          </cell>
          <cell r="O307">
            <v>1927862</v>
          </cell>
          <cell r="P307">
            <v>0</v>
          </cell>
          <cell r="Q307">
            <v>3122120</v>
          </cell>
          <cell r="R307">
            <v>931224</v>
          </cell>
          <cell r="S307">
            <v>3708</v>
          </cell>
          <cell r="T307">
            <v>4917224</v>
          </cell>
          <cell r="U307">
            <v>0</v>
          </cell>
          <cell r="V307">
            <v>970004</v>
          </cell>
          <cell r="W307">
            <v>1150387</v>
          </cell>
          <cell r="X307">
            <v>970001</v>
          </cell>
          <cell r="Y307">
            <v>1860457</v>
          </cell>
          <cell r="Z307">
            <v>1971717</v>
          </cell>
          <cell r="AA307">
            <v>4423175</v>
          </cell>
          <cell r="AB307">
            <v>3859703</v>
          </cell>
          <cell r="AC307">
            <v>3887443</v>
          </cell>
          <cell r="AD307">
            <v>723322</v>
          </cell>
          <cell r="AE307">
            <v>2237094</v>
          </cell>
          <cell r="AF307">
            <v>1662794</v>
          </cell>
          <cell r="AG307">
            <v>2653831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89054</v>
          </cell>
          <cell r="AM307">
            <v>0</v>
          </cell>
          <cell r="AN307">
            <v>155576</v>
          </cell>
          <cell r="AO307">
            <v>0</v>
          </cell>
          <cell r="AP307">
            <v>0</v>
          </cell>
          <cell r="AQ307">
            <v>734949</v>
          </cell>
          <cell r="AR307">
            <v>3205123</v>
          </cell>
          <cell r="AS307">
            <v>2347685</v>
          </cell>
          <cell r="AT307">
            <v>109410</v>
          </cell>
          <cell r="AU307">
            <v>3016942.5</v>
          </cell>
          <cell r="AV307">
            <v>2555142.5</v>
          </cell>
          <cell r="AW307">
            <v>0</v>
          </cell>
          <cell r="AX307">
            <v>0</v>
          </cell>
          <cell r="AY307">
            <v>227275</v>
          </cell>
          <cell r="AZ307">
            <v>0</v>
          </cell>
          <cell r="BA307">
            <v>2900</v>
          </cell>
          <cell r="BB307">
            <v>0</v>
          </cell>
          <cell r="BC307">
            <v>0</v>
          </cell>
        </row>
        <row r="308">
          <cell r="D308">
            <v>1100504</v>
          </cell>
          <cell r="E308">
            <v>1530052</v>
          </cell>
          <cell r="F308">
            <v>0</v>
          </cell>
          <cell r="G308">
            <v>1548929</v>
          </cell>
          <cell r="H308">
            <v>658750</v>
          </cell>
          <cell r="I308">
            <v>1026322.4</v>
          </cell>
          <cell r="J308">
            <v>1015620.3</v>
          </cell>
          <cell r="K308">
            <v>0</v>
          </cell>
          <cell r="L308">
            <v>1079074.6000000001</v>
          </cell>
          <cell r="M308">
            <v>1079074.8400000001</v>
          </cell>
          <cell r="O308">
            <v>2658927</v>
          </cell>
          <cell r="P308">
            <v>0</v>
          </cell>
          <cell r="Q308">
            <v>1172615</v>
          </cell>
          <cell r="R308">
            <v>1610933</v>
          </cell>
          <cell r="S308">
            <v>0</v>
          </cell>
          <cell r="T308">
            <v>2097186</v>
          </cell>
          <cell r="U308">
            <v>0</v>
          </cell>
          <cell r="V308">
            <v>954825</v>
          </cell>
          <cell r="W308">
            <v>1189020</v>
          </cell>
          <cell r="X308">
            <v>954825</v>
          </cell>
          <cell r="Y308">
            <v>391385</v>
          </cell>
          <cell r="Z308">
            <v>366911</v>
          </cell>
          <cell r="AA308">
            <v>7048819</v>
          </cell>
          <cell r="AB308">
            <v>454486</v>
          </cell>
          <cell r="AC308">
            <v>518562</v>
          </cell>
          <cell r="AD308">
            <v>280054</v>
          </cell>
          <cell r="AE308">
            <v>576911</v>
          </cell>
          <cell r="AF308">
            <v>414080</v>
          </cell>
          <cell r="AG308">
            <v>487978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21991</v>
          </cell>
          <cell r="AM308">
            <v>0</v>
          </cell>
          <cell r="AN308">
            <v>255687</v>
          </cell>
          <cell r="AO308">
            <v>0</v>
          </cell>
          <cell r="AP308">
            <v>0</v>
          </cell>
          <cell r="AQ308">
            <v>532358</v>
          </cell>
          <cell r="AR308">
            <v>1660974</v>
          </cell>
          <cell r="AS308">
            <v>1103211</v>
          </cell>
          <cell r="AT308">
            <v>101584</v>
          </cell>
          <cell r="AU308">
            <v>849269</v>
          </cell>
          <cell r="AV308">
            <v>1073898</v>
          </cell>
          <cell r="AW308">
            <v>110643</v>
          </cell>
          <cell r="AX308">
            <v>0</v>
          </cell>
          <cell r="AY308">
            <v>-8496</v>
          </cell>
          <cell r="AZ308">
            <v>110643</v>
          </cell>
          <cell r="BA308">
            <v>255484</v>
          </cell>
          <cell r="BB308">
            <v>445514.5</v>
          </cell>
          <cell r="BC308">
            <v>445514.5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eing"/>
      <sheetName val="sUMMARY"/>
      <sheetName val="PML APRIL 2024"/>
      <sheetName val="VAMONA"/>
      <sheetName val="ALYSSUM APRIL 2024"/>
      <sheetName val="WORKING FOR PROV MALL EXP"/>
      <sheetName val="SGH APRIL 2024"/>
      <sheetName val="DESTINY APRIL 2024"/>
      <sheetName val="OFFBEAT APRIL 2024"/>
      <sheetName val="ISML APRIL 2024"/>
      <sheetName val="SPARKLE ONE NEW"/>
      <sheetName val="Sparkle One."/>
      <sheetName val="SPARKLE ONE"/>
      <sheetName val="PML Chg Reg"/>
    </sheetNames>
    <sheetDataSet>
      <sheetData sheetId="0"/>
      <sheetData sheetId="1"/>
      <sheetData sheetId="2">
        <row r="5">
          <cell r="C5">
            <v>47380</v>
          </cell>
        </row>
        <row r="6">
          <cell r="C6">
            <v>45942</v>
          </cell>
        </row>
        <row r="7">
          <cell r="D7">
            <v>127864.64131048767</v>
          </cell>
          <cell r="E7">
            <v>142251.18345572083</v>
          </cell>
          <cell r="F7">
            <v>112062.10092261345</v>
          </cell>
          <cell r="G7">
            <v>69044.074311178061</v>
          </cell>
        </row>
        <row r="8">
          <cell r="C8">
            <v>52455</v>
          </cell>
        </row>
        <row r="9">
          <cell r="C9">
            <v>59449</v>
          </cell>
        </row>
        <row r="11">
          <cell r="B11">
            <v>101248</v>
          </cell>
        </row>
        <row r="12">
          <cell r="B12">
            <v>175956</v>
          </cell>
        </row>
        <row r="13">
          <cell r="D13">
            <v>131420.70325739033</v>
          </cell>
          <cell r="E13">
            <v>146207.35159731374</v>
          </cell>
          <cell r="F13">
            <v>115178.67614385238</v>
          </cell>
          <cell r="G13">
            <v>70964.26900144355</v>
          </cell>
        </row>
        <row r="14">
          <cell r="B14">
            <v>72174</v>
          </cell>
        </row>
        <row r="15">
          <cell r="B15">
            <v>172565</v>
          </cell>
        </row>
        <row r="17">
          <cell r="D17">
            <v>62374.046318960653</v>
          </cell>
          <cell r="E17">
            <v>69391.989957948914</v>
          </cell>
          <cell r="F17">
            <v>54665.360195820002</v>
          </cell>
          <cell r="G17">
            <v>33680.603527270447</v>
          </cell>
        </row>
        <row r="18">
          <cell r="B18">
            <v>33089</v>
          </cell>
        </row>
        <row r="19">
          <cell r="B19">
            <v>48219</v>
          </cell>
        </row>
        <row r="21">
          <cell r="D21">
            <v>13966.377330069667</v>
          </cell>
          <cell r="E21">
            <v>15537.788112722024</v>
          </cell>
          <cell r="F21">
            <v>12240.300131801921</v>
          </cell>
          <cell r="G21">
            <v>7541.5344254063893</v>
          </cell>
        </row>
        <row r="22">
          <cell r="B22">
            <v>5456</v>
          </cell>
        </row>
        <row r="23">
          <cell r="B23">
            <v>7220</v>
          </cell>
        </row>
        <row r="25">
          <cell r="B25">
            <v>5282</v>
          </cell>
        </row>
        <row r="26">
          <cell r="B26">
            <v>4877</v>
          </cell>
        </row>
        <row r="27">
          <cell r="D27">
            <v>14251.735078139709</v>
          </cell>
          <cell r="E27">
            <v>15855.252557584887</v>
          </cell>
          <cell r="F27">
            <v>12490.391075127094</v>
          </cell>
          <cell r="G27">
            <v>7695.6212891483083</v>
          </cell>
        </row>
        <row r="28">
          <cell r="B28">
            <v>5569</v>
          </cell>
        </row>
        <row r="29">
          <cell r="B29">
            <v>6885</v>
          </cell>
        </row>
        <row r="37">
          <cell r="B37">
            <v>9123</v>
          </cell>
        </row>
        <row r="38">
          <cell r="B38">
            <v>13960</v>
          </cell>
        </row>
        <row r="39">
          <cell r="D39">
            <v>10614.344756166447</v>
          </cell>
          <cell r="E39">
            <v>11808.605472917843</v>
          </cell>
          <cell r="F39">
            <v>9302.5386932781021</v>
          </cell>
          <cell r="G39">
            <v>5731.5110776376077</v>
          </cell>
        </row>
        <row r="40">
          <cell r="B40">
            <v>18333</v>
          </cell>
        </row>
        <row r="41">
          <cell r="B41">
            <v>11598</v>
          </cell>
        </row>
        <row r="45">
          <cell r="C45">
            <v>30797</v>
          </cell>
        </row>
        <row r="46">
          <cell r="C46">
            <v>28440</v>
          </cell>
        </row>
        <row r="49">
          <cell r="D49">
            <v>83112.215213707401</v>
          </cell>
          <cell r="E49">
            <v>92463.489926567505</v>
          </cell>
          <cell r="F49">
            <v>72840.53944643194</v>
          </cell>
          <cell r="G49">
            <v>44878.755413293162</v>
          </cell>
        </row>
        <row r="51">
          <cell r="C51">
            <v>14699.75</v>
          </cell>
        </row>
        <row r="52">
          <cell r="C52">
            <v>13570.083333333334</v>
          </cell>
        </row>
        <row r="53">
          <cell r="E53">
            <v>38757.693623297564</v>
          </cell>
          <cell r="F53">
            <v>43118.470668842449</v>
          </cell>
          <cell r="G53">
            <v>33967.70623862424</v>
          </cell>
          <cell r="H53">
            <v>20928.296135902427</v>
          </cell>
        </row>
        <row r="54">
          <cell r="C54">
            <v>15491.916666666666</v>
          </cell>
        </row>
        <row r="55">
          <cell r="C55">
            <v>19159.583333333332</v>
          </cell>
        </row>
      </sheetData>
      <sheetData sheetId="3">
        <row r="5">
          <cell r="C5">
            <v>159265</v>
          </cell>
        </row>
        <row r="6">
          <cell r="C6">
            <v>101584</v>
          </cell>
        </row>
        <row r="7">
          <cell r="C7">
            <v>83603</v>
          </cell>
        </row>
        <row r="8">
          <cell r="C8">
            <v>83603</v>
          </cell>
        </row>
        <row r="10">
          <cell r="C10">
            <v>24509</v>
          </cell>
        </row>
        <row r="11">
          <cell r="C11">
            <v>55904</v>
          </cell>
        </row>
        <row r="12">
          <cell r="C12">
            <v>41291</v>
          </cell>
        </row>
        <row r="13">
          <cell r="C13">
            <v>41291</v>
          </cell>
        </row>
        <row r="15">
          <cell r="C15">
            <v>2849</v>
          </cell>
        </row>
        <row r="16">
          <cell r="C16">
            <v>6505</v>
          </cell>
        </row>
        <row r="17">
          <cell r="C17">
            <v>4802.5</v>
          </cell>
        </row>
        <row r="18">
          <cell r="C18">
            <v>4802.5</v>
          </cell>
        </row>
        <row r="20">
          <cell r="C20">
            <v>117301</v>
          </cell>
        </row>
        <row r="21">
          <cell r="C21">
            <v>78559</v>
          </cell>
        </row>
        <row r="22">
          <cell r="C22">
            <v>61709.5</v>
          </cell>
        </row>
        <row r="23">
          <cell r="C23">
            <v>61709.5</v>
          </cell>
        </row>
        <row r="25">
          <cell r="C25">
            <v>20287</v>
          </cell>
        </row>
        <row r="26">
          <cell r="C26">
            <v>13586</v>
          </cell>
        </row>
        <row r="27">
          <cell r="C27">
            <v>10650</v>
          </cell>
        </row>
        <row r="28">
          <cell r="C28">
            <v>10650</v>
          </cell>
        </row>
        <row r="35">
          <cell r="C35">
            <v>13062</v>
          </cell>
        </row>
        <row r="36">
          <cell r="C36">
            <v>30668</v>
          </cell>
        </row>
        <row r="37">
          <cell r="C37">
            <v>19712</v>
          </cell>
        </row>
        <row r="38">
          <cell r="C38">
            <v>19712</v>
          </cell>
        </row>
        <row r="42">
          <cell r="C42">
            <v>23099.75</v>
          </cell>
        </row>
        <row r="43">
          <cell r="C43">
            <v>10174.416666666666</v>
          </cell>
        </row>
        <row r="44">
          <cell r="C44">
            <v>7320.541666666667</v>
          </cell>
        </row>
        <row r="45">
          <cell r="C45">
            <v>7320.541666666667</v>
          </cell>
        </row>
      </sheetData>
      <sheetData sheetId="4">
        <row r="37">
          <cell r="B37">
            <v>205162</v>
          </cell>
        </row>
        <row r="38">
          <cell r="B38">
            <v>62304</v>
          </cell>
        </row>
        <row r="39">
          <cell r="B39">
            <v>223594</v>
          </cell>
        </row>
        <row r="41">
          <cell r="B41">
            <v>14576.21</v>
          </cell>
        </row>
        <row r="42">
          <cell r="B42">
            <v>121995</v>
          </cell>
        </row>
        <row r="43">
          <cell r="B43">
            <v>217533</v>
          </cell>
        </row>
        <row r="49">
          <cell r="B49">
            <v>6755</v>
          </cell>
        </row>
        <row r="51">
          <cell r="B51">
            <v>17926</v>
          </cell>
        </row>
        <row r="53">
          <cell r="B53">
            <v>77246</v>
          </cell>
        </row>
        <row r="54">
          <cell r="B54">
            <v>152564</v>
          </cell>
        </row>
        <row r="56">
          <cell r="B56">
            <v>27977</v>
          </cell>
        </row>
        <row r="57">
          <cell r="B57">
            <v>8496</v>
          </cell>
        </row>
        <row r="58">
          <cell r="B58">
            <v>30491</v>
          </cell>
        </row>
        <row r="60">
          <cell r="B60">
            <v>9138</v>
          </cell>
        </row>
        <row r="61">
          <cell r="B61">
            <v>3730</v>
          </cell>
        </row>
        <row r="62">
          <cell r="B62">
            <v>10692</v>
          </cell>
        </row>
        <row r="64">
          <cell r="B64">
            <v>5432</v>
          </cell>
        </row>
        <row r="65">
          <cell r="B65">
            <v>10225</v>
          </cell>
        </row>
        <row r="66">
          <cell r="B66">
            <v>123554</v>
          </cell>
        </row>
        <row r="70">
          <cell r="B70">
            <v>95977</v>
          </cell>
        </row>
        <row r="71">
          <cell r="B71">
            <v>7780</v>
          </cell>
        </row>
        <row r="72">
          <cell r="B72">
            <v>116472</v>
          </cell>
        </row>
      </sheetData>
      <sheetData sheetId="5"/>
      <sheetData sheetId="6">
        <row r="5">
          <cell r="B5">
            <v>84876</v>
          </cell>
        </row>
        <row r="6">
          <cell r="B6">
            <v>108720</v>
          </cell>
        </row>
        <row r="7">
          <cell r="B7">
            <v>120444</v>
          </cell>
        </row>
        <row r="8">
          <cell r="B8">
            <v>50806</v>
          </cell>
        </row>
        <row r="10">
          <cell r="B10">
            <v>74235</v>
          </cell>
        </row>
        <row r="11">
          <cell r="B11">
            <v>79955</v>
          </cell>
        </row>
        <row r="12">
          <cell r="B12">
            <v>100583</v>
          </cell>
        </row>
        <row r="13">
          <cell r="B13">
            <v>47253</v>
          </cell>
        </row>
        <row r="15">
          <cell r="B15">
            <v>8885</v>
          </cell>
        </row>
        <row r="16">
          <cell r="B16">
            <v>11934</v>
          </cell>
        </row>
        <row r="17">
          <cell r="B17">
            <v>2560</v>
          </cell>
        </row>
        <row r="19">
          <cell r="B19">
            <v>42332</v>
          </cell>
        </row>
        <row r="20">
          <cell r="B20">
            <v>54225</v>
          </cell>
        </row>
        <row r="21">
          <cell r="B21">
            <v>60072</v>
          </cell>
        </row>
        <row r="22">
          <cell r="B22">
            <v>25340</v>
          </cell>
        </row>
        <row r="24">
          <cell r="B24">
            <v>10609</v>
          </cell>
        </row>
        <row r="25">
          <cell r="B25">
            <v>13591</v>
          </cell>
        </row>
        <row r="26">
          <cell r="B26">
            <v>15055</v>
          </cell>
        </row>
        <row r="27">
          <cell r="B27">
            <v>6350</v>
          </cell>
        </row>
        <row r="29">
          <cell r="B29">
            <v>15273.1</v>
          </cell>
        </row>
        <row r="30">
          <cell r="B30">
            <v>46797.99</v>
          </cell>
        </row>
        <row r="31">
          <cell r="B31">
            <v>23380.27</v>
          </cell>
        </row>
        <row r="32">
          <cell r="B32">
            <v>14208.22</v>
          </cell>
        </row>
        <row r="39">
          <cell r="B39">
            <v>4138</v>
          </cell>
        </row>
        <row r="40">
          <cell r="B40">
            <v>12222</v>
          </cell>
        </row>
        <row r="41">
          <cell r="B41">
            <v>12346</v>
          </cell>
        </row>
        <row r="42">
          <cell r="B42">
            <v>3996</v>
          </cell>
        </row>
      </sheetData>
      <sheetData sheetId="7">
        <row r="5">
          <cell r="D5">
            <v>150958</v>
          </cell>
        </row>
        <row r="6">
          <cell r="D6">
            <v>232810</v>
          </cell>
        </row>
        <row r="8">
          <cell r="D8">
            <v>52620.62</v>
          </cell>
        </row>
        <row r="9">
          <cell r="D9">
            <v>150809.21000000002</v>
          </cell>
        </row>
        <row r="13">
          <cell r="D13">
            <v>60119.5</v>
          </cell>
        </row>
        <row r="14">
          <cell r="D14">
            <v>238465.6</v>
          </cell>
        </row>
        <row r="16">
          <cell r="D16">
            <v>1876.12</v>
          </cell>
        </row>
        <row r="17">
          <cell r="D17">
            <v>7443.25</v>
          </cell>
        </row>
        <row r="19">
          <cell r="D19">
            <v>30211.22</v>
          </cell>
        </row>
        <row r="20">
          <cell r="D20">
            <v>46593.75</v>
          </cell>
        </row>
        <row r="22">
          <cell r="D22">
            <v>20585</v>
          </cell>
        </row>
        <row r="23">
          <cell r="D23">
            <v>31746</v>
          </cell>
        </row>
        <row r="28">
          <cell r="D28">
            <v>27284.880000000001</v>
          </cell>
        </row>
        <row r="29">
          <cell r="D29">
            <v>9960</v>
          </cell>
        </row>
        <row r="33">
          <cell r="D33">
            <v>16056.083333333334</v>
          </cell>
        </row>
        <row r="34">
          <cell r="D34">
            <v>12578.333333333334</v>
          </cell>
        </row>
        <row r="35">
          <cell r="D35">
            <v>12578.333333333334</v>
          </cell>
        </row>
      </sheetData>
      <sheetData sheetId="8">
        <row r="5">
          <cell r="B5">
            <v>82044</v>
          </cell>
        </row>
        <row r="6">
          <cell r="B6">
            <v>299598</v>
          </cell>
        </row>
        <row r="7">
          <cell r="B7">
            <v>157066</v>
          </cell>
        </row>
        <row r="9">
          <cell r="B9">
            <v>1932</v>
          </cell>
        </row>
        <row r="11">
          <cell r="B11">
            <v>90542</v>
          </cell>
        </row>
        <row r="12">
          <cell r="B12">
            <v>58416</v>
          </cell>
        </row>
        <row r="13">
          <cell r="B13">
            <v>97634</v>
          </cell>
        </row>
        <row r="15">
          <cell r="B15">
            <v>6769</v>
          </cell>
        </row>
        <row r="16">
          <cell r="B16">
            <v>4368</v>
          </cell>
        </row>
        <row r="17">
          <cell r="B17">
            <v>7301</v>
          </cell>
        </row>
        <row r="19">
          <cell r="B19">
            <v>39312</v>
          </cell>
        </row>
        <row r="20">
          <cell r="B20">
            <v>143557</v>
          </cell>
        </row>
        <row r="21">
          <cell r="B21">
            <v>71677</v>
          </cell>
        </row>
        <row r="23">
          <cell r="B23">
            <v>10255</v>
          </cell>
        </row>
        <row r="24">
          <cell r="B24">
            <v>37449</v>
          </cell>
        </row>
        <row r="25">
          <cell r="B25">
            <v>18698</v>
          </cell>
        </row>
        <row r="27">
          <cell r="B27">
            <v>158607</v>
          </cell>
        </row>
        <row r="28">
          <cell r="B28">
            <v>579123</v>
          </cell>
        </row>
        <row r="29">
          <cell r="B29">
            <v>289151</v>
          </cell>
        </row>
        <row r="35">
          <cell r="B35">
            <v>17823</v>
          </cell>
        </row>
        <row r="36">
          <cell r="B36">
            <v>14021</v>
          </cell>
        </row>
        <row r="37">
          <cell r="B37">
            <v>20850</v>
          </cell>
        </row>
      </sheetData>
      <sheetData sheetId="9">
        <row r="5">
          <cell r="C5">
            <v>72886</v>
          </cell>
        </row>
        <row r="6">
          <cell r="C6">
            <v>72886</v>
          </cell>
        </row>
        <row r="7">
          <cell r="C7">
            <v>72886</v>
          </cell>
        </row>
        <row r="8">
          <cell r="C8">
            <v>72886</v>
          </cell>
        </row>
        <row r="11">
          <cell r="C11">
            <v>47144</v>
          </cell>
        </row>
        <row r="12">
          <cell r="C12">
            <v>47144</v>
          </cell>
        </row>
        <row r="13">
          <cell r="C13">
            <v>47144</v>
          </cell>
        </row>
        <row r="14">
          <cell r="C14">
            <v>47144</v>
          </cell>
        </row>
        <row r="17">
          <cell r="C17">
            <v>4355.5</v>
          </cell>
        </row>
        <row r="18">
          <cell r="C18">
            <v>4355.5</v>
          </cell>
        </row>
        <row r="19">
          <cell r="C19">
            <v>4355.5</v>
          </cell>
        </row>
        <row r="20">
          <cell r="C20">
            <v>4355.5</v>
          </cell>
        </row>
        <row r="23">
          <cell r="C23">
            <v>55033</v>
          </cell>
        </row>
        <row r="24">
          <cell r="C24">
            <v>72486</v>
          </cell>
        </row>
        <row r="25">
          <cell r="C25">
            <v>49460</v>
          </cell>
        </row>
        <row r="26">
          <cell r="C26">
            <v>49460</v>
          </cell>
        </row>
        <row r="29">
          <cell r="C29">
            <v>3751</v>
          </cell>
        </row>
        <row r="30">
          <cell r="C30">
            <v>4116</v>
          </cell>
        </row>
        <row r="31">
          <cell r="C31">
            <v>4116</v>
          </cell>
        </row>
        <row r="34">
          <cell r="C34">
            <v>47604</v>
          </cell>
        </row>
        <row r="35">
          <cell r="C35">
            <v>61542.5</v>
          </cell>
        </row>
        <row r="36">
          <cell r="C36">
            <v>61542.5</v>
          </cell>
        </row>
        <row r="39">
          <cell r="C39">
            <v>8282.5</v>
          </cell>
        </row>
        <row r="40">
          <cell r="C40">
            <v>8282.5</v>
          </cell>
        </row>
        <row r="41">
          <cell r="C41">
            <v>8282.5</v>
          </cell>
        </row>
        <row r="42">
          <cell r="C42">
            <v>8282.5</v>
          </cell>
        </row>
        <row r="48">
          <cell r="C48">
            <v>7769</v>
          </cell>
        </row>
        <row r="49">
          <cell r="C49">
            <v>40548.160000000003</v>
          </cell>
        </row>
        <row r="50">
          <cell r="C50">
            <v>11238.34</v>
          </cell>
        </row>
        <row r="51">
          <cell r="C51">
            <v>11236.34</v>
          </cell>
        </row>
        <row r="56">
          <cell r="C56">
            <v>18981.666666666668</v>
          </cell>
        </row>
        <row r="57">
          <cell r="C57">
            <v>14708</v>
          </cell>
        </row>
        <row r="58">
          <cell r="C58">
            <v>18981.666666666668</v>
          </cell>
        </row>
        <row r="59">
          <cell r="C59">
            <v>18981.666666666668</v>
          </cell>
        </row>
      </sheetData>
      <sheetData sheetId="10">
        <row r="5">
          <cell r="B5">
            <v>114354</v>
          </cell>
        </row>
        <row r="6">
          <cell r="B6">
            <v>69448</v>
          </cell>
        </row>
        <row r="7">
          <cell r="B7">
            <v>156928</v>
          </cell>
        </row>
        <row r="8">
          <cell r="B8">
            <v>53123</v>
          </cell>
        </row>
        <row r="9">
          <cell r="B9">
            <v>165676</v>
          </cell>
        </row>
        <row r="11">
          <cell r="B11">
            <v>232590</v>
          </cell>
        </row>
        <row r="12">
          <cell r="B12">
            <v>978</v>
          </cell>
        </row>
        <row r="13">
          <cell r="B13">
            <v>136150</v>
          </cell>
        </row>
        <row r="15">
          <cell r="B15">
            <v>90902</v>
          </cell>
        </row>
        <row r="16">
          <cell r="B16">
            <v>210250</v>
          </cell>
        </row>
        <row r="18">
          <cell r="B18">
            <v>9876</v>
          </cell>
        </row>
        <row r="19">
          <cell r="B19">
            <v>22843</v>
          </cell>
        </row>
        <row r="21">
          <cell r="B21">
            <v>9266</v>
          </cell>
        </row>
        <row r="22">
          <cell r="B22">
            <v>114307</v>
          </cell>
        </row>
        <row r="23">
          <cell r="B23">
            <v>138716</v>
          </cell>
        </row>
        <row r="25">
          <cell r="B25">
            <v>12995</v>
          </cell>
        </row>
        <row r="26">
          <cell r="B26">
            <v>56673</v>
          </cell>
        </row>
        <row r="27">
          <cell r="B27">
            <v>20780</v>
          </cell>
        </row>
        <row r="28">
          <cell r="B28">
            <v>39358</v>
          </cell>
        </row>
        <row r="29">
          <cell r="B29">
            <v>18827</v>
          </cell>
        </row>
        <row r="31">
          <cell r="B31">
            <v>69537</v>
          </cell>
        </row>
        <row r="32">
          <cell r="B32">
            <v>54805</v>
          </cell>
        </row>
        <row r="38">
          <cell r="B38">
            <v>139192</v>
          </cell>
        </row>
        <row r="39">
          <cell r="B39">
            <v>44714</v>
          </cell>
        </row>
      </sheetData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6:H3204" totalsRowShown="0" headerRowDxfId="9" headerRowBorderDxfId="8">
  <autoFilter ref="A6:H3204" xr:uid="{00000000-0009-0000-0100-000001000000}"/>
  <tableColumns count="8">
    <tableColumn id="1" xr3:uid="{00000000-0010-0000-0000-000001000000}" name="Month" dataDxfId="7"/>
    <tableColumn id="2" xr3:uid="{00000000-0010-0000-0000-000002000000}" name="Code" dataDxfId="6"/>
    <tableColumn id="3" xr3:uid="{00000000-0010-0000-0000-000003000000}" name="Particulars" dataDxfId="5"/>
    <tableColumn id="4" xr3:uid="{00000000-0010-0000-0000-000004000000}" name="Nature" dataDxfId="4"/>
    <tableColumn id="5" xr3:uid="{00000000-0010-0000-0000-000005000000}" name="MIS Head" dataDxfId="3"/>
    <tableColumn id="6" xr3:uid="{00000000-0010-0000-0000-000006000000}" name="Location"/>
    <tableColumn id="7" xr3:uid="{00000000-0010-0000-0000-000007000000}" name="Outlet"/>
    <tableColumn id="8" xr3:uid="{00000000-0010-0000-0000-000008000000}" name="Amount">
      <calculatedColumnFormula>VLOOKUP(C7,'TB Apr 24'!$B$13:$BD$103,55,0)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4"/>
  <sheetViews>
    <sheetView workbookViewId="0">
      <selection activeCell="E3" sqref="E3"/>
    </sheetView>
  </sheetViews>
  <sheetFormatPr defaultRowHeight="14.5" x14ac:dyDescent="0.35"/>
  <cols>
    <col min="3" max="3" width="11" bestFit="1" customWidth="1"/>
    <col min="4" max="4" width="13.81640625" bestFit="1" customWidth="1"/>
    <col min="5" max="5" width="15" bestFit="1" customWidth="1"/>
  </cols>
  <sheetData>
    <row r="2" spans="2:7" x14ac:dyDescent="0.35">
      <c r="C2" s="46"/>
      <c r="D2" s="46"/>
      <c r="E2" s="46" t="s">
        <v>316</v>
      </c>
      <c r="G2" s="46" t="s">
        <v>317</v>
      </c>
    </row>
    <row r="3" spans="2:7" x14ac:dyDescent="0.35">
      <c r="B3" s="46" t="s">
        <v>207</v>
      </c>
      <c r="C3" t="s">
        <v>208</v>
      </c>
      <c r="E3" s="23" t="s">
        <v>214</v>
      </c>
      <c r="G3" t="s">
        <v>232</v>
      </c>
    </row>
    <row r="4" spans="2:7" x14ac:dyDescent="0.35">
      <c r="B4" s="46" t="s">
        <v>207</v>
      </c>
      <c r="C4" t="s">
        <v>209</v>
      </c>
      <c r="E4" s="23" t="s">
        <v>215</v>
      </c>
      <c r="G4" t="s">
        <v>217</v>
      </c>
    </row>
    <row r="5" spans="2:7" x14ac:dyDescent="0.35">
      <c r="B5" s="46" t="s">
        <v>207</v>
      </c>
      <c r="C5" t="s">
        <v>210</v>
      </c>
      <c r="E5" s="23" t="s">
        <v>210</v>
      </c>
      <c r="G5" t="s">
        <v>218</v>
      </c>
    </row>
    <row r="6" spans="2:7" x14ac:dyDescent="0.35">
      <c r="B6" s="46" t="s">
        <v>207</v>
      </c>
      <c r="C6" t="s">
        <v>211</v>
      </c>
      <c r="E6" s="23" t="s">
        <v>226</v>
      </c>
      <c r="G6" t="s">
        <v>219</v>
      </c>
    </row>
    <row r="7" spans="2:7" x14ac:dyDescent="0.35">
      <c r="B7" s="46" t="s">
        <v>207</v>
      </c>
      <c r="C7" t="s">
        <v>212</v>
      </c>
      <c r="E7" s="23" t="s">
        <v>228</v>
      </c>
      <c r="G7" t="s">
        <v>220</v>
      </c>
    </row>
    <row r="8" spans="2:7" x14ac:dyDescent="0.35">
      <c r="B8" s="46" t="s">
        <v>207</v>
      </c>
      <c r="C8" t="s">
        <v>229</v>
      </c>
      <c r="E8" s="23" t="s">
        <v>213</v>
      </c>
      <c r="G8" t="s">
        <v>221</v>
      </c>
    </row>
    <row r="9" spans="2:7" x14ac:dyDescent="0.35">
      <c r="B9" s="46" t="s">
        <v>207</v>
      </c>
      <c r="C9" t="s">
        <v>234</v>
      </c>
      <c r="E9" s="23" t="s">
        <v>233</v>
      </c>
      <c r="G9" t="s">
        <v>222</v>
      </c>
    </row>
    <row r="10" spans="2:7" x14ac:dyDescent="0.35">
      <c r="B10" s="46"/>
      <c r="E10" s="23" t="s">
        <v>318</v>
      </c>
      <c r="G10" t="s">
        <v>223</v>
      </c>
    </row>
    <row r="11" spans="2:7" x14ac:dyDescent="0.35">
      <c r="B11" s="46"/>
      <c r="E11" s="23" t="s">
        <v>235</v>
      </c>
      <c r="G11" t="s">
        <v>224</v>
      </c>
    </row>
    <row r="12" spans="2:7" x14ac:dyDescent="0.35">
      <c r="B12" s="46"/>
      <c r="G12" t="s">
        <v>227</v>
      </c>
    </row>
    <row r="13" spans="2:7" x14ac:dyDescent="0.35">
      <c r="B13" s="46"/>
      <c r="G13" t="s">
        <v>216</v>
      </c>
    </row>
    <row r="14" spans="2:7" x14ac:dyDescent="0.35">
      <c r="B14" s="46"/>
      <c r="G14" t="s">
        <v>225</v>
      </c>
    </row>
    <row r="15" spans="2:7" x14ac:dyDescent="0.35">
      <c r="B15" s="46"/>
      <c r="G15" t="s">
        <v>230</v>
      </c>
    </row>
    <row r="16" spans="2:7" x14ac:dyDescent="0.35">
      <c r="B16" s="46"/>
      <c r="G16" t="s">
        <v>231</v>
      </c>
    </row>
    <row r="17" spans="2:7" x14ac:dyDescent="0.35">
      <c r="B17" s="46"/>
      <c r="G17" t="s">
        <v>232</v>
      </c>
    </row>
    <row r="18" spans="2:7" x14ac:dyDescent="0.35">
      <c r="B18" s="46"/>
    </row>
    <row r="19" spans="2:7" x14ac:dyDescent="0.35">
      <c r="B19" s="46"/>
    </row>
    <row r="21" spans="2:7" x14ac:dyDescent="0.35">
      <c r="B21" s="46"/>
    </row>
    <row r="22" spans="2:7" x14ac:dyDescent="0.35">
      <c r="B22" s="46"/>
    </row>
    <row r="23" spans="2:7" x14ac:dyDescent="0.35">
      <c r="B23" s="46"/>
    </row>
    <row r="24" spans="2:7" x14ac:dyDescent="0.35">
      <c r="B24" s="46"/>
    </row>
    <row r="25" spans="2:7" x14ac:dyDescent="0.35">
      <c r="B25" s="46"/>
    </row>
    <row r="26" spans="2:7" x14ac:dyDescent="0.35">
      <c r="B26" s="46"/>
    </row>
    <row r="27" spans="2:7" x14ac:dyDescent="0.35">
      <c r="B27" s="46"/>
    </row>
    <row r="28" spans="2:7" x14ac:dyDescent="0.35">
      <c r="B28" s="46"/>
    </row>
    <row r="29" spans="2:7" x14ac:dyDescent="0.35">
      <c r="B29" s="46"/>
    </row>
    <row r="30" spans="2:7" x14ac:dyDescent="0.35">
      <c r="B30" s="46"/>
    </row>
    <row r="31" spans="2:7" x14ac:dyDescent="0.35">
      <c r="B31" s="46"/>
    </row>
    <row r="32" spans="2:7" x14ac:dyDescent="0.35">
      <c r="B32" s="46"/>
    </row>
    <row r="33" spans="2:2" x14ac:dyDescent="0.35">
      <c r="B33" s="46"/>
    </row>
    <row r="34" spans="2:2" x14ac:dyDescent="0.35">
      <c r="B34" s="4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BO130"/>
  <sheetViews>
    <sheetView tabSelected="1" topLeftCell="A6" workbookViewId="0">
      <pane xSplit="4" ySplit="5" topLeftCell="Z57" activePane="bottomRight" state="frozen"/>
      <selection activeCell="D70" sqref="D70"/>
      <selection pane="topRight" activeCell="D70" sqref="D70"/>
      <selection pane="bottomLeft" activeCell="D70" sqref="D70"/>
      <selection pane="bottomRight" activeCell="D123" sqref="D123"/>
    </sheetView>
  </sheetViews>
  <sheetFormatPr defaultColWidth="9.1796875" defaultRowHeight="14.5" outlineLevelCol="1" x14ac:dyDescent="0.35"/>
  <cols>
    <col min="1" max="1" width="11.453125" customWidth="1"/>
    <col min="2" max="2" width="28.81640625" customWidth="1"/>
    <col min="3" max="3" width="5.90625" bestFit="1" customWidth="1"/>
    <col min="4" max="4" width="29.1796875" customWidth="1"/>
    <col min="5" max="8" width="12.81640625" customWidth="1" outlineLevel="1"/>
    <col min="9" max="9" width="12.81640625" customWidth="1"/>
    <col min="10" max="10" width="12.81640625" customWidth="1" outlineLevel="1" collapsed="1"/>
    <col min="11" max="13" width="12.81640625" customWidth="1" outlineLevel="1"/>
    <col min="14" max="15" width="12.81640625" customWidth="1"/>
    <col min="16" max="20" width="12.81640625" customWidth="1" outlineLevel="1"/>
    <col min="21" max="21" width="12.81640625" customWidth="1"/>
    <col min="22" max="24" width="12.81640625" customWidth="1" outlineLevel="1"/>
    <col min="25" max="25" width="12.81640625" customWidth="1"/>
    <col min="26" max="33" width="12.81640625" customWidth="1" outlineLevel="1"/>
    <col min="34" max="34" width="12.81640625" customWidth="1"/>
    <col min="35" max="43" width="12.81640625" customWidth="1" outlineLevel="1"/>
    <col min="44" max="44" width="12.81640625" customWidth="1"/>
    <col min="45" max="48" width="12.81640625" customWidth="1" outlineLevel="1"/>
    <col min="49" max="49" width="12.81640625" customWidth="1"/>
    <col min="50" max="53" width="12.81640625" customWidth="1" outlineLevel="1"/>
    <col min="54" max="54" width="13.453125" customWidth="1" outlineLevel="1"/>
    <col min="55" max="55" width="12.81640625" customWidth="1" outlineLevel="1"/>
    <col min="56" max="57" width="12.81640625" customWidth="1"/>
    <col min="58" max="59" width="12.81640625" hidden="1" customWidth="1"/>
    <col min="60" max="60" width="16.81640625" hidden="1" customWidth="1"/>
    <col min="61" max="61" width="11.90625" hidden="1" customWidth="1"/>
    <col min="62" max="65" width="0" hidden="1" customWidth="1"/>
    <col min="67" max="67" width="10.26953125" bestFit="1" customWidth="1"/>
  </cols>
  <sheetData>
    <row r="1" spans="1:67" ht="15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spans="1:67" ht="15" customHeight="1" x14ac:dyDescent="0.3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67" ht="15.75" customHeight="1" x14ac:dyDescent="0.3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</row>
    <row r="4" spans="1:67" ht="15" customHeight="1" x14ac:dyDescent="0.35">
      <c r="A4" s="10" t="s">
        <v>306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67" ht="15" customHeight="1" x14ac:dyDescent="0.35">
      <c r="A5" s="10" t="s">
        <v>3</v>
      </c>
      <c r="B5" s="10"/>
      <c r="C5" s="10"/>
      <c r="D5" s="10"/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0">
        <v>12</v>
      </c>
      <c r="N5" s="10">
        <v>13</v>
      </c>
      <c r="O5" s="10">
        <v>14</v>
      </c>
      <c r="P5" s="10">
        <v>15</v>
      </c>
      <c r="Q5" s="10">
        <v>16</v>
      </c>
      <c r="R5" s="10">
        <v>17</v>
      </c>
      <c r="S5" s="10">
        <v>18</v>
      </c>
      <c r="T5" s="10">
        <v>19</v>
      </c>
      <c r="U5" s="10">
        <v>20</v>
      </c>
      <c r="V5" s="10">
        <v>21</v>
      </c>
      <c r="W5" s="10">
        <v>22</v>
      </c>
      <c r="X5" s="10">
        <v>23</v>
      </c>
      <c r="Y5" s="10">
        <v>24</v>
      </c>
      <c r="Z5" s="10">
        <v>25</v>
      </c>
      <c r="AA5" s="10">
        <v>26</v>
      </c>
      <c r="AB5" s="10">
        <v>27</v>
      </c>
      <c r="AC5" s="10">
        <v>28</v>
      </c>
      <c r="AD5" s="10">
        <v>29</v>
      </c>
      <c r="AE5" s="10">
        <v>30</v>
      </c>
      <c r="AF5" s="10">
        <v>31</v>
      </c>
      <c r="AG5" s="10">
        <v>32</v>
      </c>
      <c r="AH5" s="10">
        <v>33</v>
      </c>
      <c r="AI5" s="10">
        <v>34</v>
      </c>
      <c r="AJ5" s="10">
        <v>35</v>
      </c>
      <c r="AK5" s="10">
        <v>36</v>
      </c>
      <c r="AL5" s="10">
        <v>37</v>
      </c>
      <c r="AM5" s="10">
        <v>38</v>
      </c>
      <c r="AN5" s="10">
        <v>39</v>
      </c>
      <c r="AO5" s="10">
        <v>40</v>
      </c>
      <c r="AP5" s="10">
        <v>41</v>
      </c>
      <c r="AQ5" s="10">
        <v>42</v>
      </c>
      <c r="AR5" s="10">
        <v>43</v>
      </c>
      <c r="AS5" s="10">
        <v>44</v>
      </c>
      <c r="AT5" s="10">
        <v>45</v>
      </c>
      <c r="AU5" s="10">
        <v>46</v>
      </c>
      <c r="AV5" s="10">
        <v>47</v>
      </c>
      <c r="AW5" s="10">
        <v>48</v>
      </c>
      <c r="AX5" s="10">
        <v>49</v>
      </c>
      <c r="AY5" s="10">
        <v>50</v>
      </c>
      <c r="AZ5" s="10">
        <v>51</v>
      </c>
      <c r="BA5" s="10">
        <v>52</v>
      </c>
      <c r="BB5" s="10">
        <v>53</v>
      </c>
      <c r="BC5" s="10">
        <v>54</v>
      </c>
      <c r="BD5" s="10">
        <v>55</v>
      </c>
      <c r="BE5" s="10"/>
      <c r="BF5" s="10"/>
      <c r="BG5" s="10"/>
    </row>
    <row r="6" spans="1:67" ht="15" customHeight="1" x14ac:dyDescent="0.35">
      <c r="A6" s="10"/>
      <c r="B6" s="10"/>
      <c r="C6" s="10"/>
      <c r="D6" s="10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10"/>
      <c r="AF6" s="10"/>
      <c r="AG6" s="10"/>
      <c r="AH6" s="10"/>
      <c r="AI6" s="10"/>
      <c r="AJ6" s="10"/>
      <c r="AK6" s="314"/>
      <c r="AL6" s="314"/>
      <c r="AM6" s="314"/>
      <c r="AN6" s="314"/>
      <c r="AO6" s="314"/>
      <c r="AP6" s="314"/>
      <c r="AQ6" s="314"/>
      <c r="AR6" s="314"/>
      <c r="AS6" s="314"/>
      <c r="AT6" s="314"/>
      <c r="AU6" s="314"/>
      <c r="AV6" s="314"/>
      <c r="AW6" s="314"/>
      <c r="AX6" s="314"/>
      <c r="AY6" s="10"/>
      <c r="AZ6" s="10"/>
      <c r="BA6" s="10"/>
      <c r="BB6" s="10"/>
      <c r="BC6" s="10"/>
      <c r="BD6" s="10"/>
      <c r="BE6" s="10"/>
      <c r="BF6" s="10"/>
      <c r="BG6" s="10"/>
    </row>
    <row r="7" spans="1:67" ht="15" customHeight="1" x14ac:dyDescent="0.35">
      <c r="A7" s="1" t="s">
        <v>315</v>
      </c>
      <c r="B7" s="2" t="s">
        <v>237</v>
      </c>
      <c r="C7" s="2" t="s">
        <v>313</v>
      </c>
      <c r="D7" s="2" t="s">
        <v>267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23</v>
      </c>
      <c r="Y7" s="1" t="s">
        <v>24</v>
      </c>
      <c r="Z7" s="1" t="s">
        <v>25</v>
      </c>
      <c r="AA7" s="1" t="s">
        <v>26</v>
      </c>
      <c r="AB7" s="1" t="s">
        <v>27</v>
      </c>
      <c r="AC7" s="1" t="s">
        <v>28</v>
      </c>
      <c r="AD7" s="1" t="s">
        <v>29</v>
      </c>
      <c r="AE7" s="1" t="s">
        <v>30</v>
      </c>
      <c r="AF7" s="1" t="s">
        <v>31</v>
      </c>
      <c r="AG7" s="1" t="s">
        <v>32</v>
      </c>
      <c r="AH7" s="1" t="s">
        <v>33</v>
      </c>
      <c r="AI7" s="1" t="s">
        <v>34</v>
      </c>
      <c r="AJ7" s="1" t="s">
        <v>35</v>
      </c>
      <c r="AK7" s="1" t="s">
        <v>36</v>
      </c>
      <c r="AL7" s="1" t="s">
        <v>37</v>
      </c>
      <c r="AM7" s="1" t="s">
        <v>38</v>
      </c>
      <c r="AN7" s="1" t="s">
        <v>39</v>
      </c>
      <c r="AO7" s="1" t="s">
        <v>40</v>
      </c>
      <c r="AP7" s="1" t="s">
        <v>41</v>
      </c>
      <c r="AQ7" s="1" t="s">
        <v>42</v>
      </c>
      <c r="AR7" s="1" t="s">
        <v>43</v>
      </c>
      <c r="AS7" s="1" t="s">
        <v>44</v>
      </c>
      <c r="AT7" s="1" t="s">
        <v>45</v>
      </c>
      <c r="AU7" s="1" t="s">
        <v>46</v>
      </c>
      <c r="AV7" s="1" t="s">
        <v>47</v>
      </c>
      <c r="AW7" s="1" t="s">
        <v>48</v>
      </c>
      <c r="AX7" s="1" t="s">
        <v>49</v>
      </c>
      <c r="AY7" s="1" t="s">
        <v>50</v>
      </c>
      <c r="AZ7" s="1" t="s">
        <v>51</v>
      </c>
      <c r="BA7" s="1" t="s">
        <v>52</v>
      </c>
      <c r="BB7" s="1" t="s">
        <v>53</v>
      </c>
      <c r="BC7" s="1" t="s">
        <v>54</v>
      </c>
      <c r="BD7" s="1" t="s">
        <v>55</v>
      </c>
      <c r="BE7" s="1" t="s">
        <v>498</v>
      </c>
      <c r="BF7" s="237" t="s">
        <v>496</v>
      </c>
      <c r="BG7" s="237" t="s">
        <v>497</v>
      </c>
      <c r="BH7" s="503" t="s">
        <v>966</v>
      </c>
      <c r="BI7" s="503" t="s">
        <v>447</v>
      </c>
    </row>
    <row r="8" spans="1:67" ht="15" customHeight="1" x14ac:dyDescent="0.35">
      <c r="A8" s="12"/>
      <c r="B8" s="13" t="s">
        <v>207</v>
      </c>
      <c r="C8" s="13"/>
      <c r="D8" s="13"/>
      <c r="E8" s="12" t="s">
        <v>208</v>
      </c>
      <c r="F8" s="12" t="s">
        <v>208</v>
      </c>
      <c r="G8" s="12" t="s">
        <v>208</v>
      </c>
      <c r="H8" s="12" t="s">
        <v>208</v>
      </c>
      <c r="I8" s="12" t="s">
        <v>208</v>
      </c>
      <c r="J8" s="12" t="s">
        <v>209</v>
      </c>
      <c r="K8" s="12" t="s">
        <v>209</v>
      </c>
      <c r="L8" s="12" t="s">
        <v>209</v>
      </c>
      <c r="M8" s="12" t="s">
        <v>209</v>
      </c>
      <c r="N8" s="12" t="s">
        <v>209</v>
      </c>
      <c r="O8" s="12" t="s">
        <v>229</v>
      </c>
      <c r="P8" s="12" t="s">
        <v>229</v>
      </c>
      <c r="Q8" s="12" t="s">
        <v>229</v>
      </c>
      <c r="R8" s="12" t="s">
        <v>229</v>
      </c>
      <c r="S8" s="12" t="s">
        <v>229</v>
      </c>
      <c r="T8" s="12" t="s">
        <v>229</v>
      </c>
      <c r="U8" s="12" t="s">
        <v>229</v>
      </c>
      <c r="V8" s="12" t="s">
        <v>212</v>
      </c>
      <c r="W8" s="12" t="s">
        <v>212</v>
      </c>
      <c r="X8" s="12" t="s">
        <v>212</v>
      </c>
      <c r="Y8" s="12" t="s">
        <v>212</v>
      </c>
      <c r="Z8" s="12" t="s">
        <v>229</v>
      </c>
      <c r="AA8" s="12" t="s">
        <v>229</v>
      </c>
      <c r="AB8" s="12" t="s">
        <v>229</v>
      </c>
      <c r="AC8" s="12" t="s">
        <v>229</v>
      </c>
      <c r="AD8" s="12" t="s">
        <v>229</v>
      </c>
      <c r="AE8" s="12" t="s">
        <v>229</v>
      </c>
      <c r="AF8" s="12" t="s">
        <v>229</v>
      </c>
      <c r="AG8" s="12" t="s">
        <v>229</v>
      </c>
      <c r="AH8" s="12" t="s">
        <v>229</v>
      </c>
      <c r="AI8" s="12" t="s">
        <v>209</v>
      </c>
      <c r="AJ8" s="12" t="s">
        <v>209</v>
      </c>
      <c r="AK8" s="12" t="s">
        <v>209</v>
      </c>
      <c r="AL8" s="12" t="s">
        <v>209</v>
      </c>
      <c r="AM8" s="12" t="s">
        <v>209</v>
      </c>
      <c r="AN8" s="12" t="s">
        <v>209</v>
      </c>
      <c r="AO8" s="12" t="s">
        <v>209</v>
      </c>
      <c r="AP8" s="12" t="s">
        <v>209</v>
      </c>
      <c r="AQ8" s="12" t="s">
        <v>209</v>
      </c>
      <c r="AR8" s="12" t="s">
        <v>209</v>
      </c>
      <c r="AS8" s="12" t="s">
        <v>234</v>
      </c>
      <c r="AT8" s="12" t="s">
        <v>234</v>
      </c>
      <c r="AU8" s="12" t="s">
        <v>234</v>
      </c>
      <c r="AV8" s="12" t="s">
        <v>234</v>
      </c>
      <c r="AW8" s="12" t="s">
        <v>234</v>
      </c>
      <c r="AX8" s="12" t="s">
        <v>234</v>
      </c>
      <c r="AY8" s="12" t="s">
        <v>234</v>
      </c>
      <c r="AZ8" s="12" t="s">
        <v>234</v>
      </c>
      <c r="BA8" s="12" t="s">
        <v>234</v>
      </c>
      <c r="BB8" s="12" t="s">
        <v>234</v>
      </c>
      <c r="BC8" s="12" t="s">
        <v>234</v>
      </c>
      <c r="BD8" s="12" t="s">
        <v>234</v>
      </c>
      <c r="BE8" s="12"/>
      <c r="BF8" s="12"/>
      <c r="BG8" s="12"/>
    </row>
    <row r="9" spans="1:67" ht="15" customHeight="1" x14ac:dyDescent="0.35">
      <c r="A9" s="12"/>
      <c r="B9" s="13" t="s">
        <v>316</v>
      </c>
      <c r="C9" s="13"/>
      <c r="D9" s="13"/>
      <c r="E9" s="12" t="s">
        <v>214</v>
      </c>
      <c r="F9" s="12" t="s">
        <v>214</v>
      </c>
      <c r="G9" s="12" t="s">
        <v>214</v>
      </c>
      <c r="H9" s="12" t="s">
        <v>214</v>
      </c>
      <c r="I9" s="12" t="s">
        <v>214</v>
      </c>
      <c r="J9" s="12" t="s">
        <v>215</v>
      </c>
      <c r="K9" s="12" t="s">
        <v>215</v>
      </c>
      <c r="L9" s="12" t="s">
        <v>215</v>
      </c>
      <c r="M9" s="12" t="s">
        <v>215</v>
      </c>
      <c r="N9" s="12" t="s">
        <v>215</v>
      </c>
      <c r="O9" s="12" t="s">
        <v>210</v>
      </c>
      <c r="P9" s="12" t="s">
        <v>226</v>
      </c>
      <c r="Q9" s="12" t="s">
        <v>226</v>
      </c>
      <c r="R9" s="12" t="s">
        <v>226</v>
      </c>
      <c r="S9" s="12" t="s">
        <v>226</v>
      </c>
      <c r="T9" s="12" t="s">
        <v>226</v>
      </c>
      <c r="U9" s="12" t="s">
        <v>226</v>
      </c>
      <c r="V9" s="12" t="s">
        <v>228</v>
      </c>
      <c r="W9" s="12" t="s">
        <v>228</v>
      </c>
      <c r="X9" s="12" t="s">
        <v>228</v>
      </c>
      <c r="Y9" s="12" t="s">
        <v>228</v>
      </c>
      <c r="Z9" s="12" t="s">
        <v>213</v>
      </c>
      <c r="AA9" s="12" t="s">
        <v>213</v>
      </c>
      <c r="AB9" s="12" t="s">
        <v>213</v>
      </c>
      <c r="AC9" s="12" t="s">
        <v>213</v>
      </c>
      <c r="AD9" s="12" t="s">
        <v>213</v>
      </c>
      <c r="AE9" s="12" t="s">
        <v>213</v>
      </c>
      <c r="AF9" s="12" t="s">
        <v>213</v>
      </c>
      <c r="AG9" s="12" t="s">
        <v>213</v>
      </c>
      <c r="AH9" s="12" t="s">
        <v>213</v>
      </c>
      <c r="AI9" s="12" t="s">
        <v>233</v>
      </c>
      <c r="AJ9" s="12" t="s">
        <v>233</v>
      </c>
      <c r="AK9" s="12" t="s">
        <v>233</v>
      </c>
      <c r="AL9" s="12" t="s">
        <v>233</v>
      </c>
      <c r="AM9" s="12" t="s">
        <v>233</v>
      </c>
      <c r="AN9" s="12" t="s">
        <v>233</v>
      </c>
      <c r="AO9" s="12" t="s">
        <v>233</v>
      </c>
      <c r="AP9" s="12" t="s">
        <v>233</v>
      </c>
      <c r="AQ9" s="12" t="s">
        <v>233</v>
      </c>
      <c r="AR9" s="12" t="s">
        <v>233</v>
      </c>
      <c r="AS9" s="12" t="s">
        <v>318</v>
      </c>
      <c r="AT9" s="12" t="s">
        <v>318</v>
      </c>
      <c r="AU9" s="12" t="s">
        <v>318</v>
      </c>
      <c r="AV9" s="12" t="s">
        <v>318</v>
      </c>
      <c r="AW9" s="12" t="s">
        <v>318</v>
      </c>
      <c r="AX9" s="12" t="s">
        <v>235</v>
      </c>
      <c r="AY9" s="12" t="s">
        <v>235</v>
      </c>
      <c r="AZ9" s="12" t="s">
        <v>235</v>
      </c>
      <c r="BA9" s="12" t="s">
        <v>235</v>
      </c>
      <c r="BB9" s="12" t="s">
        <v>235</v>
      </c>
      <c r="BC9" s="12" t="s">
        <v>235</v>
      </c>
      <c r="BD9" s="12" t="s">
        <v>235</v>
      </c>
      <c r="BE9" s="12"/>
      <c r="BF9" s="12"/>
      <c r="BG9" s="12"/>
    </row>
    <row r="10" spans="1:67" ht="15" customHeight="1" x14ac:dyDescent="0.35">
      <c r="A10" s="12"/>
      <c r="B10" s="13" t="s">
        <v>317</v>
      </c>
      <c r="C10" s="13"/>
      <c r="D10" s="13"/>
      <c r="E10" s="12" t="s">
        <v>216</v>
      </c>
      <c r="F10" s="12" t="s">
        <v>217</v>
      </c>
      <c r="G10" s="12" t="s">
        <v>218</v>
      </c>
      <c r="H10" s="12" t="s">
        <v>219</v>
      </c>
      <c r="I10" s="12" t="s">
        <v>220</v>
      </c>
      <c r="J10" s="12" t="s">
        <v>216</v>
      </c>
      <c r="K10" s="12" t="s">
        <v>217</v>
      </c>
      <c r="L10" s="12" t="s">
        <v>218</v>
      </c>
      <c r="M10" s="12" t="s">
        <v>221</v>
      </c>
      <c r="N10" s="12" t="s">
        <v>219</v>
      </c>
      <c r="O10" s="12" t="s">
        <v>222</v>
      </c>
      <c r="P10" s="12" t="s">
        <v>223</v>
      </c>
      <c r="Q10" s="12" t="s">
        <v>218</v>
      </c>
      <c r="R10" s="12" t="s">
        <v>224</v>
      </c>
      <c r="S10" s="12" t="s">
        <v>221</v>
      </c>
      <c r="T10" s="12" t="s">
        <v>227</v>
      </c>
      <c r="U10" s="12" t="s">
        <v>219</v>
      </c>
      <c r="V10" s="12" t="s">
        <v>218</v>
      </c>
      <c r="W10" s="12" t="s">
        <v>221</v>
      </c>
      <c r="X10" s="12" t="s">
        <v>225</v>
      </c>
      <c r="Y10" s="12" t="s">
        <v>219</v>
      </c>
      <c r="Z10" s="12" t="s">
        <v>216</v>
      </c>
      <c r="AA10" s="12" t="s">
        <v>217</v>
      </c>
      <c r="AB10" s="12" t="s">
        <v>218</v>
      </c>
      <c r="AC10" s="12" t="s">
        <v>221</v>
      </c>
      <c r="AD10" s="12" t="s">
        <v>225</v>
      </c>
      <c r="AE10" s="12" t="s">
        <v>230</v>
      </c>
      <c r="AF10" s="12" t="s">
        <v>231</v>
      </c>
      <c r="AG10" s="12" t="s">
        <v>232</v>
      </c>
      <c r="AH10" s="12" t="s">
        <v>220</v>
      </c>
      <c r="AI10" s="12" t="s">
        <v>216</v>
      </c>
      <c r="AJ10" s="12" t="s">
        <v>217</v>
      </c>
      <c r="AK10" s="12" t="s">
        <v>218</v>
      </c>
      <c r="AL10" s="12" t="s">
        <v>218</v>
      </c>
      <c r="AM10" s="12" t="s">
        <v>218</v>
      </c>
      <c r="AN10" s="12" t="s">
        <v>221</v>
      </c>
      <c r="AO10" s="12" t="s">
        <v>225</v>
      </c>
      <c r="AP10" s="12" t="s">
        <v>325</v>
      </c>
      <c r="AQ10" s="12" t="s">
        <v>230</v>
      </c>
      <c r="AR10" s="12" t="s">
        <v>219</v>
      </c>
      <c r="AS10" s="12" t="s">
        <v>216</v>
      </c>
      <c r="AT10" s="12" t="s">
        <v>217</v>
      </c>
      <c r="AU10" s="12" t="s">
        <v>218</v>
      </c>
      <c r="AV10" s="12" t="s">
        <v>221</v>
      </c>
      <c r="AW10" s="12" t="s">
        <v>219</v>
      </c>
      <c r="AX10" s="12" t="s">
        <v>216</v>
      </c>
      <c r="AY10" s="12" t="s">
        <v>218</v>
      </c>
      <c r="AZ10" s="12" t="s">
        <v>218</v>
      </c>
      <c r="BA10" s="12" t="s">
        <v>225</v>
      </c>
      <c r="BB10" s="12" t="s">
        <v>230</v>
      </c>
      <c r="BC10" s="12" t="s">
        <v>219</v>
      </c>
      <c r="BD10" s="12" t="s">
        <v>220</v>
      </c>
      <c r="BE10" s="12"/>
      <c r="BF10" s="12"/>
      <c r="BG10" s="12"/>
    </row>
    <row r="11" spans="1:67" ht="15" hidden="1" customHeight="1" x14ac:dyDescent="0.35">
      <c r="A11" s="3" t="s">
        <v>949</v>
      </c>
      <c r="B11" s="4" t="s">
        <v>950</v>
      </c>
      <c r="C11" s="4" t="s">
        <v>314</v>
      </c>
      <c r="D11" s="4" t="s">
        <v>253</v>
      </c>
      <c r="E11" s="83">
        <v>0</v>
      </c>
      <c r="F11" s="83">
        <v>0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  <c r="P11" s="83">
        <v>0</v>
      </c>
      <c r="Q11" s="83">
        <v>0</v>
      </c>
      <c r="R11" s="83">
        <v>0</v>
      </c>
      <c r="S11" s="83">
        <v>0</v>
      </c>
      <c r="T11" s="83">
        <v>0</v>
      </c>
      <c r="U11" s="83">
        <v>0</v>
      </c>
      <c r="V11" s="83">
        <v>0</v>
      </c>
      <c r="W11" s="83">
        <v>0</v>
      </c>
      <c r="X11" s="83">
        <v>0</v>
      </c>
      <c r="Y11" s="83">
        <v>0</v>
      </c>
      <c r="Z11" s="83">
        <v>0</v>
      </c>
      <c r="AA11" s="83">
        <v>0</v>
      </c>
      <c r="AB11" s="83">
        <v>0</v>
      </c>
      <c r="AC11" s="83">
        <v>0</v>
      </c>
      <c r="AD11" s="83">
        <v>0</v>
      </c>
      <c r="AE11" s="83">
        <v>0</v>
      </c>
      <c r="AF11" s="83">
        <v>0</v>
      </c>
      <c r="AG11" s="83">
        <v>0</v>
      </c>
      <c r="AH11" s="83">
        <v>0</v>
      </c>
      <c r="AI11" s="83">
        <v>0</v>
      </c>
      <c r="AJ11" s="83">
        <v>0</v>
      </c>
      <c r="AK11" s="83">
        <v>0</v>
      </c>
      <c r="AL11" s="83">
        <v>0</v>
      </c>
      <c r="AM11" s="83">
        <v>0</v>
      </c>
      <c r="AN11" s="83">
        <v>0</v>
      </c>
      <c r="AO11" s="83">
        <v>0</v>
      </c>
      <c r="AP11" s="83">
        <v>0</v>
      </c>
      <c r="AQ11" s="83">
        <v>0</v>
      </c>
      <c r="AR11" s="83">
        <v>0</v>
      </c>
      <c r="AS11" s="83">
        <v>0</v>
      </c>
      <c r="AT11" s="83">
        <v>0</v>
      </c>
      <c r="AU11" s="83">
        <v>0</v>
      </c>
      <c r="AV11" s="83">
        <v>0</v>
      </c>
      <c r="AW11" s="83">
        <v>0</v>
      </c>
      <c r="AX11" s="83">
        <v>0</v>
      </c>
      <c r="AY11" s="83">
        <v>0</v>
      </c>
      <c r="AZ11" s="83">
        <v>0</v>
      </c>
      <c r="BA11" s="83">
        <v>0</v>
      </c>
      <c r="BB11" s="83">
        <v>0</v>
      </c>
      <c r="BC11" s="83">
        <v>0</v>
      </c>
      <c r="BD11" s="83">
        <v>0</v>
      </c>
      <c r="BE11" s="5">
        <f>SUM(E11:BD11)</f>
        <v>0</v>
      </c>
      <c r="BF11" s="5"/>
      <c r="BG11" s="5">
        <f>BE11+BF11</f>
        <v>0</v>
      </c>
      <c r="BH11" s="66">
        <f>BE11-'TB 17.05.24'!BD9</f>
        <v>500</v>
      </c>
      <c r="BO11" s="79" t="e">
        <f>VLOOKUP(A11,[2]Sheet1!$A$8:$A$102,1,0)</f>
        <v>#N/A</v>
      </c>
    </row>
    <row r="12" spans="1:67" ht="15" hidden="1" customHeight="1" x14ac:dyDescent="0.35">
      <c r="A12" s="3" t="s">
        <v>951</v>
      </c>
      <c r="B12" s="4" t="s">
        <v>952</v>
      </c>
      <c r="C12" s="4" t="s">
        <v>314</v>
      </c>
      <c r="D12" s="4" t="s">
        <v>253</v>
      </c>
      <c r="E12" s="83">
        <v>0</v>
      </c>
      <c r="F12" s="83"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  <c r="P12" s="83">
        <v>0</v>
      </c>
      <c r="Q12" s="83">
        <v>0</v>
      </c>
      <c r="R12" s="83">
        <v>0</v>
      </c>
      <c r="S12" s="83">
        <v>-3460</v>
      </c>
      <c r="T12" s="83">
        <v>0</v>
      </c>
      <c r="U12" s="83">
        <v>0</v>
      </c>
      <c r="V12" s="83">
        <v>0</v>
      </c>
      <c r="W12" s="83">
        <v>0</v>
      </c>
      <c r="X12" s="83">
        <v>0</v>
      </c>
      <c r="Y12" s="83">
        <v>0</v>
      </c>
      <c r="Z12" s="83">
        <v>0</v>
      </c>
      <c r="AA12" s="83">
        <v>0</v>
      </c>
      <c r="AB12" s="83">
        <v>0</v>
      </c>
      <c r="AC12" s="83">
        <v>0</v>
      </c>
      <c r="AD12" s="83">
        <v>0</v>
      </c>
      <c r="AE12" s="83">
        <v>0</v>
      </c>
      <c r="AF12" s="83">
        <v>0</v>
      </c>
      <c r="AG12" s="83">
        <v>0</v>
      </c>
      <c r="AH12" s="83">
        <v>0</v>
      </c>
      <c r="AI12" s="83">
        <v>0</v>
      </c>
      <c r="AJ12" s="83">
        <v>0</v>
      </c>
      <c r="AK12" s="83">
        <v>0</v>
      </c>
      <c r="AL12" s="83">
        <v>0</v>
      </c>
      <c r="AM12" s="83">
        <v>0</v>
      </c>
      <c r="AN12" s="83">
        <v>0</v>
      </c>
      <c r="AO12" s="83">
        <v>0</v>
      </c>
      <c r="AP12" s="83">
        <v>0</v>
      </c>
      <c r="AQ12" s="83">
        <v>0</v>
      </c>
      <c r="AR12" s="83">
        <v>0</v>
      </c>
      <c r="AS12" s="83">
        <v>0</v>
      </c>
      <c r="AT12" s="83">
        <v>0</v>
      </c>
      <c r="AU12" s="83">
        <v>0</v>
      </c>
      <c r="AV12" s="83">
        <v>0</v>
      </c>
      <c r="AW12" s="83">
        <v>0</v>
      </c>
      <c r="AX12" s="83">
        <v>0</v>
      </c>
      <c r="AY12" s="83">
        <v>0</v>
      </c>
      <c r="AZ12" s="83">
        <v>0</v>
      </c>
      <c r="BA12" s="83">
        <v>0</v>
      </c>
      <c r="BB12" s="83">
        <v>0</v>
      </c>
      <c r="BC12" s="83">
        <v>0</v>
      </c>
      <c r="BD12" s="83">
        <v>0</v>
      </c>
      <c r="BE12" s="5">
        <f>SUM(E12:BD12)</f>
        <v>-3460</v>
      </c>
      <c r="BF12" s="5"/>
      <c r="BG12" s="5">
        <f>BE12+BF12</f>
        <v>-3460</v>
      </c>
      <c r="BH12" s="66">
        <f>BE12-'TB 17.05.24'!BD10</f>
        <v>-5801</v>
      </c>
      <c r="BO12" t="str">
        <f>VLOOKUP(A12,[2]Sheet1!$A$8:$A$102,1,0)</f>
        <v>320402-019</v>
      </c>
    </row>
    <row r="13" spans="1:67" ht="15" hidden="1" customHeight="1" x14ac:dyDescent="0.35">
      <c r="A13" s="3" t="s">
        <v>57</v>
      </c>
      <c r="B13" s="4" t="s">
        <v>58</v>
      </c>
      <c r="C13" s="4" t="s">
        <v>314</v>
      </c>
      <c r="D13" s="4" t="s">
        <v>253</v>
      </c>
      <c r="E13" s="83">
        <v>0</v>
      </c>
      <c r="F13" s="83">
        <v>0</v>
      </c>
      <c r="G13" s="83">
        <v>0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  <c r="P13" s="83">
        <v>0</v>
      </c>
      <c r="Q13" s="83">
        <v>0</v>
      </c>
      <c r="R13" s="83">
        <v>0</v>
      </c>
      <c r="S13" s="83">
        <v>0</v>
      </c>
      <c r="T13" s="83">
        <v>0</v>
      </c>
      <c r="U13" s="83">
        <v>0</v>
      </c>
      <c r="V13" s="83">
        <v>0</v>
      </c>
      <c r="W13" s="83">
        <v>0</v>
      </c>
      <c r="X13" s="83">
        <v>0</v>
      </c>
      <c r="Y13" s="83">
        <v>0</v>
      </c>
      <c r="Z13" s="83">
        <v>0</v>
      </c>
      <c r="AA13" s="83">
        <v>0</v>
      </c>
      <c r="AB13" s="83">
        <v>0</v>
      </c>
      <c r="AC13" s="83">
        <v>0</v>
      </c>
      <c r="AD13" s="83">
        <v>0</v>
      </c>
      <c r="AE13" s="83">
        <v>0</v>
      </c>
      <c r="AF13" s="83">
        <v>0</v>
      </c>
      <c r="AG13" s="83">
        <v>0</v>
      </c>
      <c r="AH13" s="83">
        <v>0</v>
      </c>
      <c r="AI13" s="83">
        <v>0</v>
      </c>
      <c r="AJ13" s="83">
        <v>0</v>
      </c>
      <c r="AK13" s="83">
        <v>0</v>
      </c>
      <c r="AL13" s="83">
        <v>0</v>
      </c>
      <c r="AM13" s="83">
        <v>0</v>
      </c>
      <c r="AN13" s="83">
        <v>0</v>
      </c>
      <c r="AO13" s="83">
        <v>0</v>
      </c>
      <c r="AP13" s="83">
        <v>0</v>
      </c>
      <c r="AQ13" s="83">
        <v>0</v>
      </c>
      <c r="AR13" s="83">
        <v>0</v>
      </c>
      <c r="AS13" s="83">
        <v>0</v>
      </c>
      <c r="AT13" s="83">
        <v>0</v>
      </c>
      <c r="AU13" s="83">
        <v>0</v>
      </c>
      <c r="AV13" s="83">
        <v>0</v>
      </c>
      <c r="AW13" s="83">
        <v>0</v>
      </c>
      <c r="AX13" s="83">
        <v>0</v>
      </c>
      <c r="AY13" s="83">
        <v>0</v>
      </c>
      <c r="AZ13" s="83">
        <v>0</v>
      </c>
      <c r="BA13" s="83">
        <v>0</v>
      </c>
      <c r="BB13" s="83">
        <v>0</v>
      </c>
      <c r="BC13" s="83">
        <v>0</v>
      </c>
      <c r="BD13" s="83">
        <v>0</v>
      </c>
      <c r="BE13" s="5">
        <f>SUM(E13:BD13)</f>
        <v>0</v>
      </c>
      <c r="BF13" s="5"/>
      <c r="BG13" s="5">
        <f>BE13+BF13</f>
        <v>0</v>
      </c>
      <c r="BH13" s="66">
        <f>BE13-'TB 17.05.24'!BD11</f>
        <v>910.66</v>
      </c>
      <c r="BO13" s="79" t="e">
        <f>VLOOKUP(A13,[2]Sheet1!$A$8:$A$102,1,0)</f>
        <v>#N/A</v>
      </c>
    </row>
    <row r="14" spans="1:67" ht="15" hidden="1" customHeight="1" x14ac:dyDescent="0.35">
      <c r="A14" s="3" t="s">
        <v>1068</v>
      </c>
      <c r="B14" s="4" t="s">
        <v>1069</v>
      </c>
      <c r="C14" s="4" t="s">
        <v>314</v>
      </c>
      <c r="D14" s="4" t="s">
        <v>253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  <c r="P14" s="83">
        <v>0</v>
      </c>
      <c r="Q14" s="83">
        <v>0</v>
      </c>
      <c r="R14" s="83">
        <v>0</v>
      </c>
      <c r="S14" s="83">
        <v>0</v>
      </c>
      <c r="T14" s="83">
        <v>0</v>
      </c>
      <c r="U14" s="83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3">
        <v>0</v>
      </c>
      <c r="AC14" s="83">
        <v>0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3">
        <v>0</v>
      </c>
      <c r="AK14" s="83">
        <v>0</v>
      </c>
      <c r="AL14" s="83">
        <v>0</v>
      </c>
      <c r="AM14" s="83">
        <v>0</v>
      </c>
      <c r="AN14" s="83">
        <v>0</v>
      </c>
      <c r="AO14" s="83">
        <v>0</v>
      </c>
      <c r="AP14" s="83">
        <v>0</v>
      </c>
      <c r="AQ14" s="83">
        <v>0</v>
      </c>
      <c r="AR14" s="83">
        <v>0</v>
      </c>
      <c r="AS14" s="83">
        <v>0</v>
      </c>
      <c r="AT14" s="83">
        <v>0</v>
      </c>
      <c r="AU14" s="83">
        <v>0</v>
      </c>
      <c r="AV14" s="83">
        <v>0</v>
      </c>
      <c r="AW14" s="83">
        <v>0</v>
      </c>
      <c r="AX14" s="83">
        <v>0</v>
      </c>
      <c r="AY14" s="83">
        <v>0</v>
      </c>
      <c r="AZ14" s="83">
        <v>0</v>
      </c>
      <c r="BA14" s="83">
        <v>0</v>
      </c>
      <c r="BB14" s="83">
        <v>0</v>
      </c>
      <c r="BC14" s="83">
        <v>0</v>
      </c>
      <c r="BD14" s="83">
        <v>0</v>
      </c>
      <c r="BE14" s="5">
        <f>SUM(E14:BD14)</f>
        <v>0</v>
      </c>
      <c r="BF14" s="5"/>
      <c r="BG14" s="5"/>
      <c r="BH14" s="66"/>
      <c r="BO14" s="79" t="e">
        <f>VLOOKUP(A14,[2]Sheet1!$A$8:$A$102,1,0)</f>
        <v>#N/A</v>
      </c>
    </row>
    <row r="15" spans="1:67" ht="15" hidden="1" customHeight="1" x14ac:dyDescent="0.35">
      <c r="A15" s="3" t="s">
        <v>307</v>
      </c>
      <c r="B15" s="4" t="s">
        <v>308</v>
      </c>
      <c r="C15" s="4" t="s">
        <v>314</v>
      </c>
      <c r="D15" s="4" t="s">
        <v>253</v>
      </c>
      <c r="E15" s="83">
        <v>0</v>
      </c>
      <c r="F15" s="83">
        <v>0</v>
      </c>
      <c r="G15" s="83">
        <v>0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  <c r="P15" s="83">
        <v>0</v>
      </c>
      <c r="Q15" s="83">
        <v>0</v>
      </c>
      <c r="R15" s="83">
        <v>0</v>
      </c>
      <c r="S15" s="83">
        <v>0</v>
      </c>
      <c r="T15" s="83">
        <v>0</v>
      </c>
      <c r="U15" s="83">
        <v>0</v>
      </c>
      <c r="V15" s="83">
        <v>0</v>
      </c>
      <c r="W15" s="83">
        <v>0</v>
      </c>
      <c r="X15" s="83">
        <v>0</v>
      </c>
      <c r="Y15" s="83">
        <v>0</v>
      </c>
      <c r="Z15" s="83">
        <v>0</v>
      </c>
      <c r="AA15" s="83">
        <v>0</v>
      </c>
      <c r="AB15" s="83">
        <v>0</v>
      </c>
      <c r="AC15" s="83">
        <v>0</v>
      </c>
      <c r="AD15" s="83">
        <v>0</v>
      </c>
      <c r="AE15" s="83">
        <v>0</v>
      </c>
      <c r="AF15" s="83">
        <v>0</v>
      </c>
      <c r="AG15" s="83">
        <v>0</v>
      </c>
      <c r="AH15" s="83">
        <v>0</v>
      </c>
      <c r="AI15" s="83">
        <v>0</v>
      </c>
      <c r="AJ15" s="83">
        <v>0</v>
      </c>
      <c r="AK15" s="83">
        <v>0</v>
      </c>
      <c r="AL15" s="83">
        <v>0</v>
      </c>
      <c r="AM15" s="83">
        <v>0</v>
      </c>
      <c r="AN15" s="83">
        <v>0</v>
      </c>
      <c r="AO15" s="83">
        <v>0</v>
      </c>
      <c r="AP15" s="83">
        <v>0</v>
      </c>
      <c r="AQ15" s="83">
        <v>0</v>
      </c>
      <c r="AR15" s="83">
        <v>0</v>
      </c>
      <c r="AS15" s="83">
        <v>0</v>
      </c>
      <c r="AT15" s="83">
        <v>0</v>
      </c>
      <c r="AU15" s="83">
        <v>0</v>
      </c>
      <c r="AV15" s="83">
        <v>0</v>
      </c>
      <c r="AW15" s="83">
        <v>0</v>
      </c>
      <c r="AX15" s="83">
        <v>0</v>
      </c>
      <c r="AY15" s="83">
        <v>0</v>
      </c>
      <c r="AZ15" s="83">
        <v>0</v>
      </c>
      <c r="BA15" s="83">
        <v>0</v>
      </c>
      <c r="BB15" s="83">
        <v>0</v>
      </c>
      <c r="BC15" s="83">
        <v>0</v>
      </c>
      <c r="BD15" s="83">
        <v>0</v>
      </c>
      <c r="BE15" s="5">
        <f t="shared" ref="BE15:BE103" si="0">SUM(E15:BD15)</f>
        <v>0</v>
      </c>
      <c r="BF15" s="5"/>
      <c r="BG15" s="5">
        <f t="shared" ref="BG15:BG103" si="1">BE15+BF15</f>
        <v>0</v>
      </c>
      <c r="BH15" s="66">
        <f>BE15-'TB 17.05.24'!BD10</f>
        <v>-2341</v>
      </c>
      <c r="BO15" s="79" t="e">
        <f>VLOOKUP(A15,[2]Sheet1!$A$8:$A$102,1,0)</f>
        <v>#N/A</v>
      </c>
    </row>
    <row r="16" spans="1:67" ht="15" hidden="1" customHeight="1" x14ac:dyDescent="0.35">
      <c r="A16" s="3" t="s">
        <v>59</v>
      </c>
      <c r="B16" s="4" t="s">
        <v>60</v>
      </c>
      <c r="C16" s="4" t="s">
        <v>314</v>
      </c>
      <c r="D16" s="4" t="s">
        <v>253</v>
      </c>
      <c r="E16" s="83">
        <v>-1.67</v>
      </c>
      <c r="F16" s="83">
        <v>-40.79</v>
      </c>
      <c r="G16" s="83">
        <v>0</v>
      </c>
      <c r="H16" s="83">
        <v>-36.29</v>
      </c>
      <c r="I16" s="83">
        <v>0</v>
      </c>
      <c r="J16" s="83">
        <v>-33.39</v>
      </c>
      <c r="K16" s="83">
        <v>-9.23</v>
      </c>
      <c r="L16" s="83">
        <v>0</v>
      </c>
      <c r="M16" s="83">
        <v>-36.28</v>
      </c>
      <c r="N16" s="83">
        <v>-7.17</v>
      </c>
      <c r="O16" s="83">
        <v>0</v>
      </c>
      <c r="P16" s="83">
        <v>0</v>
      </c>
      <c r="Q16" s="83">
        <v>0</v>
      </c>
      <c r="R16" s="83">
        <f>-46.06-41</f>
        <v>-87.06</v>
      </c>
      <c r="S16" s="83">
        <v>-33.020000000000003</v>
      </c>
      <c r="T16" s="83">
        <f>-41*0</f>
        <v>0</v>
      </c>
      <c r="U16" s="83">
        <v>-38.11</v>
      </c>
      <c r="V16" s="83">
        <v>0</v>
      </c>
      <c r="W16" s="83">
        <v>-38.96</v>
      </c>
      <c r="X16" s="83">
        <v>-33.950000000000003</v>
      </c>
      <c r="Y16" s="83">
        <v>-31.59</v>
      </c>
      <c r="Z16" s="83">
        <v>-62.24</v>
      </c>
      <c r="AA16" s="83">
        <v>-105.9</v>
      </c>
      <c r="AB16" s="83">
        <v>0</v>
      </c>
      <c r="AC16" s="83">
        <v>-24.07</v>
      </c>
      <c r="AD16" s="83">
        <v>-58.52</v>
      </c>
      <c r="AE16" s="83">
        <v>-24.62</v>
      </c>
      <c r="AF16" s="83">
        <v>-25.63</v>
      </c>
      <c r="AG16" s="83">
        <v>-130.69999999999999</v>
      </c>
      <c r="AH16" s="83">
        <v>-21.91</v>
      </c>
      <c r="AI16" s="83">
        <v>-30.32</v>
      </c>
      <c r="AJ16" s="83">
        <v>-71.650000000000006</v>
      </c>
      <c r="AK16" s="83">
        <v>0</v>
      </c>
      <c r="AL16" s="83">
        <v>0</v>
      </c>
      <c r="AM16" s="83">
        <v>0</v>
      </c>
      <c r="AN16" s="83">
        <v>-92.85</v>
      </c>
      <c r="AO16" s="83">
        <v>-31.73</v>
      </c>
      <c r="AP16" s="83">
        <v>-130.94999999999999</v>
      </c>
      <c r="AQ16" s="83">
        <v>-57.07</v>
      </c>
      <c r="AR16" s="83">
        <v>-64.23</v>
      </c>
      <c r="AS16" s="83">
        <v>-38.1</v>
      </c>
      <c r="AT16" s="83">
        <v>-50.76</v>
      </c>
      <c r="AU16" s="83">
        <v>0</v>
      </c>
      <c r="AV16" s="83">
        <v>-11.68</v>
      </c>
      <c r="AW16" s="83">
        <v>-13.99</v>
      </c>
      <c r="AX16" s="83">
        <v>-15.71</v>
      </c>
      <c r="AY16" s="83">
        <v>0</v>
      </c>
      <c r="AZ16" s="83">
        <v>0</v>
      </c>
      <c r="BA16" s="83">
        <v>-32.630000000000003</v>
      </c>
      <c r="BB16" s="83">
        <v>-17.8</v>
      </c>
      <c r="BC16" s="83">
        <v>-71.5</v>
      </c>
      <c r="BD16" s="83">
        <v>1.65</v>
      </c>
      <c r="BE16" s="5">
        <f t="shared" si="0"/>
        <v>-1610.42</v>
      </c>
      <c r="BF16" s="5"/>
      <c r="BG16" s="5">
        <f t="shared" si="1"/>
        <v>-1610.42</v>
      </c>
      <c r="BH16" s="66">
        <f>BE16-'TB 17.05.24'!BD11</f>
        <v>-699.7600000000001</v>
      </c>
      <c r="BO16" t="str">
        <f>VLOOKUP(A16,[2]Sheet1!$A$8:$A$102,1,0)</f>
        <v>330004-025</v>
      </c>
    </row>
    <row r="17" spans="1:67" ht="15" hidden="1" customHeight="1" x14ac:dyDescent="0.35">
      <c r="A17" s="3" t="s">
        <v>61</v>
      </c>
      <c r="B17" s="4" t="s">
        <v>62</v>
      </c>
      <c r="C17" s="4" t="s">
        <v>314</v>
      </c>
      <c r="D17" s="4" t="s">
        <v>66</v>
      </c>
      <c r="E17" s="83">
        <v>-127666.5</v>
      </c>
      <c r="F17" s="83">
        <v>-250595.89</v>
      </c>
      <c r="G17" s="83">
        <v>0</v>
      </c>
      <c r="H17" s="83">
        <v>-67425.649999999994</v>
      </c>
      <c r="I17" s="83">
        <v>-406413.94</v>
      </c>
      <c r="J17" s="83">
        <v>-30196.28</v>
      </c>
      <c r="K17" s="83">
        <v>-72457.210000000006</v>
      </c>
      <c r="L17" s="83">
        <v>0</v>
      </c>
      <c r="M17" s="83">
        <v>-25886.03</v>
      </c>
      <c r="N17" s="83">
        <v>-22352.65</v>
      </c>
      <c r="O17" s="83">
        <v>0</v>
      </c>
      <c r="P17" s="83">
        <v>0</v>
      </c>
      <c r="Q17" s="83">
        <v>0</v>
      </c>
      <c r="R17" s="83">
        <v>-184563</v>
      </c>
      <c r="S17" s="83">
        <v>-5638</v>
      </c>
      <c r="T17" s="83">
        <v>0</v>
      </c>
      <c r="U17" s="83">
        <v>-57756.77</v>
      </c>
      <c r="V17" s="83">
        <v>0</v>
      </c>
      <c r="W17" s="83">
        <v>-10065.200000000001</v>
      </c>
      <c r="X17" s="83">
        <v>-56319.05</v>
      </c>
      <c r="Y17" s="83">
        <v>-52148.97</v>
      </c>
      <c r="Z17" s="83">
        <v>-133214.1</v>
      </c>
      <c r="AA17" s="83">
        <v>-145099.9</v>
      </c>
      <c r="AB17" s="83">
        <v>0</v>
      </c>
      <c r="AC17" s="83">
        <v>-42685.29</v>
      </c>
      <c r="AD17" s="83">
        <v>-410381.32</v>
      </c>
      <c r="AE17" s="83">
        <v>-9178.6</v>
      </c>
      <c r="AF17" s="83">
        <v>-51283.25</v>
      </c>
      <c r="AG17" s="83">
        <v>-72729.509999999995</v>
      </c>
      <c r="AH17" s="83">
        <v>-504488.05</v>
      </c>
      <c r="AI17" s="83">
        <v>0</v>
      </c>
      <c r="AJ17" s="83">
        <v>0</v>
      </c>
      <c r="AK17" s="83">
        <v>0</v>
      </c>
      <c r="AL17" s="83">
        <v>0</v>
      </c>
      <c r="AM17" s="83">
        <v>0</v>
      </c>
      <c r="AN17" s="83">
        <v>0</v>
      </c>
      <c r="AO17" s="83">
        <v>-46585.04</v>
      </c>
      <c r="AP17" s="83">
        <v>0</v>
      </c>
      <c r="AQ17" s="83">
        <v>0</v>
      </c>
      <c r="AR17" s="83">
        <v>-68498.12</v>
      </c>
      <c r="AS17" s="83">
        <v>-72518.539999999994</v>
      </c>
      <c r="AT17" s="83">
        <v>-137332.76</v>
      </c>
      <c r="AU17" s="83">
        <v>0</v>
      </c>
      <c r="AV17" s="83">
        <v>-7437.01</v>
      </c>
      <c r="AW17" s="83">
        <v>-35708.32</v>
      </c>
      <c r="AX17" s="83">
        <v>-36244.74</v>
      </c>
      <c r="AY17" s="83">
        <v>0</v>
      </c>
      <c r="AZ17" s="83">
        <v>0</v>
      </c>
      <c r="BA17" s="83">
        <v>-69048.09</v>
      </c>
      <c r="BB17" s="83">
        <v>-13083.32</v>
      </c>
      <c r="BC17" s="83">
        <v>-25821.01</v>
      </c>
      <c r="BD17" s="83">
        <v>-18686.04</v>
      </c>
      <c r="BE17" s="5">
        <f t="shared" si="0"/>
        <v>-3269508.1499999994</v>
      </c>
      <c r="BF17" s="5"/>
      <c r="BG17" s="5">
        <f t="shared" si="1"/>
        <v>-3269508.1499999994</v>
      </c>
      <c r="BH17" s="66">
        <f>BE17-'TB 17.05.24'!BD12</f>
        <v>12863.320000000764</v>
      </c>
      <c r="BO17" t="str">
        <f>VLOOKUP(A17,[2]Sheet1!$A$8:$A$102,1,0)</f>
        <v>360000-002</v>
      </c>
    </row>
    <row r="18" spans="1:67" ht="15" hidden="1" customHeight="1" x14ac:dyDescent="0.35">
      <c r="A18" s="3" t="s">
        <v>63</v>
      </c>
      <c r="B18" s="4" t="s">
        <v>64</v>
      </c>
      <c r="C18" s="4" t="s">
        <v>314</v>
      </c>
      <c r="D18" s="4" t="s">
        <v>252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>
        <v>0</v>
      </c>
      <c r="AA18" s="83">
        <v>0</v>
      </c>
      <c r="AB18" s="83">
        <v>0</v>
      </c>
      <c r="AC18" s="83">
        <v>0</v>
      </c>
      <c r="AD18" s="83">
        <v>0</v>
      </c>
      <c r="AE18" s="83">
        <v>0</v>
      </c>
      <c r="AF18" s="83">
        <v>0</v>
      </c>
      <c r="AG18" s="83">
        <v>0</v>
      </c>
      <c r="AH18" s="83">
        <v>0</v>
      </c>
      <c r="AI18" s="83">
        <v>0</v>
      </c>
      <c r="AJ18" s="83">
        <v>0</v>
      </c>
      <c r="AK18" s="83">
        <v>0</v>
      </c>
      <c r="AL18" s="83">
        <v>0</v>
      </c>
      <c r="AM18" s="83">
        <v>0</v>
      </c>
      <c r="AN18" s="83">
        <v>0</v>
      </c>
      <c r="AO18" s="83">
        <v>0</v>
      </c>
      <c r="AP18" s="83">
        <v>0</v>
      </c>
      <c r="AQ18" s="83">
        <v>0</v>
      </c>
      <c r="AR18" s="83">
        <v>0</v>
      </c>
      <c r="AS18" s="83">
        <v>0</v>
      </c>
      <c r="AT18" s="83">
        <v>0</v>
      </c>
      <c r="AU18" s="83">
        <v>0</v>
      </c>
      <c r="AV18" s="83">
        <v>0</v>
      </c>
      <c r="AW18" s="83">
        <v>0</v>
      </c>
      <c r="AX18" s="83">
        <v>883.13</v>
      </c>
      <c r="AY18" s="83">
        <v>0</v>
      </c>
      <c r="AZ18" s="83">
        <v>0</v>
      </c>
      <c r="BA18" s="83">
        <v>0</v>
      </c>
      <c r="BB18" s="83">
        <v>0</v>
      </c>
      <c r="BC18" s="83">
        <v>0</v>
      </c>
      <c r="BD18" s="83">
        <v>-450</v>
      </c>
      <c r="BE18" s="5">
        <f t="shared" si="0"/>
        <v>433.13</v>
      </c>
      <c r="BF18" s="5"/>
      <c r="BG18" s="5">
        <f t="shared" si="1"/>
        <v>433.13</v>
      </c>
      <c r="BH18" s="66">
        <f>BE18-'TB 17.05.24'!BD13</f>
        <v>12905.439999999999</v>
      </c>
      <c r="BO18" t="str">
        <f>VLOOKUP(A18,[2]Sheet1!$A$8:$A$102,1,0)</f>
        <v>360000-003</v>
      </c>
    </row>
    <row r="19" spans="1:67" ht="15" hidden="1" customHeight="1" x14ac:dyDescent="0.35">
      <c r="A19" s="3" t="s">
        <v>65</v>
      </c>
      <c r="B19" s="4" t="s">
        <v>66</v>
      </c>
      <c r="C19" s="4" t="s">
        <v>314</v>
      </c>
      <c r="D19" s="4" t="s">
        <v>66</v>
      </c>
      <c r="E19" s="83">
        <v>-792463.05</v>
      </c>
      <c r="F19" s="83">
        <v>-1221740.44</v>
      </c>
      <c r="G19" s="83">
        <v>0</v>
      </c>
      <c r="H19" s="83">
        <v>-2166711.38</v>
      </c>
      <c r="I19" s="83">
        <v>-485027.01</v>
      </c>
      <c r="J19" s="83">
        <v>-1716094.73</v>
      </c>
      <c r="K19" s="83">
        <v>-2306424.63</v>
      </c>
      <c r="L19" s="83">
        <v>0</v>
      </c>
      <c r="M19" s="83">
        <v>-1852542.1</v>
      </c>
      <c r="N19" s="83">
        <v>-2203729.36</v>
      </c>
      <c r="O19" s="83">
        <v>0</v>
      </c>
      <c r="P19" s="83">
        <v>0</v>
      </c>
      <c r="Q19" s="83">
        <v>0</v>
      </c>
      <c r="R19" s="83">
        <v>-2694338.35</v>
      </c>
      <c r="S19" s="83">
        <v>-1024703.09</v>
      </c>
      <c r="T19" s="83">
        <v>0</v>
      </c>
      <c r="U19" s="83">
        <v>-2483339.44</v>
      </c>
      <c r="V19" s="83">
        <v>0</v>
      </c>
      <c r="W19" s="83">
        <v>-860881.51</v>
      </c>
      <c r="X19" s="83">
        <v>-1423443.98</v>
      </c>
      <c r="Y19" s="83">
        <v>-1782746.24</v>
      </c>
      <c r="Z19" s="83">
        <v>-1186067.33</v>
      </c>
      <c r="AA19" s="83">
        <v>-1489699.15</v>
      </c>
      <c r="AB19" s="83">
        <v>0</v>
      </c>
      <c r="AC19" s="83">
        <v>-1925072.4</v>
      </c>
      <c r="AD19" s="83">
        <v>-3374204.5</v>
      </c>
      <c r="AE19" s="83">
        <v>-254625.71</v>
      </c>
      <c r="AF19" s="83">
        <v>-1487252.98</v>
      </c>
      <c r="AG19" s="83">
        <v>-1408362.07</v>
      </c>
      <c r="AH19" s="83">
        <v>-911711.39</v>
      </c>
      <c r="AI19" s="83">
        <v>-1263892.28</v>
      </c>
      <c r="AJ19" s="83">
        <v>-3204862.97</v>
      </c>
      <c r="AK19" s="83">
        <v>0</v>
      </c>
      <c r="AL19" s="83">
        <v>0</v>
      </c>
      <c r="AM19" s="83">
        <v>0</v>
      </c>
      <c r="AN19" s="83">
        <v>-1715254.17</v>
      </c>
      <c r="AO19" s="83">
        <v>-3379997.79</v>
      </c>
      <c r="AP19" s="83">
        <v>-742673.53</v>
      </c>
      <c r="AQ19" s="83">
        <v>-263079.53000000003</v>
      </c>
      <c r="AR19" s="83">
        <v>-4341115.9000000004</v>
      </c>
      <c r="AS19" s="83">
        <v>-1451934.01</v>
      </c>
      <c r="AT19" s="83">
        <v>-1483614.44</v>
      </c>
      <c r="AU19" s="83">
        <v>0</v>
      </c>
      <c r="AV19" s="83">
        <v>-986343.08</v>
      </c>
      <c r="AW19" s="83">
        <v>-1472943.77</v>
      </c>
      <c r="AX19" s="83">
        <v>-980337.91</v>
      </c>
      <c r="AY19" s="83">
        <v>0</v>
      </c>
      <c r="AZ19" s="83">
        <v>0</v>
      </c>
      <c r="BA19" s="83">
        <v>-2819446.42</v>
      </c>
      <c r="BB19" s="83">
        <v>-793046.54</v>
      </c>
      <c r="BC19" s="83">
        <v>-3524953.28</v>
      </c>
      <c r="BD19" s="83">
        <v>-479577.55</v>
      </c>
      <c r="BE19" s="5">
        <f t="shared" si="0"/>
        <v>-63954254.00999999</v>
      </c>
      <c r="BF19" s="5"/>
      <c r="BG19" s="5">
        <f t="shared" si="1"/>
        <v>-63954254.00999999</v>
      </c>
      <c r="BH19" s="66">
        <f>BE19-'TB 17.05.24'!BD14</f>
        <v>-12111979.499999993</v>
      </c>
      <c r="BO19" t="str">
        <f>VLOOKUP(A19,[2]Sheet1!$A$8:$A$102,1,0)</f>
        <v>360001-002</v>
      </c>
    </row>
    <row r="20" spans="1:67" ht="15" hidden="1" customHeight="1" x14ac:dyDescent="0.35">
      <c r="A20" s="3" t="s">
        <v>67</v>
      </c>
      <c r="B20" s="4" t="s">
        <v>68</v>
      </c>
      <c r="C20" s="4" t="s">
        <v>314</v>
      </c>
      <c r="D20" s="4" t="s">
        <v>252</v>
      </c>
      <c r="E20" s="83">
        <v>-208940.31</v>
      </c>
      <c r="F20" s="83">
        <v>-242547.86</v>
      </c>
      <c r="G20" s="83">
        <v>0</v>
      </c>
      <c r="H20" s="83">
        <v>-397799.93</v>
      </c>
      <c r="I20" s="83">
        <v>-110786.57</v>
      </c>
      <c r="J20" s="83">
        <v>-372443.37</v>
      </c>
      <c r="K20" s="83">
        <v>-358578.24</v>
      </c>
      <c r="L20" s="83">
        <v>0</v>
      </c>
      <c r="M20" s="83">
        <v>-309100.03999999998</v>
      </c>
      <c r="N20" s="83">
        <v>-389215.42</v>
      </c>
      <c r="O20" s="83">
        <v>0</v>
      </c>
      <c r="P20" s="83">
        <v>0</v>
      </c>
      <c r="Q20" s="83">
        <v>0</v>
      </c>
      <c r="R20" s="83">
        <v>-392336.53</v>
      </c>
      <c r="S20" s="83">
        <v>-288699.64</v>
      </c>
      <c r="T20" s="83">
        <v>0</v>
      </c>
      <c r="U20" s="83">
        <v>-257391.17</v>
      </c>
      <c r="V20" s="83">
        <v>0</v>
      </c>
      <c r="W20" s="83">
        <v>-238831.8</v>
      </c>
      <c r="X20" s="83">
        <v>-260607.79</v>
      </c>
      <c r="Y20" s="83">
        <v>-392168.82</v>
      </c>
      <c r="Z20" s="83">
        <v>-321186.71999999997</v>
      </c>
      <c r="AA20" s="83">
        <v>-250984.06</v>
      </c>
      <c r="AB20" s="83">
        <v>0</v>
      </c>
      <c r="AC20" s="83">
        <v>-361321.78</v>
      </c>
      <c r="AD20" s="83">
        <v>-286992.2</v>
      </c>
      <c r="AE20" s="83">
        <v>-132422.78</v>
      </c>
      <c r="AF20" s="83">
        <v>-143041.10999999999</v>
      </c>
      <c r="AG20" s="83">
        <v>-192062.35</v>
      </c>
      <c r="AH20" s="83">
        <v>-144753.87</v>
      </c>
      <c r="AI20" s="83">
        <v>-347552.72</v>
      </c>
      <c r="AJ20" s="83">
        <v>-281984.99</v>
      </c>
      <c r="AK20" s="83">
        <v>0</v>
      </c>
      <c r="AL20" s="83">
        <v>0</v>
      </c>
      <c r="AM20" s="83">
        <v>0</v>
      </c>
      <c r="AN20" s="83">
        <v>-363622.85</v>
      </c>
      <c r="AO20" s="83">
        <v>-440765.64</v>
      </c>
      <c r="AP20" s="83">
        <v>-338498.1</v>
      </c>
      <c r="AQ20" s="83">
        <v>-76846</v>
      </c>
      <c r="AR20" s="83">
        <v>-947227.76</v>
      </c>
      <c r="AS20" s="83">
        <v>-256199.96</v>
      </c>
      <c r="AT20" s="83">
        <v>-151610.20000000001</v>
      </c>
      <c r="AU20" s="83">
        <v>0</v>
      </c>
      <c r="AV20" s="83">
        <v>-143286.5</v>
      </c>
      <c r="AW20" s="83">
        <v>-181394.89</v>
      </c>
      <c r="AX20" s="83">
        <v>-213314.74</v>
      </c>
      <c r="AY20" s="83">
        <v>0</v>
      </c>
      <c r="AZ20" s="83">
        <v>0</v>
      </c>
      <c r="BA20" s="83">
        <v>-342132.08</v>
      </c>
      <c r="BB20" s="83">
        <v>-485084.58</v>
      </c>
      <c r="BC20" s="83">
        <v>-742187.18</v>
      </c>
      <c r="BD20" s="83">
        <v>-78254.600000000006</v>
      </c>
      <c r="BE20" s="5">
        <f t="shared" si="0"/>
        <v>-11442175.15</v>
      </c>
      <c r="BF20" s="5"/>
      <c r="BG20" s="5">
        <f t="shared" si="1"/>
        <v>-11442175.15</v>
      </c>
      <c r="BH20" s="66">
        <f>BE20-'TB 17.05.24'!BD15</f>
        <v>-2414621.4600000009</v>
      </c>
      <c r="BO20" t="str">
        <f>VLOOKUP(A20,[2]Sheet1!$A$8:$A$102,1,0)</f>
        <v>360001-003</v>
      </c>
    </row>
    <row r="21" spans="1:67" ht="15" hidden="1" customHeight="1" x14ac:dyDescent="0.35">
      <c r="A21" s="3" t="s">
        <v>69</v>
      </c>
      <c r="B21" s="4" t="s">
        <v>70</v>
      </c>
      <c r="C21" s="4" t="s">
        <v>314</v>
      </c>
      <c r="D21" s="4" t="s">
        <v>70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-374599.98</v>
      </c>
      <c r="K21" s="83">
        <v>-588964.59</v>
      </c>
      <c r="L21" s="83">
        <v>0</v>
      </c>
      <c r="M21" s="83">
        <v>-1797258.29</v>
      </c>
      <c r="N21" s="83">
        <v>-395063.86</v>
      </c>
      <c r="O21" s="83">
        <v>0</v>
      </c>
      <c r="P21" s="83">
        <v>0</v>
      </c>
      <c r="Q21" s="83">
        <v>0</v>
      </c>
      <c r="R21" s="83">
        <v>0</v>
      </c>
      <c r="S21" s="83">
        <v>-889692.25</v>
      </c>
      <c r="T21" s="83">
        <v>0</v>
      </c>
      <c r="U21" s="83">
        <v>-552595.92000000004</v>
      </c>
      <c r="V21" s="83">
        <v>0</v>
      </c>
      <c r="W21" s="83">
        <v>-417585.74</v>
      </c>
      <c r="X21" s="83">
        <v>-431900.47</v>
      </c>
      <c r="Y21" s="83">
        <v>-313435.68</v>
      </c>
      <c r="Z21" s="83">
        <v>-116758.65</v>
      </c>
      <c r="AA21" s="83">
        <v>0</v>
      </c>
      <c r="AB21" s="83">
        <v>0</v>
      </c>
      <c r="AC21" s="83">
        <v>-1282700.08</v>
      </c>
      <c r="AD21" s="83">
        <v>-426090.5</v>
      </c>
      <c r="AE21" s="83">
        <v>-4266</v>
      </c>
      <c r="AF21" s="83">
        <v>-254024.9</v>
      </c>
      <c r="AG21" s="83">
        <v>0</v>
      </c>
      <c r="AH21" s="83">
        <v>-453004.4</v>
      </c>
      <c r="AI21" s="83">
        <v>-303886.3</v>
      </c>
      <c r="AJ21" s="83">
        <v>-454907.87</v>
      </c>
      <c r="AK21" s="83">
        <v>0</v>
      </c>
      <c r="AL21" s="83">
        <v>0</v>
      </c>
      <c r="AM21" s="83">
        <v>0</v>
      </c>
      <c r="AN21" s="83">
        <v>-1772739.64</v>
      </c>
      <c r="AO21" s="83">
        <v>-1051921.7</v>
      </c>
      <c r="AP21" s="83">
        <v>0</v>
      </c>
      <c r="AQ21" s="83">
        <v>0</v>
      </c>
      <c r="AR21" s="83">
        <v>-601700.65</v>
      </c>
      <c r="AS21" s="83">
        <v>-460553.17</v>
      </c>
      <c r="AT21" s="83">
        <v>-183696.91</v>
      </c>
      <c r="AU21" s="83">
        <v>0</v>
      </c>
      <c r="AV21" s="83">
        <v>-893932.47</v>
      </c>
      <c r="AW21" s="83">
        <v>-178614.09</v>
      </c>
      <c r="AX21" s="83">
        <v>-39536.25</v>
      </c>
      <c r="AY21" s="83">
        <v>0</v>
      </c>
      <c r="AZ21" s="83">
        <v>0</v>
      </c>
      <c r="BA21" s="83">
        <v>-479020.15</v>
      </c>
      <c r="BB21" s="83">
        <v>0</v>
      </c>
      <c r="BC21" s="83">
        <v>-717852.96</v>
      </c>
      <c r="BD21" s="83">
        <v>-58984.25</v>
      </c>
      <c r="BE21" s="5">
        <f t="shared" si="0"/>
        <v>-15495287.720000003</v>
      </c>
      <c r="BF21" s="5"/>
      <c r="BG21" s="5">
        <f t="shared" si="1"/>
        <v>-15495287.720000003</v>
      </c>
      <c r="BH21" s="66">
        <f>BE21-'TB 17.05.24'!BD16</f>
        <v>-3199131.9700000025</v>
      </c>
      <c r="BO21" t="str">
        <f>VLOOKUP(A21,[2]Sheet1!$A$8:$A$102,1,0)</f>
        <v>360001-004</v>
      </c>
    </row>
    <row r="22" spans="1:67" ht="15" hidden="1" customHeight="1" x14ac:dyDescent="0.35">
      <c r="A22" s="3" t="s">
        <v>71</v>
      </c>
      <c r="B22" s="4" t="s">
        <v>72</v>
      </c>
      <c r="C22" s="4" t="s">
        <v>314</v>
      </c>
      <c r="D22" s="4" t="s">
        <v>253</v>
      </c>
      <c r="E22" s="83">
        <v>0</v>
      </c>
      <c r="F22" s="83">
        <v>0</v>
      </c>
      <c r="G22" s="83">
        <v>0</v>
      </c>
      <c r="H22" s="83">
        <v>0</v>
      </c>
      <c r="I22" s="83">
        <v>0</v>
      </c>
      <c r="J22" s="83">
        <v>0</v>
      </c>
      <c r="K22" s="83">
        <v>0</v>
      </c>
      <c r="L22" s="83">
        <v>0</v>
      </c>
      <c r="M22" s="83">
        <v>-20456.79</v>
      </c>
      <c r="N22" s="83">
        <v>0</v>
      </c>
      <c r="O22" s="83">
        <v>0</v>
      </c>
      <c r="P22" s="83">
        <v>0</v>
      </c>
      <c r="Q22" s="83">
        <v>0</v>
      </c>
      <c r="R22" s="83">
        <v>0</v>
      </c>
      <c r="S22" s="83">
        <v>-2328.77</v>
      </c>
      <c r="T22" s="83">
        <v>0</v>
      </c>
      <c r="U22" s="83">
        <v>0</v>
      </c>
      <c r="V22" s="83">
        <v>0</v>
      </c>
      <c r="W22" s="83">
        <v>0</v>
      </c>
      <c r="X22" s="83">
        <v>0</v>
      </c>
      <c r="Y22" s="83">
        <v>0</v>
      </c>
      <c r="Z22" s="83">
        <v>0</v>
      </c>
      <c r="AA22" s="83">
        <v>0</v>
      </c>
      <c r="AB22" s="83">
        <v>0</v>
      </c>
      <c r="AC22" s="83">
        <v>-4808.2</v>
      </c>
      <c r="AD22" s="83">
        <v>0</v>
      </c>
      <c r="AE22" s="83">
        <v>0</v>
      </c>
      <c r="AF22" s="83">
        <v>0</v>
      </c>
      <c r="AG22" s="83">
        <v>0</v>
      </c>
      <c r="AH22" s="83">
        <v>0</v>
      </c>
      <c r="AI22" s="83">
        <v>0</v>
      </c>
      <c r="AJ22" s="83">
        <v>0</v>
      </c>
      <c r="AK22" s="83">
        <v>0</v>
      </c>
      <c r="AL22" s="83">
        <v>0</v>
      </c>
      <c r="AM22" s="83">
        <v>0</v>
      </c>
      <c r="AN22" s="83">
        <v>0</v>
      </c>
      <c r="AO22" s="83">
        <v>0</v>
      </c>
      <c r="AP22" s="83">
        <v>0</v>
      </c>
      <c r="AQ22" s="83">
        <v>0</v>
      </c>
      <c r="AR22" s="83">
        <v>0</v>
      </c>
      <c r="AS22" s="83">
        <v>0</v>
      </c>
      <c r="AT22" s="83">
        <v>0</v>
      </c>
      <c r="AU22" s="83">
        <v>0</v>
      </c>
      <c r="AV22" s="83">
        <v>0</v>
      </c>
      <c r="AW22" s="83">
        <v>0</v>
      </c>
      <c r="AX22" s="83">
        <v>0</v>
      </c>
      <c r="AY22" s="83">
        <v>0</v>
      </c>
      <c r="AZ22" s="83">
        <v>0</v>
      </c>
      <c r="BA22" s="83">
        <v>0</v>
      </c>
      <c r="BB22" s="83">
        <v>0</v>
      </c>
      <c r="BC22" s="83">
        <v>0</v>
      </c>
      <c r="BD22" s="83">
        <v>0</v>
      </c>
      <c r="BE22" s="5">
        <f t="shared" si="0"/>
        <v>-27593.760000000002</v>
      </c>
      <c r="BF22" s="5"/>
      <c r="BG22" s="5">
        <f t="shared" si="1"/>
        <v>-27593.760000000002</v>
      </c>
      <c r="BH22" s="66">
        <f>BE22-'TB 17.05.24'!BD17</f>
        <v>1410.9299999999967</v>
      </c>
      <c r="BO22" t="str">
        <f>VLOOKUP(A22,[2]Sheet1!$A$8:$A$102,1,0)</f>
        <v>360001-005</v>
      </c>
    </row>
    <row r="23" spans="1:67" ht="15" hidden="1" customHeight="1" x14ac:dyDescent="0.35">
      <c r="A23" s="3" t="s">
        <v>73</v>
      </c>
      <c r="B23" s="4" t="s">
        <v>74</v>
      </c>
      <c r="C23" s="4" t="s">
        <v>314</v>
      </c>
      <c r="D23" s="4" t="s">
        <v>253</v>
      </c>
      <c r="E23" s="83">
        <v>-5990.55</v>
      </c>
      <c r="F23" s="83">
        <v>-900</v>
      </c>
      <c r="G23" s="83">
        <v>0</v>
      </c>
      <c r="H23" s="83">
        <v>-2911.34</v>
      </c>
      <c r="I23" s="83">
        <v>-25666.01</v>
      </c>
      <c r="J23" s="83">
        <v>-1427.73</v>
      </c>
      <c r="K23" s="83">
        <v>-1452.75</v>
      </c>
      <c r="L23" s="83">
        <v>0</v>
      </c>
      <c r="M23" s="83">
        <v>-1297.31</v>
      </c>
      <c r="N23" s="83">
        <v>-919.85</v>
      </c>
      <c r="O23" s="83">
        <v>0</v>
      </c>
      <c r="P23" s="83">
        <v>0</v>
      </c>
      <c r="Q23" s="83">
        <v>0</v>
      </c>
      <c r="R23" s="83">
        <v>-414</v>
      </c>
      <c r="S23" s="83">
        <v>-282.2</v>
      </c>
      <c r="T23" s="83">
        <v>0</v>
      </c>
      <c r="U23" s="83">
        <v>-3013.21</v>
      </c>
      <c r="V23" s="83">
        <v>0</v>
      </c>
      <c r="W23" s="83">
        <v>-503.86</v>
      </c>
      <c r="X23" s="83">
        <v>-2629.85</v>
      </c>
      <c r="Y23" s="83">
        <v>-2477.06</v>
      </c>
      <c r="Z23" s="83">
        <v>-250.5</v>
      </c>
      <c r="AA23" s="83">
        <v>-4875.8500000000004</v>
      </c>
      <c r="AB23" s="83">
        <v>0</v>
      </c>
      <c r="AC23" s="83">
        <v>-1699.01</v>
      </c>
      <c r="AD23" s="83">
        <v>-19684.689999999999</v>
      </c>
      <c r="AE23" s="83">
        <v>-494.87</v>
      </c>
      <c r="AF23" s="83">
        <v>-1831.9</v>
      </c>
      <c r="AG23" s="83">
        <v>-4122.22</v>
      </c>
      <c r="AH23" s="83">
        <v>-25291.1</v>
      </c>
      <c r="AI23" s="83">
        <v>0</v>
      </c>
      <c r="AJ23" s="83">
        <v>0</v>
      </c>
      <c r="AK23" s="83">
        <v>0</v>
      </c>
      <c r="AL23" s="83">
        <v>0</v>
      </c>
      <c r="AM23" s="83">
        <v>0</v>
      </c>
      <c r="AN23" s="83">
        <v>0</v>
      </c>
      <c r="AO23" s="83">
        <v>-590.85</v>
      </c>
      <c r="AP23" s="83">
        <v>0</v>
      </c>
      <c r="AQ23" s="83">
        <v>0</v>
      </c>
      <c r="AR23" s="83">
        <v>-230</v>
      </c>
      <c r="AS23" s="83">
        <v>-3809.65</v>
      </c>
      <c r="AT23" s="83">
        <v>-8578.0499999999993</v>
      </c>
      <c r="AU23" s="83">
        <v>0</v>
      </c>
      <c r="AV23" s="83">
        <v>-442.25</v>
      </c>
      <c r="AW23" s="83">
        <v>-1652.27</v>
      </c>
      <c r="AX23" s="83">
        <v>-25</v>
      </c>
      <c r="AY23" s="83">
        <v>0</v>
      </c>
      <c r="AZ23" s="83">
        <v>0</v>
      </c>
      <c r="BA23" s="83">
        <v>0</v>
      </c>
      <c r="BB23" s="83">
        <v>-473</v>
      </c>
      <c r="BC23" s="83">
        <v>0</v>
      </c>
      <c r="BD23" s="83">
        <v>-656.34</v>
      </c>
      <c r="BE23" s="5">
        <f t="shared" si="0"/>
        <v>-124593.26999999999</v>
      </c>
      <c r="BF23" s="5"/>
      <c r="BG23" s="5">
        <f t="shared" si="1"/>
        <v>-124593.26999999999</v>
      </c>
      <c r="BH23" s="66">
        <f>BE23-'TB 17.05.24'!BD18</f>
        <v>12027.279999999999</v>
      </c>
      <c r="BO23" t="str">
        <f>VLOOKUP(A23,[2]Sheet1!$A$8:$A$102,1,0)</f>
        <v>360001-006</v>
      </c>
    </row>
    <row r="24" spans="1:67" ht="15" hidden="1" customHeight="1" x14ac:dyDescent="0.35">
      <c r="A24" s="3" t="s">
        <v>75</v>
      </c>
      <c r="B24" s="4" t="s">
        <v>76</v>
      </c>
      <c r="C24" s="4" t="s">
        <v>314</v>
      </c>
      <c r="D24" s="4" t="s">
        <v>66</v>
      </c>
      <c r="E24" s="83">
        <v>0</v>
      </c>
      <c r="F24" s="83">
        <v>0</v>
      </c>
      <c r="G24" s="83">
        <v>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  <c r="M24" s="83">
        <v>0</v>
      </c>
      <c r="N24" s="83">
        <v>0</v>
      </c>
      <c r="O24" s="83">
        <v>0</v>
      </c>
      <c r="P24" s="83">
        <v>0</v>
      </c>
      <c r="Q24" s="83">
        <v>0</v>
      </c>
      <c r="R24" s="83">
        <v>0</v>
      </c>
      <c r="S24" s="83">
        <f>0+-316676.82</f>
        <v>-316676.82</v>
      </c>
      <c r="T24" s="83">
        <f>-316676.82*0</f>
        <v>0</v>
      </c>
      <c r="U24" s="83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  <c r="AC24" s="83">
        <v>0</v>
      </c>
      <c r="AD24" s="83">
        <v>0</v>
      </c>
      <c r="AE24" s="83">
        <v>0</v>
      </c>
      <c r="AF24" s="83">
        <v>0</v>
      </c>
      <c r="AG24" s="83">
        <v>0</v>
      </c>
      <c r="AH24" s="83">
        <v>0</v>
      </c>
      <c r="AI24" s="83">
        <v>0</v>
      </c>
      <c r="AJ24" s="83">
        <v>0</v>
      </c>
      <c r="AK24" s="83">
        <v>0</v>
      </c>
      <c r="AL24" s="83">
        <v>0</v>
      </c>
      <c r="AM24" s="83">
        <v>0</v>
      </c>
      <c r="AN24" s="83">
        <v>0</v>
      </c>
      <c r="AO24" s="83">
        <v>0</v>
      </c>
      <c r="AP24" s="83">
        <v>0</v>
      </c>
      <c r="AQ24" s="83">
        <v>0</v>
      </c>
      <c r="AR24" s="83">
        <v>0</v>
      </c>
      <c r="AS24" s="83">
        <v>0</v>
      </c>
      <c r="AT24" s="83">
        <v>0</v>
      </c>
      <c r="AU24" s="83">
        <v>0</v>
      </c>
      <c r="AV24" s="83">
        <v>0</v>
      </c>
      <c r="AW24" s="83">
        <v>0</v>
      </c>
      <c r="AX24" s="83">
        <v>0</v>
      </c>
      <c r="AY24" s="83">
        <v>0</v>
      </c>
      <c r="AZ24" s="83">
        <v>0</v>
      </c>
      <c r="BA24" s="83">
        <v>0</v>
      </c>
      <c r="BB24" s="83">
        <v>0</v>
      </c>
      <c r="BC24" s="83">
        <v>0</v>
      </c>
      <c r="BD24" s="83">
        <v>0</v>
      </c>
      <c r="BE24" s="5">
        <f t="shared" si="0"/>
        <v>-316676.82</v>
      </c>
      <c r="BF24" s="5"/>
      <c r="BG24" s="5">
        <f t="shared" si="1"/>
        <v>-316676.82</v>
      </c>
      <c r="BH24" s="66">
        <f>BE24-'TB 17.05.24'!BD19</f>
        <v>-68942.94</v>
      </c>
      <c r="BO24" t="str">
        <f>VLOOKUP(A24,[2]Sheet1!$A$8:$A$102,1,0)</f>
        <v>360001-007</v>
      </c>
    </row>
    <row r="25" spans="1:67" ht="15" hidden="1" customHeight="1" x14ac:dyDescent="0.35">
      <c r="A25" s="3" t="s">
        <v>77</v>
      </c>
      <c r="B25" s="4" t="s">
        <v>78</v>
      </c>
      <c r="C25" s="4" t="s">
        <v>314</v>
      </c>
      <c r="D25" s="4" t="s">
        <v>967</v>
      </c>
      <c r="E25" s="83">
        <v>-25050.98</v>
      </c>
      <c r="F25" s="83">
        <v>-35160.269999999997</v>
      </c>
      <c r="G25" s="83">
        <v>0</v>
      </c>
      <c r="H25" s="83">
        <v>-68093.83</v>
      </c>
      <c r="I25" s="83">
        <v>-15878.1</v>
      </c>
      <c r="J25" s="83">
        <v>-32994.879999999997</v>
      </c>
      <c r="K25" s="83">
        <v>-32899.519999999997</v>
      </c>
      <c r="L25" s="83">
        <v>0</v>
      </c>
      <c r="M25" s="83">
        <v>48394.53</v>
      </c>
      <c r="N25" s="83">
        <v>-39519.449999999997</v>
      </c>
      <c r="O25" s="83">
        <v>0</v>
      </c>
      <c r="P25" s="83">
        <v>0</v>
      </c>
      <c r="Q25" s="83">
        <v>0</v>
      </c>
      <c r="R25" s="83">
        <v>-65797.67</v>
      </c>
      <c r="S25" s="83">
        <v>20172.14</v>
      </c>
      <c r="T25" s="83">
        <v>0</v>
      </c>
      <c r="U25" s="83">
        <v>-35257.42</v>
      </c>
      <c r="V25" s="83">
        <v>0</v>
      </c>
      <c r="W25" s="83">
        <v>2184.4899999999998</v>
      </c>
      <c r="X25" s="83">
        <v>-15689.02</v>
      </c>
      <c r="Y25" s="83">
        <v>-32332.639999999999</v>
      </c>
      <c r="Z25" s="83">
        <v>-30310.09</v>
      </c>
      <c r="AA25" s="83">
        <v>-42450.68</v>
      </c>
      <c r="AB25" s="83">
        <v>0</v>
      </c>
      <c r="AC25" s="83">
        <v>20036.5</v>
      </c>
      <c r="AD25" s="83">
        <v>-62982.15</v>
      </c>
      <c r="AE25" s="83">
        <v>-9394</v>
      </c>
      <c r="AF25" s="83">
        <v>-28929.3</v>
      </c>
      <c r="AG25" s="83">
        <v>-36632.99</v>
      </c>
      <c r="AH25" s="83">
        <v>-1700.62</v>
      </c>
      <c r="AI25" s="83">
        <v>-23836.14</v>
      </c>
      <c r="AJ25" s="83">
        <v>-62016.63</v>
      </c>
      <c r="AK25" s="83">
        <v>0</v>
      </c>
      <c r="AL25" s="83">
        <v>0</v>
      </c>
      <c r="AM25" s="83">
        <v>0</v>
      </c>
      <c r="AN25" s="83">
        <v>52856.6</v>
      </c>
      <c r="AO25" s="83">
        <v>-39188.11</v>
      </c>
      <c r="AP25" s="83">
        <v>-23525.91</v>
      </c>
      <c r="AQ25" s="83">
        <v>-6860.08</v>
      </c>
      <c r="AR25" s="83">
        <v>-104498.77</v>
      </c>
      <c r="AS25" s="83">
        <v>-17624.5</v>
      </c>
      <c r="AT25" s="83">
        <v>-27661.37</v>
      </c>
      <c r="AU25" s="83">
        <v>0</v>
      </c>
      <c r="AV25" s="83">
        <v>16702.28</v>
      </c>
      <c r="AW25" s="83">
        <v>-27007.46</v>
      </c>
      <c r="AX25" s="83">
        <v>-27729.17</v>
      </c>
      <c r="AY25" s="83">
        <v>0</v>
      </c>
      <c r="AZ25" s="83">
        <v>0</v>
      </c>
      <c r="BA25" s="83">
        <v>-51534.1</v>
      </c>
      <c r="BB25" s="83">
        <v>-31423.43</v>
      </c>
      <c r="BC25" s="83">
        <v>-71129.679999999993</v>
      </c>
      <c r="BD25" s="83">
        <v>-11060.42</v>
      </c>
      <c r="BE25" s="5">
        <f t="shared" si="0"/>
        <v>-975822.84</v>
      </c>
      <c r="BF25" s="5"/>
      <c r="BG25" s="5">
        <f t="shared" si="1"/>
        <v>-975822.84</v>
      </c>
      <c r="BH25" s="66">
        <f>BE25-'TB 17.05.24'!BD20</f>
        <v>-219112.40999999992</v>
      </c>
      <c r="BO25" t="str">
        <f>VLOOKUP(A25,[2]Sheet1!$A$8:$A$102,1,0)</f>
        <v>360002-002</v>
      </c>
    </row>
    <row r="26" spans="1:67" ht="15" hidden="1" customHeight="1" x14ac:dyDescent="0.35">
      <c r="A26" s="3" t="s">
        <v>79</v>
      </c>
      <c r="B26" s="4" t="s">
        <v>80</v>
      </c>
      <c r="C26" s="4" t="s">
        <v>314</v>
      </c>
      <c r="D26" s="4" t="s">
        <v>967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-30073.15</v>
      </c>
      <c r="K26" s="83">
        <v>-47937.27</v>
      </c>
      <c r="L26" s="83">
        <v>0</v>
      </c>
      <c r="M26" s="83">
        <v>-142628.6</v>
      </c>
      <c r="N26" s="83">
        <v>-36633.58</v>
      </c>
      <c r="O26" s="83">
        <v>0</v>
      </c>
      <c r="P26" s="83">
        <v>0</v>
      </c>
      <c r="Q26" s="83">
        <v>0</v>
      </c>
      <c r="R26" s="83">
        <v>0</v>
      </c>
      <c r="S26" s="83">
        <v>-78188.710000000006</v>
      </c>
      <c r="T26" s="83">
        <v>0</v>
      </c>
      <c r="U26" s="83">
        <v>-48987.3</v>
      </c>
      <c r="V26" s="83">
        <v>0</v>
      </c>
      <c r="W26" s="83">
        <v>-32736.93</v>
      </c>
      <c r="X26" s="83">
        <v>-33283.14</v>
      </c>
      <c r="Y26" s="83">
        <v>-29724.720000000001</v>
      </c>
      <c r="Z26" s="83">
        <v>-9961.75</v>
      </c>
      <c r="AA26" s="83">
        <v>0</v>
      </c>
      <c r="AB26" s="83">
        <v>0</v>
      </c>
      <c r="AC26" s="83">
        <v>-118402.16</v>
      </c>
      <c r="AD26" s="83">
        <v>-38525.68</v>
      </c>
      <c r="AE26" s="83">
        <v>-426.6</v>
      </c>
      <c r="AF26" s="83">
        <v>-21817.49</v>
      </c>
      <c r="AG26" s="83">
        <v>0</v>
      </c>
      <c r="AH26" s="83">
        <v>-30799.85</v>
      </c>
      <c r="AI26" s="83">
        <v>-26718.93</v>
      </c>
      <c r="AJ26" s="83">
        <v>-33336.480000000003</v>
      </c>
      <c r="AK26" s="83">
        <v>0</v>
      </c>
      <c r="AL26" s="83">
        <v>0</v>
      </c>
      <c r="AM26" s="83">
        <v>0</v>
      </c>
      <c r="AN26" s="83">
        <v>-155465.62</v>
      </c>
      <c r="AO26" s="83">
        <v>-94861.36</v>
      </c>
      <c r="AP26" s="83">
        <v>0</v>
      </c>
      <c r="AQ26" s="83">
        <v>0</v>
      </c>
      <c r="AR26" s="83">
        <v>-55666.82</v>
      </c>
      <c r="AS26" s="83">
        <v>-36308.11</v>
      </c>
      <c r="AT26" s="83">
        <v>-14189.45</v>
      </c>
      <c r="AU26" s="83">
        <v>0</v>
      </c>
      <c r="AV26" s="83">
        <v>-59492.13</v>
      </c>
      <c r="AW26" s="83">
        <v>-15228.06</v>
      </c>
      <c r="AX26" s="83">
        <v>-3405.53</v>
      </c>
      <c r="AY26" s="83">
        <v>0</v>
      </c>
      <c r="AZ26" s="83">
        <v>0</v>
      </c>
      <c r="BA26" s="83">
        <v>-40472.93</v>
      </c>
      <c r="BB26" s="83">
        <v>0</v>
      </c>
      <c r="BC26" s="83">
        <v>-61797</v>
      </c>
      <c r="BD26" s="83">
        <v>-5065.58</v>
      </c>
      <c r="BE26" s="5">
        <f t="shared" si="0"/>
        <v>-1302134.9300000002</v>
      </c>
      <c r="BF26" s="5"/>
      <c r="BG26" s="5">
        <f t="shared" si="1"/>
        <v>-1302134.9300000002</v>
      </c>
      <c r="BH26" s="66">
        <f>BE26-'TB 17.05.24'!BD21</f>
        <v>-286240.64000000013</v>
      </c>
      <c r="BO26" t="str">
        <f>VLOOKUP(A26,[2]Sheet1!$A$8:$A$102,1,0)</f>
        <v>360002-003</v>
      </c>
    </row>
    <row r="27" spans="1:67" ht="15" hidden="1" customHeight="1" x14ac:dyDescent="0.35">
      <c r="A27" s="3" t="s">
        <v>81</v>
      </c>
      <c r="B27" s="4" t="s">
        <v>82</v>
      </c>
      <c r="C27" s="4" t="s">
        <v>314</v>
      </c>
      <c r="D27" s="4" t="s">
        <v>319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  <c r="R27" s="83">
        <v>0</v>
      </c>
      <c r="S27" s="83">
        <v>0</v>
      </c>
      <c r="T27" s="83">
        <v>0</v>
      </c>
      <c r="U27" s="83">
        <v>0</v>
      </c>
      <c r="V27" s="83">
        <v>0</v>
      </c>
      <c r="W27" s="83">
        <v>8811</v>
      </c>
      <c r="X27" s="83">
        <v>8812</v>
      </c>
      <c r="Y27" s="83">
        <v>8814</v>
      </c>
      <c r="Z27" s="83">
        <v>8960</v>
      </c>
      <c r="AA27" s="83">
        <v>0</v>
      </c>
      <c r="AB27" s="83">
        <v>0</v>
      </c>
      <c r="AC27" s="83">
        <v>8960</v>
      </c>
      <c r="AD27" s="83">
        <v>8960</v>
      </c>
      <c r="AE27" s="83">
        <v>8960</v>
      </c>
      <c r="AF27" s="83">
        <v>8960</v>
      </c>
      <c r="AG27" s="83">
        <v>0</v>
      </c>
      <c r="AH27" s="83">
        <v>0</v>
      </c>
      <c r="AI27" s="83">
        <v>0</v>
      </c>
      <c r="AJ27" s="83">
        <v>0</v>
      </c>
      <c r="AK27" s="83">
        <v>0</v>
      </c>
      <c r="AL27" s="83">
        <v>0</v>
      </c>
      <c r="AM27" s="83">
        <v>0</v>
      </c>
      <c r="AN27" s="83">
        <v>0</v>
      </c>
      <c r="AO27" s="83">
        <v>0</v>
      </c>
      <c r="AP27" s="83">
        <v>0</v>
      </c>
      <c r="AQ27" s="83">
        <v>0</v>
      </c>
      <c r="AR27" s="83">
        <v>0</v>
      </c>
      <c r="AS27" s="83">
        <v>0</v>
      </c>
      <c r="AT27" s="83">
        <v>0</v>
      </c>
      <c r="AU27" s="83">
        <v>0</v>
      </c>
      <c r="AV27" s="83">
        <v>0</v>
      </c>
      <c r="AW27" s="83">
        <v>0</v>
      </c>
      <c r="AX27" s="83">
        <v>0</v>
      </c>
      <c r="AY27" s="83">
        <v>0</v>
      </c>
      <c r="AZ27" s="83">
        <v>0</v>
      </c>
      <c r="BA27" s="83">
        <v>0</v>
      </c>
      <c r="BB27" s="83">
        <v>0</v>
      </c>
      <c r="BC27" s="83">
        <v>0</v>
      </c>
      <c r="BD27" s="83">
        <v>0</v>
      </c>
      <c r="BE27" s="83">
        <f t="shared" si="0"/>
        <v>71237</v>
      </c>
      <c r="BF27" s="5"/>
      <c r="BG27" s="5">
        <f t="shared" si="1"/>
        <v>71237</v>
      </c>
      <c r="BH27" s="66">
        <f>BE27-'TB 17.05.24'!BD22</f>
        <v>-91721</v>
      </c>
      <c r="BO27" t="str">
        <f>VLOOKUP(A27,[2]Sheet1!$A$8:$A$102,1,0)</f>
        <v>410100-003</v>
      </c>
    </row>
    <row r="28" spans="1:67" ht="15" hidden="1" customHeight="1" x14ac:dyDescent="0.35">
      <c r="A28" s="3" t="s">
        <v>83</v>
      </c>
      <c r="B28" s="4" t="s">
        <v>84</v>
      </c>
      <c r="C28" s="4" t="s">
        <v>314</v>
      </c>
      <c r="D28" s="4" t="s">
        <v>319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  <c r="R28" s="83">
        <v>29500</v>
      </c>
      <c r="S28" s="83">
        <v>0</v>
      </c>
      <c r="T28" s="83">
        <v>0</v>
      </c>
      <c r="U28" s="83">
        <v>2950</v>
      </c>
      <c r="V28" s="83">
        <v>0</v>
      </c>
      <c r="W28" s="83">
        <v>0</v>
      </c>
      <c r="X28" s="83">
        <v>0</v>
      </c>
      <c r="Y28" s="83">
        <v>0</v>
      </c>
      <c r="Z28" s="83">
        <v>4360</v>
      </c>
      <c r="AA28" s="83">
        <v>0</v>
      </c>
      <c r="AB28" s="83">
        <v>0</v>
      </c>
      <c r="AC28" s="83">
        <v>0</v>
      </c>
      <c r="AD28" s="83">
        <v>0</v>
      </c>
      <c r="AE28" s="83">
        <v>0</v>
      </c>
      <c r="AF28" s="83">
        <v>0</v>
      </c>
      <c r="AG28" s="83">
        <v>3750</v>
      </c>
      <c r="AH28" s="83">
        <v>0</v>
      </c>
      <c r="AI28" s="83">
        <v>0</v>
      </c>
      <c r="AJ28" s="83">
        <v>0</v>
      </c>
      <c r="AK28" s="83">
        <v>0</v>
      </c>
      <c r="AL28" s="83">
        <v>0</v>
      </c>
      <c r="AM28" s="83">
        <v>0</v>
      </c>
      <c r="AN28" s="83">
        <v>0</v>
      </c>
      <c r="AO28" s="83">
        <v>0</v>
      </c>
      <c r="AP28" s="83">
        <v>0</v>
      </c>
      <c r="AQ28" s="83">
        <v>0</v>
      </c>
      <c r="AR28" s="83">
        <v>0</v>
      </c>
      <c r="AS28" s="83">
        <v>-1599</v>
      </c>
      <c r="AT28" s="83">
        <v>0</v>
      </c>
      <c r="AU28" s="83">
        <v>0</v>
      </c>
      <c r="AV28" s="83">
        <v>0</v>
      </c>
      <c r="AW28" s="83">
        <v>95274</v>
      </c>
      <c r="AX28" s="83">
        <v>0</v>
      </c>
      <c r="AY28" s="83">
        <v>0</v>
      </c>
      <c r="AZ28" s="83">
        <v>0</v>
      </c>
      <c r="BA28" s="83">
        <v>161200</v>
      </c>
      <c r="BB28" s="83">
        <v>0</v>
      </c>
      <c r="BC28" s="83">
        <v>161201</v>
      </c>
      <c r="BD28" s="83">
        <v>600</v>
      </c>
      <c r="BE28" s="83">
        <f t="shared" si="0"/>
        <v>457236</v>
      </c>
      <c r="BF28" s="5"/>
      <c r="BG28" s="5">
        <f t="shared" si="1"/>
        <v>457236</v>
      </c>
      <c r="BH28" s="66">
        <f>BE28-'TB 17.05.24'!BD23</f>
        <v>416336</v>
      </c>
      <c r="BO28" t="str">
        <f>VLOOKUP(A28,[2]Sheet1!$A$8:$A$102,1,0)</f>
        <v>410200-003</v>
      </c>
    </row>
    <row r="29" spans="1:67" ht="15" hidden="1" customHeight="1" x14ac:dyDescent="0.35">
      <c r="A29" s="3" t="s">
        <v>1070</v>
      </c>
      <c r="B29" s="4" t="s">
        <v>1071</v>
      </c>
      <c r="C29" s="4" t="s">
        <v>314</v>
      </c>
      <c r="D29" s="4" t="s">
        <v>322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  <c r="R29" s="83">
        <v>0</v>
      </c>
      <c r="S29" s="83">
        <v>0</v>
      </c>
      <c r="T29" s="83">
        <v>0</v>
      </c>
      <c r="U29" s="83">
        <v>0</v>
      </c>
      <c r="V29" s="83">
        <v>0</v>
      </c>
      <c r="W29" s="83">
        <v>2146</v>
      </c>
      <c r="X29" s="83">
        <v>2146</v>
      </c>
      <c r="Y29" s="83">
        <v>2148</v>
      </c>
      <c r="Z29" s="83">
        <v>0</v>
      </c>
      <c r="AA29" s="83">
        <v>0</v>
      </c>
      <c r="AB29" s="83">
        <v>0</v>
      </c>
      <c r="AC29" s="83">
        <v>0</v>
      </c>
      <c r="AD29" s="83">
        <v>0</v>
      </c>
      <c r="AE29" s="83">
        <v>0</v>
      </c>
      <c r="AF29" s="83">
        <v>0</v>
      </c>
      <c r="AG29" s="83">
        <v>0</v>
      </c>
      <c r="AH29" s="83">
        <v>0</v>
      </c>
      <c r="AI29" s="83">
        <v>0</v>
      </c>
      <c r="AJ29" s="83">
        <v>0</v>
      </c>
      <c r="AK29" s="83">
        <v>0</v>
      </c>
      <c r="AL29" s="83">
        <v>0</v>
      </c>
      <c r="AM29" s="83">
        <v>0</v>
      </c>
      <c r="AN29" s="83">
        <v>0</v>
      </c>
      <c r="AO29" s="83">
        <v>0</v>
      </c>
      <c r="AP29" s="83">
        <v>0</v>
      </c>
      <c r="AQ29" s="83">
        <v>0</v>
      </c>
      <c r="AR29" s="83">
        <v>0</v>
      </c>
      <c r="AS29" s="83">
        <v>0</v>
      </c>
      <c r="AT29" s="83">
        <v>0</v>
      </c>
      <c r="AU29" s="83">
        <v>0</v>
      </c>
      <c r="AV29" s="83">
        <v>0</v>
      </c>
      <c r="AW29" s="83">
        <v>0</v>
      </c>
      <c r="AX29" s="83">
        <v>0</v>
      </c>
      <c r="AY29" s="83">
        <v>0</v>
      </c>
      <c r="AZ29" s="83">
        <v>0</v>
      </c>
      <c r="BA29" s="83">
        <v>0</v>
      </c>
      <c r="BB29" s="83">
        <v>0</v>
      </c>
      <c r="BC29" s="83">
        <v>0</v>
      </c>
      <c r="BD29" s="83">
        <v>0</v>
      </c>
      <c r="BE29" s="5">
        <f t="shared" si="0"/>
        <v>6440</v>
      </c>
      <c r="BF29" s="5"/>
      <c r="BG29" s="5"/>
      <c r="BH29" s="66"/>
      <c r="BO29" t="str">
        <f>VLOOKUP(A29,[2]Sheet1!$A$8:$A$102,1,0)</f>
        <v>410200-004</v>
      </c>
    </row>
    <row r="30" spans="1:67" ht="15" hidden="1" customHeight="1" x14ac:dyDescent="0.35">
      <c r="A30" s="3" t="s">
        <v>85</v>
      </c>
      <c r="B30" s="4" t="s">
        <v>86</v>
      </c>
      <c r="C30" s="4" t="s">
        <v>314</v>
      </c>
      <c r="D30" s="4" t="s">
        <v>291</v>
      </c>
      <c r="E30" s="83">
        <f>0+(64760/4)</f>
        <v>16190</v>
      </c>
      <c r="F30" s="83">
        <f>8040+(64760/4)</f>
        <v>24230</v>
      </c>
      <c r="G30" s="83">
        <f>(64760/4)*0</f>
        <v>0</v>
      </c>
      <c r="H30" s="83">
        <f>11800+(64760/4)</f>
        <v>27990</v>
      </c>
      <c r="I30" s="83">
        <f>0+(64760/4)</f>
        <v>16190</v>
      </c>
      <c r="J30" s="83">
        <v>21700</v>
      </c>
      <c r="K30" s="83">
        <v>23491</v>
      </c>
      <c r="L30" s="83">
        <v>0</v>
      </c>
      <c r="M30" s="83">
        <v>19450</v>
      </c>
      <c r="N30" s="83">
        <v>62730</v>
      </c>
      <c r="O30" s="83">
        <v>0</v>
      </c>
      <c r="P30" s="83">
        <v>0</v>
      </c>
      <c r="Q30" s="83">
        <v>0</v>
      </c>
      <c r="R30" s="83">
        <v>35604</v>
      </c>
      <c r="S30" s="83">
        <v>296</v>
      </c>
      <c r="T30" s="83">
        <v>0</v>
      </c>
      <c r="U30" s="83">
        <v>0</v>
      </c>
      <c r="V30" s="83">
        <f>(20200/3)*0</f>
        <v>0</v>
      </c>
      <c r="W30" s="83">
        <f>6480+(20200/3)</f>
        <v>13213.333333333332</v>
      </c>
      <c r="X30" s="83">
        <f>0+(20200/3)</f>
        <v>6733.333333333333</v>
      </c>
      <c r="Y30" s="83">
        <f>0+(20200/3)</f>
        <v>6733.333333333333</v>
      </c>
      <c r="Z30" s="83">
        <f>0+(4800/8)</f>
        <v>600</v>
      </c>
      <c r="AA30" s="83">
        <f>18120+(4800/8)</f>
        <v>18720</v>
      </c>
      <c r="AB30" s="83">
        <f>(4800/8)*0</f>
        <v>0</v>
      </c>
      <c r="AC30" s="83">
        <f>12644+(4800/8)</f>
        <v>13244</v>
      </c>
      <c r="AD30" s="83">
        <f>0+(4800/8)</f>
        <v>600</v>
      </c>
      <c r="AE30" s="83">
        <f>0+(4800/8)</f>
        <v>600</v>
      </c>
      <c r="AF30" s="83">
        <f>2281+(4800/8)</f>
        <v>2881</v>
      </c>
      <c r="AG30" s="83">
        <f>10800+(4800/8)</f>
        <v>11400</v>
      </c>
      <c r="AH30" s="83">
        <f>0+(4800/8)</f>
        <v>600</v>
      </c>
      <c r="AI30" s="83">
        <v>0</v>
      </c>
      <c r="AJ30" s="83">
        <v>0</v>
      </c>
      <c r="AK30" s="83">
        <v>0</v>
      </c>
      <c r="AL30" s="83">
        <v>0</v>
      </c>
      <c r="AM30" s="83">
        <v>0</v>
      </c>
      <c r="AN30" s="83">
        <v>19322</v>
      </c>
      <c r="AO30" s="83">
        <v>3778</v>
      </c>
      <c r="AP30" s="83">
        <v>4048</v>
      </c>
      <c r="AQ30" s="83">
        <v>0</v>
      </c>
      <c r="AR30" s="83">
        <v>0</v>
      </c>
      <c r="AS30" s="83">
        <v>14970</v>
      </c>
      <c r="AT30" s="83">
        <v>0</v>
      </c>
      <c r="AU30" s="83">
        <v>0</v>
      </c>
      <c r="AV30" s="83">
        <v>0</v>
      </c>
      <c r="AW30" s="83">
        <v>0</v>
      </c>
      <c r="AX30" s="83">
        <v>0</v>
      </c>
      <c r="AY30" s="83">
        <v>0</v>
      </c>
      <c r="AZ30" s="83">
        <v>0</v>
      </c>
      <c r="BA30" s="83">
        <v>0</v>
      </c>
      <c r="BB30" s="83">
        <v>0</v>
      </c>
      <c r="BC30" s="83">
        <v>0</v>
      </c>
      <c r="BD30" s="83">
        <v>0</v>
      </c>
      <c r="BE30" s="83">
        <f t="shared" si="0"/>
        <v>365314</v>
      </c>
      <c r="BF30" s="5"/>
      <c r="BG30" s="5">
        <f t="shared" si="1"/>
        <v>365314</v>
      </c>
      <c r="BH30" s="66">
        <f>BE30-'TB 17.05.24'!BD24</f>
        <v>212280</v>
      </c>
      <c r="BO30" t="str">
        <f>VLOOKUP(A30,[2]Sheet1!$A$8:$A$102,1,0)</f>
        <v>410500-010</v>
      </c>
    </row>
    <row r="31" spans="1:67" ht="15" hidden="1" customHeight="1" x14ac:dyDescent="0.35">
      <c r="A31" s="3" t="s">
        <v>88</v>
      </c>
      <c r="B31" s="4" t="s">
        <v>89</v>
      </c>
      <c r="C31" s="4" t="s">
        <v>314</v>
      </c>
      <c r="D31" s="4" t="s">
        <v>300</v>
      </c>
      <c r="E31" s="83">
        <v>9430</v>
      </c>
      <c r="F31" s="83">
        <v>2662</v>
      </c>
      <c r="G31" s="83">
        <v>0</v>
      </c>
      <c r="H31" s="83">
        <v>2662</v>
      </c>
      <c r="I31" s="83">
        <v>2664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  <c r="R31" s="83">
        <v>0</v>
      </c>
      <c r="S31" s="83">
        <v>0</v>
      </c>
      <c r="T31" s="83">
        <v>0</v>
      </c>
      <c r="U31" s="83">
        <v>0</v>
      </c>
      <c r="V31" s="83">
        <v>0</v>
      </c>
      <c r="W31" s="83">
        <v>0</v>
      </c>
      <c r="X31" s="83">
        <v>0</v>
      </c>
      <c r="Y31" s="83">
        <v>0</v>
      </c>
      <c r="Z31" s="83">
        <v>0</v>
      </c>
      <c r="AA31" s="83">
        <v>0</v>
      </c>
      <c r="AB31" s="83">
        <v>0</v>
      </c>
      <c r="AC31" s="83">
        <v>0</v>
      </c>
      <c r="AD31" s="83">
        <v>0</v>
      </c>
      <c r="AE31" s="83">
        <v>0</v>
      </c>
      <c r="AF31" s="83">
        <v>0</v>
      </c>
      <c r="AG31" s="83">
        <v>0</v>
      </c>
      <c r="AH31" s="83">
        <v>0</v>
      </c>
      <c r="AI31" s="83">
        <v>0</v>
      </c>
      <c r="AJ31" s="83">
        <v>0</v>
      </c>
      <c r="AK31" s="83">
        <v>0</v>
      </c>
      <c r="AL31" s="83">
        <v>0</v>
      </c>
      <c r="AM31" s="83">
        <v>0</v>
      </c>
      <c r="AN31" s="83">
        <v>0</v>
      </c>
      <c r="AO31" s="83">
        <v>0</v>
      </c>
      <c r="AP31" s="83">
        <v>0</v>
      </c>
      <c r="AQ31" s="83">
        <v>0</v>
      </c>
      <c r="AR31" s="83">
        <v>0</v>
      </c>
      <c r="AS31" s="83">
        <v>0</v>
      </c>
      <c r="AT31" s="83">
        <v>0</v>
      </c>
      <c r="AU31" s="83">
        <v>0</v>
      </c>
      <c r="AV31" s="83">
        <v>0</v>
      </c>
      <c r="AW31" s="83">
        <v>0</v>
      </c>
      <c r="AX31" s="83">
        <v>0</v>
      </c>
      <c r="AY31" s="83">
        <v>0</v>
      </c>
      <c r="AZ31" s="83">
        <v>0</v>
      </c>
      <c r="BA31" s="83">
        <v>0</v>
      </c>
      <c r="BB31" s="83">
        <v>0</v>
      </c>
      <c r="BC31" s="83">
        <v>0</v>
      </c>
      <c r="BD31" s="83">
        <v>0</v>
      </c>
      <c r="BE31" s="5">
        <f t="shared" si="0"/>
        <v>17418</v>
      </c>
      <c r="BF31" s="5"/>
      <c r="BG31" s="5">
        <f t="shared" si="1"/>
        <v>17418</v>
      </c>
      <c r="BH31" s="66">
        <f>BE31-'TB 17.05.24'!BD25</f>
        <v>-79362</v>
      </c>
      <c r="BO31" t="str">
        <f>VLOOKUP(A31,[2]Sheet1!$A$8:$A$102,1,0)</f>
        <v>411001-004</v>
      </c>
    </row>
    <row r="32" spans="1:67" ht="15" hidden="1" customHeight="1" x14ac:dyDescent="0.35">
      <c r="A32" s="3" t="s">
        <v>1072</v>
      </c>
      <c r="B32" s="4" t="s">
        <v>1073</v>
      </c>
      <c r="C32" s="4" t="s">
        <v>314</v>
      </c>
      <c r="D32" s="4" t="s">
        <v>300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0</v>
      </c>
      <c r="X32" s="83">
        <v>0</v>
      </c>
      <c r="Y32" s="83">
        <v>0</v>
      </c>
      <c r="Z32" s="83">
        <v>20408</v>
      </c>
      <c r="AA32" s="83">
        <v>0</v>
      </c>
      <c r="AB32" s="83">
        <v>0</v>
      </c>
      <c r="AC32" s="83">
        <v>0</v>
      </c>
      <c r="AD32" s="83">
        <v>0</v>
      </c>
      <c r="AE32" s="83">
        <v>0</v>
      </c>
      <c r="AF32" s="83">
        <v>0</v>
      </c>
      <c r="AG32" s="83">
        <v>0</v>
      </c>
      <c r="AH32" s="83">
        <v>0</v>
      </c>
      <c r="AI32" s="83">
        <v>0</v>
      </c>
      <c r="AJ32" s="83">
        <v>0</v>
      </c>
      <c r="AK32" s="83">
        <v>0</v>
      </c>
      <c r="AL32" s="83">
        <v>0</v>
      </c>
      <c r="AM32" s="83">
        <v>0</v>
      </c>
      <c r="AN32" s="83">
        <v>0</v>
      </c>
      <c r="AO32" s="83">
        <v>0</v>
      </c>
      <c r="AP32" s="83">
        <v>0</v>
      </c>
      <c r="AQ32" s="83">
        <v>0</v>
      </c>
      <c r="AR32" s="83">
        <v>0</v>
      </c>
      <c r="AS32" s="83">
        <v>0</v>
      </c>
      <c r="AT32" s="83">
        <v>0</v>
      </c>
      <c r="AU32" s="83">
        <v>0</v>
      </c>
      <c r="AV32" s="83">
        <v>0</v>
      </c>
      <c r="AW32" s="83">
        <v>0</v>
      </c>
      <c r="AX32" s="83">
        <v>0</v>
      </c>
      <c r="AY32" s="83">
        <v>0</v>
      </c>
      <c r="AZ32" s="83">
        <v>0</v>
      </c>
      <c r="BA32" s="83">
        <v>0</v>
      </c>
      <c r="BB32" s="83">
        <v>0</v>
      </c>
      <c r="BC32" s="83">
        <v>0</v>
      </c>
      <c r="BD32" s="83">
        <v>0</v>
      </c>
      <c r="BE32" s="5">
        <f t="shared" si="0"/>
        <v>20408</v>
      </c>
      <c r="BF32" s="5"/>
      <c r="BG32" s="5"/>
      <c r="BH32" s="66"/>
      <c r="BO32" t="str">
        <f>VLOOKUP(A32,[2]Sheet1!$A$8:$A$102,1,0)</f>
        <v>411001-152</v>
      </c>
    </row>
    <row r="33" spans="1:67" ht="15" hidden="1" customHeight="1" x14ac:dyDescent="0.35">
      <c r="A33" s="3" t="s">
        <v>1074</v>
      </c>
      <c r="B33" s="4" t="s">
        <v>1075</v>
      </c>
      <c r="C33" s="4" t="s">
        <v>314</v>
      </c>
      <c r="D33" s="4" t="s">
        <v>300</v>
      </c>
      <c r="E33" s="83">
        <v>0</v>
      </c>
      <c r="F33" s="83">
        <v>0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0</v>
      </c>
      <c r="M33" s="83">
        <v>1400</v>
      </c>
      <c r="N33" s="83">
        <v>0</v>
      </c>
      <c r="O33" s="83">
        <v>1850</v>
      </c>
      <c r="P33" s="83">
        <v>0</v>
      </c>
      <c r="Q33" s="83">
        <v>0</v>
      </c>
      <c r="R33" s="83">
        <v>0</v>
      </c>
      <c r="S33" s="83">
        <v>0</v>
      </c>
      <c r="T33" s="83">
        <v>0</v>
      </c>
      <c r="U33" s="83">
        <v>0</v>
      </c>
      <c r="V33" s="83">
        <v>0</v>
      </c>
      <c r="W33" s="83">
        <v>0</v>
      </c>
      <c r="X33" s="83">
        <v>0</v>
      </c>
      <c r="Y33" s="83">
        <v>0</v>
      </c>
      <c r="Z33" s="83">
        <v>0</v>
      </c>
      <c r="AA33" s="83">
        <v>0</v>
      </c>
      <c r="AB33" s="83">
        <v>0</v>
      </c>
      <c r="AC33" s="83">
        <v>0</v>
      </c>
      <c r="AD33" s="83">
        <v>7500</v>
      </c>
      <c r="AE33" s="83">
        <v>0</v>
      </c>
      <c r="AF33" s="83">
        <v>0</v>
      </c>
      <c r="AG33" s="83">
        <v>0</v>
      </c>
      <c r="AH33" s="83">
        <v>0</v>
      </c>
      <c r="AI33" s="83">
        <v>0</v>
      </c>
      <c r="AJ33" s="83">
        <v>0</v>
      </c>
      <c r="AK33" s="83">
        <v>0</v>
      </c>
      <c r="AL33" s="83">
        <v>0</v>
      </c>
      <c r="AM33" s="83">
        <v>0</v>
      </c>
      <c r="AN33" s="83">
        <v>0</v>
      </c>
      <c r="AO33" s="83">
        <v>0</v>
      </c>
      <c r="AP33" s="83">
        <v>0</v>
      </c>
      <c r="AQ33" s="83">
        <v>1586</v>
      </c>
      <c r="AR33" s="83">
        <v>0</v>
      </c>
      <c r="AS33" s="83">
        <v>0</v>
      </c>
      <c r="AT33" s="83">
        <v>0</v>
      </c>
      <c r="AU33" s="83">
        <v>0</v>
      </c>
      <c r="AV33" s="83">
        <v>0</v>
      </c>
      <c r="AW33" s="83">
        <v>0</v>
      </c>
      <c r="AX33" s="83">
        <v>0</v>
      </c>
      <c r="AY33" s="83">
        <v>0</v>
      </c>
      <c r="AZ33" s="83">
        <v>0</v>
      </c>
      <c r="BA33" s="83">
        <v>0</v>
      </c>
      <c r="BB33" s="83">
        <v>0</v>
      </c>
      <c r="BC33" s="83">
        <v>0</v>
      </c>
      <c r="BD33" s="83">
        <v>0</v>
      </c>
      <c r="BE33" s="5">
        <f t="shared" si="0"/>
        <v>12336</v>
      </c>
      <c r="BF33" s="5"/>
      <c r="BG33" s="5"/>
      <c r="BH33" s="66"/>
      <c r="BO33" t="str">
        <f>VLOOKUP(A33,[2]Sheet1!$A$8:$A$102,1,0)</f>
        <v>411001-202</v>
      </c>
    </row>
    <row r="34" spans="1:67" ht="15" hidden="1" customHeight="1" x14ac:dyDescent="0.35">
      <c r="A34" s="3" t="s">
        <v>1076</v>
      </c>
      <c r="B34" s="4" t="s">
        <v>1075</v>
      </c>
      <c r="C34" s="4" t="s">
        <v>314</v>
      </c>
      <c r="D34" s="4" t="s">
        <v>300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  <c r="R34" s="83">
        <v>0</v>
      </c>
      <c r="S34" s="83">
        <v>0</v>
      </c>
      <c r="T34" s="83">
        <v>0</v>
      </c>
      <c r="U34" s="83">
        <v>0</v>
      </c>
      <c r="V34" s="83">
        <v>0</v>
      </c>
      <c r="W34" s="83">
        <v>0</v>
      </c>
      <c r="X34" s="83">
        <v>0</v>
      </c>
      <c r="Y34" s="83">
        <v>0</v>
      </c>
      <c r="Z34" s="83">
        <v>0</v>
      </c>
      <c r="AA34" s="83">
        <v>0</v>
      </c>
      <c r="AB34" s="83">
        <v>0</v>
      </c>
      <c r="AC34" s="83">
        <v>0</v>
      </c>
      <c r="AD34" s="83">
        <v>0</v>
      </c>
      <c r="AE34" s="83">
        <v>0</v>
      </c>
      <c r="AF34" s="83">
        <v>0</v>
      </c>
      <c r="AG34" s="83">
        <v>0</v>
      </c>
      <c r="AH34" s="83">
        <v>0</v>
      </c>
      <c r="AI34" s="83">
        <v>0</v>
      </c>
      <c r="AJ34" s="83">
        <v>0</v>
      </c>
      <c r="AK34" s="83">
        <v>0</v>
      </c>
      <c r="AL34" s="83">
        <v>0</v>
      </c>
      <c r="AM34" s="83">
        <v>0</v>
      </c>
      <c r="AN34" s="83">
        <v>1000</v>
      </c>
      <c r="AO34" s="83">
        <v>0</v>
      </c>
      <c r="AP34" s="83">
        <v>0</v>
      </c>
      <c r="AQ34" s="83">
        <v>0</v>
      </c>
      <c r="AR34" s="83">
        <v>0</v>
      </c>
      <c r="AS34" s="83">
        <v>0</v>
      </c>
      <c r="AT34" s="83">
        <v>0</v>
      </c>
      <c r="AU34" s="83">
        <v>0</v>
      </c>
      <c r="AV34" s="83">
        <v>0</v>
      </c>
      <c r="AW34" s="83">
        <v>0</v>
      </c>
      <c r="AX34" s="83">
        <v>0</v>
      </c>
      <c r="AY34" s="83">
        <v>0</v>
      </c>
      <c r="AZ34" s="83">
        <v>0</v>
      </c>
      <c r="BA34" s="83">
        <v>0</v>
      </c>
      <c r="BB34" s="83">
        <v>0</v>
      </c>
      <c r="BC34" s="83">
        <v>0</v>
      </c>
      <c r="BD34" s="83">
        <v>0</v>
      </c>
      <c r="BE34" s="5">
        <f t="shared" si="0"/>
        <v>1000</v>
      </c>
      <c r="BF34" s="5"/>
      <c r="BG34" s="5"/>
      <c r="BH34" s="66"/>
      <c r="BO34" t="str">
        <f>VLOOKUP(A34,[2]Sheet1!$A$8:$A$102,1,0)</f>
        <v>411001-209</v>
      </c>
    </row>
    <row r="35" spans="1:67" ht="15" hidden="1" customHeight="1" x14ac:dyDescent="0.35">
      <c r="A35" s="3" t="s">
        <v>90</v>
      </c>
      <c r="B35" s="4" t="s">
        <v>91</v>
      </c>
      <c r="C35" s="4" t="s">
        <v>314</v>
      </c>
      <c r="D35" s="4" t="s">
        <v>300</v>
      </c>
      <c r="E35" s="83">
        <v>10107</v>
      </c>
      <c r="F35" s="83">
        <v>10676</v>
      </c>
      <c r="G35" s="83">
        <v>0</v>
      </c>
      <c r="H35" s="83">
        <v>12832</v>
      </c>
      <c r="I35" s="83">
        <v>4258</v>
      </c>
      <c r="J35" s="83">
        <v>25635</v>
      </c>
      <c r="K35" s="83">
        <v>7900</v>
      </c>
      <c r="L35" s="83">
        <v>0</v>
      </c>
      <c r="M35" s="83">
        <v>21487</v>
      </c>
      <c r="N35" s="83">
        <v>865</v>
      </c>
      <c r="O35" s="83">
        <v>0</v>
      </c>
      <c r="P35" s="83">
        <v>0</v>
      </c>
      <c r="Q35" s="83">
        <v>0</v>
      </c>
      <c r="R35" s="83">
        <v>41062</v>
      </c>
      <c r="S35" s="83">
        <v>31098</v>
      </c>
      <c r="T35" s="83">
        <v>0</v>
      </c>
      <c r="U35" s="83">
        <v>17842</v>
      </c>
      <c r="V35" s="83">
        <v>0</v>
      </c>
      <c r="W35" s="83">
        <v>2260</v>
      </c>
      <c r="X35" s="83">
        <v>370</v>
      </c>
      <c r="Y35" s="83">
        <v>1268</v>
      </c>
      <c r="Z35" s="83">
        <v>40952</v>
      </c>
      <c r="AA35" s="83">
        <v>19788</v>
      </c>
      <c r="AB35" s="83">
        <v>0</v>
      </c>
      <c r="AC35" s="83">
        <v>54766</v>
      </c>
      <c r="AD35" s="83">
        <v>67241</v>
      </c>
      <c r="AE35" s="83">
        <v>15686</v>
      </c>
      <c r="AF35" s="83">
        <v>49188</v>
      </c>
      <c r="AG35" s="83">
        <v>88873</v>
      </c>
      <c r="AH35" s="83">
        <v>22162</v>
      </c>
      <c r="AI35" s="83">
        <v>6340</v>
      </c>
      <c r="AJ35" s="83">
        <v>13359</v>
      </c>
      <c r="AK35" s="83">
        <v>0</v>
      </c>
      <c r="AL35" s="83">
        <v>0</v>
      </c>
      <c r="AM35" s="83">
        <v>0</v>
      </c>
      <c r="AN35" s="83">
        <v>31877</v>
      </c>
      <c r="AO35" s="83">
        <v>3560</v>
      </c>
      <c r="AP35" s="83">
        <v>70</v>
      </c>
      <c r="AQ35" s="83">
        <v>60</v>
      </c>
      <c r="AR35" s="83">
        <v>32507</v>
      </c>
      <c r="AS35" s="83">
        <v>2852</v>
      </c>
      <c r="AT35" s="83">
        <v>16890</v>
      </c>
      <c r="AU35" s="83">
        <v>0</v>
      </c>
      <c r="AV35" s="83">
        <v>12430</v>
      </c>
      <c r="AW35" s="83">
        <v>15497</v>
      </c>
      <c r="AX35" s="83">
        <v>2880</v>
      </c>
      <c r="AY35" s="83">
        <v>0</v>
      </c>
      <c r="AZ35" s="83">
        <v>0</v>
      </c>
      <c r="BA35" s="83">
        <v>38709</v>
      </c>
      <c r="BB35" s="83">
        <v>0</v>
      </c>
      <c r="BC35" s="83">
        <v>2039</v>
      </c>
      <c r="BD35" s="83">
        <v>1400</v>
      </c>
      <c r="BE35" s="5">
        <f t="shared" si="0"/>
        <v>726786</v>
      </c>
      <c r="BF35" s="5"/>
      <c r="BG35" s="5">
        <f t="shared" si="1"/>
        <v>726786</v>
      </c>
      <c r="BH35" s="66">
        <f>BE35-'TB 17.05.24'!BD26</f>
        <v>-84754</v>
      </c>
      <c r="BO35" t="str">
        <f>VLOOKUP(A35,[2]Sheet1!$A$8:$A$102,1,0)</f>
        <v>411001-253</v>
      </c>
    </row>
    <row r="36" spans="1:67" ht="15" hidden="1" customHeight="1" x14ac:dyDescent="0.35">
      <c r="A36" s="3" t="s">
        <v>92</v>
      </c>
      <c r="B36" s="4" t="s">
        <v>93</v>
      </c>
      <c r="C36" s="4" t="s">
        <v>314</v>
      </c>
      <c r="D36" s="4" t="s">
        <v>300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72000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  <c r="R36" s="83">
        <v>24000</v>
      </c>
      <c r="S36" s="83">
        <v>18000</v>
      </c>
      <c r="T36" s="83">
        <v>0</v>
      </c>
      <c r="U36" s="83">
        <v>6000</v>
      </c>
      <c r="V36" s="83">
        <v>0</v>
      </c>
      <c r="W36" s="83">
        <v>2241</v>
      </c>
      <c r="X36" s="83">
        <v>2242</v>
      </c>
      <c r="Y36" s="83">
        <v>2242</v>
      </c>
      <c r="Z36" s="83">
        <v>6637</v>
      </c>
      <c r="AA36" s="83">
        <v>0</v>
      </c>
      <c r="AB36" s="83">
        <v>0</v>
      </c>
      <c r="AC36" s="83">
        <v>6637</v>
      </c>
      <c r="AD36" s="83">
        <v>6637</v>
      </c>
      <c r="AE36" s="83">
        <v>1012</v>
      </c>
      <c r="AF36" s="83">
        <v>6637</v>
      </c>
      <c r="AG36" s="83">
        <v>0</v>
      </c>
      <c r="AH36" s="83">
        <v>7649</v>
      </c>
      <c r="AI36" s="83">
        <v>0</v>
      </c>
      <c r="AJ36" s="83">
        <v>0</v>
      </c>
      <c r="AK36" s="83">
        <v>0</v>
      </c>
      <c r="AL36" s="83">
        <v>0</v>
      </c>
      <c r="AM36" s="83">
        <v>0</v>
      </c>
      <c r="AN36" s="83">
        <v>0</v>
      </c>
      <c r="AO36" s="83">
        <v>0</v>
      </c>
      <c r="AP36" s="83">
        <v>0</v>
      </c>
      <c r="AQ36" s="83">
        <v>0</v>
      </c>
      <c r="AR36" s="83">
        <v>0</v>
      </c>
      <c r="AS36" s="83">
        <v>10620</v>
      </c>
      <c r="AT36" s="83">
        <v>1620</v>
      </c>
      <c r="AU36" s="83">
        <v>0</v>
      </c>
      <c r="AV36" s="83">
        <v>10620</v>
      </c>
      <c r="AW36" s="83">
        <v>10620</v>
      </c>
      <c r="AX36" s="83">
        <v>0</v>
      </c>
      <c r="AY36" s="83">
        <v>0</v>
      </c>
      <c r="AZ36" s="83">
        <v>0</v>
      </c>
      <c r="BA36" s="83">
        <v>0</v>
      </c>
      <c r="BB36" s="83">
        <v>0</v>
      </c>
      <c r="BC36" s="83">
        <v>0</v>
      </c>
      <c r="BD36" s="83">
        <v>0</v>
      </c>
      <c r="BE36" s="5">
        <f t="shared" si="0"/>
        <v>195414</v>
      </c>
      <c r="BF36" s="5"/>
      <c r="BG36" s="5">
        <f t="shared" si="1"/>
        <v>195414</v>
      </c>
      <c r="BH36" s="66">
        <f>BE36-'TB 17.05.24'!BD27</f>
        <v>88788</v>
      </c>
      <c r="BO36" t="str">
        <f>VLOOKUP(A36,[2]Sheet1!$A$8:$A$102,1,0)</f>
        <v>411002-003</v>
      </c>
    </row>
    <row r="37" spans="1:67" ht="15" hidden="1" customHeight="1" x14ac:dyDescent="0.35">
      <c r="A37" s="3" t="s">
        <v>542</v>
      </c>
      <c r="B37" s="4" t="s">
        <v>543</v>
      </c>
      <c r="C37" s="4" t="s">
        <v>314</v>
      </c>
      <c r="D37" s="4" t="s">
        <v>300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1525</v>
      </c>
      <c r="K37" s="83">
        <v>1525</v>
      </c>
      <c r="L37" s="83">
        <v>0</v>
      </c>
      <c r="M37" s="83">
        <v>1524</v>
      </c>
      <c r="N37" s="83">
        <v>1524</v>
      </c>
      <c r="O37" s="83">
        <v>26339</v>
      </c>
      <c r="P37" s="83">
        <v>0</v>
      </c>
      <c r="Q37" s="83">
        <v>0</v>
      </c>
      <c r="R37" s="83">
        <v>0</v>
      </c>
      <c r="S37" s="83">
        <v>0</v>
      </c>
      <c r="T37" s="83">
        <v>0</v>
      </c>
      <c r="U37" s="83">
        <v>0</v>
      </c>
      <c r="V37" s="83">
        <v>0</v>
      </c>
      <c r="W37" s="83">
        <v>1016</v>
      </c>
      <c r="X37" s="83">
        <v>1016</v>
      </c>
      <c r="Y37" s="83">
        <v>1017</v>
      </c>
      <c r="Z37" s="83">
        <v>0</v>
      </c>
      <c r="AA37" s="83">
        <v>0</v>
      </c>
      <c r="AB37" s="83">
        <v>0</v>
      </c>
      <c r="AC37" s="83">
        <v>0</v>
      </c>
      <c r="AD37" s="83">
        <v>0</v>
      </c>
      <c r="AE37" s="83">
        <v>0</v>
      </c>
      <c r="AF37" s="83">
        <v>0</v>
      </c>
      <c r="AG37" s="83">
        <v>0</v>
      </c>
      <c r="AH37" s="83">
        <v>0</v>
      </c>
      <c r="AI37" s="83">
        <v>0</v>
      </c>
      <c r="AJ37" s="83">
        <v>0</v>
      </c>
      <c r="AK37" s="83">
        <v>0</v>
      </c>
      <c r="AL37" s="83">
        <v>0</v>
      </c>
      <c r="AM37" s="83">
        <v>0</v>
      </c>
      <c r="AN37" s="83">
        <v>0</v>
      </c>
      <c r="AO37" s="83">
        <v>0</v>
      </c>
      <c r="AP37" s="83">
        <v>0</v>
      </c>
      <c r="AQ37" s="83">
        <v>0</v>
      </c>
      <c r="AR37" s="83">
        <v>0</v>
      </c>
      <c r="AS37" s="83">
        <v>0</v>
      </c>
      <c r="AT37" s="83">
        <v>0</v>
      </c>
      <c r="AU37" s="83">
        <v>0</v>
      </c>
      <c r="AV37" s="83">
        <v>0</v>
      </c>
      <c r="AW37" s="83">
        <v>0</v>
      </c>
      <c r="AX37" s="83">
        <v>0</v>
      </c>
      <c r="AY37" s="83">
        <v>0</v>
      </c>
      <c r="AZ37" s="83">
        <v>0</v>
      </c>
      <c r="BA37" s="83">
        <v>0</v>
      </c>
      <c r="BB37" s="83">
        <v>0</v>
      </c>
      <c r="BC37" s="83">
        <v>0</v>
      </c>
      <c r="BD37" s="83">
        <v>0</v>
      </c>
      <c r="BE37" s="5">
        <f t="shared" si="0"/>
        <v>35486</v>
      </c>
      <c r="BF37" s="5"/>
      <c r="BG37" s="5">
        <f t="shared" si="1"/>
        <v>35486</v>
      </c>
      <c r="BH37" s="66">
        <f>BE37-'TB 17.05.24'!BD28</f>
        <v>26634</v>
      </c>
      <c r="BO37" t="str">
        <f>VLOOKUP(A37,[2]Sheet1!$A$8:$A$102,1,0)</f>
        <v>411002-205</v>
      </c>
    </row>
    <row r="38" spans="1:67" ht="15" hidden="1" customHeight="1" x14ac:dyDescent="0.35">
      <c r="A38" s="3" t="s">
        <v>94</v>
      </c>
      <c r="B38" s="4" t="s">
        <v>95</v>
      </c>
      <c r="C38" s="4" t="s">
        <v>314</v>
      </c>
      <c r="D38" s="4" t="s">
        <v>289</v>
      </c>
      <c r="E38" s="83">
        <f>449197+(142987/4)</f>
        <v>484943.75</v>
      </c>
      <c r="F38" s="83">
        <f>596568+(142987/4)</f>
        <v>632314.75</v>
      </c>
      <c r="G38" s="83">
        <f>(142987/4)*0</f>
        <v>0</v>
      </c>
      <c r="H38" s="83">
        <f>657643+(142987/4)</f>
        <v>693389.75</v>
      </c>
      <c r="I38" s="83">
        <f>320204+(142987/4)</f>
        <v>355950.75</v>
      </c>
      <c r="J38" s="83">
        <f>453941+(372967/4)</f>
        <v>547182.75</v>
      </c>
      <c r="K38" s="83">
        <f>555862+(372967/4)</f>
        <v>649103.75</v>
      </c>
      <c r="L38" s="83">
        <f>(372967/4)*0</f>
        <v>0</v>
      </c>
      <c r="M38" s="83">
        <f>553912+(372967/4)</f>
        <v>647153.75</v>
      </c>
      <c r="N38" s="83">
        <f>607915+(372967/4)</f>
        <v>701156.75</v>
      </c>
      <c r="O38" s="409">
        <v>4032545</v>
      </c>
      <c r="P38" s="83">
        <v>0</v>
      </c>
      <c r="Q38" s="83">
        <f>(95534/3)*0</f>
        <v>0</v>
      </c>
      <c r="R38" s="83">
        <f>592784+(95534/3)+38658</f>
        <v>663286.66666666663</v>
      </c>
      <c r="S38" s="83">
        <f>461974+(95534/3)</f>
        <v>493818.66666666669</v>
      </c>
      <c r="T38" s="83">
        <f>38658*0</f>
        <v>0</v>
      </c>
      <c r="U38" s="83">
        <f>754295+(95534/3)</f>
        <v>786139.66666666663</v>
      </c>
      <c r="V38" s="83">
        <f>(367211/3)*0</f>
        <v>0</v>
      </c>
      <c r="W38" s="83">
        <f>550118+(367211/3)</f>
        <v>672521.66666666663</v>
      </c>
      <c r="X38" s="83">
        <f>829173+(367211/3)</f>
        <v>951576.66666666663</v>
      </c>
      <c r="Y38" s="83">
        <f>667238+(367211/3)</f>
        <v>789641.66666666663</v>
      </c>
      <c r="Z38" s="409">
        <f>298319+(506623/8)</f>
        <v>361646.875</v>
      </c>
      <c r="AA38" s="409">
        <f>444027+(506623/8)</f>
        <v>507354.875</v>
      </c>
      <c r="AB38" s="409">
        <f>(506623/8)*0</f>
        <v>0</v>
      </c>
      <c r="AC38" s="409">
        <f>754239+(506623/8)</f>
        <v>817566.875</v>
      </c>
      <c r="AD38" s="409">
        <f>1043457+(506623/8)</f>
        <v>1106784.875</v>
      </c>
      <c r="AE38" s="409">
        <f>374499+(506623/8)</f>
        <v>437826.875</v>
      </c>
      <c r="AF38" s="409">
        <f>856613+(506623/8)</f>
        <v>919940.875</v>
      </c>
      <c r="AG38" s="409">
        <f>308518+(506623/8)</f>
        <v>371845.875</v>
      </c>
      <c r="AH38" s="409">
        <f>301730+(506623/8)</f>
        <v>365057.875</v>
      </c>
      <c r="AI38" s="83">
        <f>760459+(565265/7)</f>
        <v>841211.14285714284</v>
      </c>
      <c r="AJ38" s="83">
        <f>1127604+(565265/7)</f>
        <v>1208356.142857143</v>
      </c>
      <c r="AK38" s="83">
        <v>0</v>
      </c>
      <c r="AL38" s="83">
        <v>0</v>
      </c>
      <c r="AM38" s="83">
        <f>(565265/7)*0</f>
        <v>0</v>
      </c>
      <c r="AN38" s="83">
        <f>1163669+(565265/7)-150000</f>
        <v>1094421.142857143</v>
      </c>
      <c r="AO38" s="83">
        <f>1724271+(565265/7)</f>
        <v>1805023.142857143</v>
      </c>
      <c r="AP38" s="83">
        <f>0+(565265/7)</f>
        <v>80752.142857142855</v>
      </c>
      <c r="AQ38" s="83">
        <f>963985+(565265/7)-250000</f>
        <v>794737.14285714284</v>
      </c>
      <c r="AR38" s="83">
        <f>1042908+(565265/7)</f>
        <v>1123660.142857143</v>
      </c>
      <c r="AS38" s="83">
        <f>433388+(128785/4)</f>
        <v>465584.25</v>
      </c>
      <c r="AT38" s="83">
        <f>518390+(128785/4)</f>
        <v>550586.25</v>
      </c>
      <c r="AU38" s="83">
        <f>(128785/4)*0</f>
        <v>0</v>
      </c>
      <c r="AV38" s="83">
        <f>579680+(128785/4)</f>
        <v>611876.25</v>
      </c>
      <c r="AW38" s="83">
        <f>397519+(128785/4)</f>
        <v>429715.25</v>
      </c>
      <c r="AX38" s="83">
        <f>551283+(179772/5)</f>
        <v>587237.4</v>
      </c>
      <c r="AY38" s="83">
        <v>0</v>
      </c>
      <c r="AZ38" s="83">
        <f>(179772/5)*0</f>
        <v>0</v>
      </c>
      <c r="BA38" s="83">
        <f>1129861+(179772/5)</f>
        <v>1165815.3999999999</v>
      </c>
      <c r="BB38" s="83">
        <f>499865+(179772/5)</f>
        <v>535819.4</v>
      </c>
      <c r="BC38" s="83">
        <f>1144737+(179772/5)</f>
        <v>1180691.3999999999</v>
      </c>
      <c r="BD38" s="83">
        <f>437355+(179772/5)</f>
        <v>473309.4</v>
      </c>
      <c r="BE38" s="83">
        <f t="shared" si="0"/>
        <v>30937546.999999981</v>
      </c>
      <c r="BF38" s="346">
        <v>-3727194</v>
      </c>
      <c r="BG38" s="5">
        <f t="shared" si="1"/>
        <v>27210352.999999981</v>
      </c>
      <c r="BH38" s="66">
        <f>BE38-'TB 17.05.24'!BD29</f>
        <v>2293815.9999999814</v>
      </c>
      <c r="BO38" t="str">
        <f>VLOOKUP(A38,[2]Sheet1!$A$8:$A$102,1,0)</f>
        <v>420101-002</v>
      </c>
    </row>
    <row r="39" spans="1:67" ht="15" hidden="1" customHeight="1" x14ac:dyDescent="0.35">
      <c r="A39" s="3" t="s">
        <v>96</v>
      </c>
      <c r="B39" s="4" t="s">
        <v>97</v>
      </c>
      <c r="C39" s="4" t="s">
        <v>314</v>
      </c>
      <c r="D39" s="4" t="s">
        <v>289</v>
      </c>
      <c r="E39" s="83">
        <v>3000</v>
      </c>
      <c r="F39" s="83">
        <v>3000</v>
      </c>
      <c r="G39" s="83">
        <v>0</v>
      </c>
      <c r="H39" s="83">
        <v>0</v>
      </c>
      <c r="I39" s="83">
        <v>0</v>
      </c>
      <c r="J39" s="83">
        <v>4000</v>
      </c>
      <c r="K39" s="83">
        <v>4000</v>
      </c>
      <c r="L39" s="83">
        <v>0</v>
      </c>
      <c r="M39" s="83">
        <v>3000</v>
      </c>
      <c r="N39" s="83">
        <v>6000</v>
      </c>
      <c r="O39" s="83">
        <v>984151</v>
      </c>
      <c r="P39" s="83">
        <v>0</v>
      </c>
      <c r="Q39" s="83">
        <v>0</v>
      </c>
      <c r="R39" s="83">
        <v>0</v>
      </c>
      <c r="S39" s="83">
        <v>0</v>
      </c>
      <c r="T39" s="83">
        <v>0</v>
      </c>
      <c r="U39" s="83">
        <v>0</v>
      </c>
      <c r="V39" s="83">
        <v>0</v>
      </c>
      <c r="W39" s="83">
        <v>3000</v>
      </c>
      <c r="X39" s="83">
        <v>0</v>
      </c>
      <c r="Y39" s="83">
        <v>0</v>
      </c>
      <c r="Z39" s="83">
        <v>0</v>
      </c>
      <c r="AA39" s="83">
        <v>0</v>
      </c>
      <c r="AB39" s="83">
        <v>0</v>
      </c>
      <c r="AC39" s="83">
        <v>3000</v>
      </c>
      <c r="AD39" s="83">
        <v>6000</v>
      </c>
      <c r="AE39" s="83">
        <v>40000</v>
      </c>
      <c r="AF39" s="83">
        <v>6000</v>
      </c>
      <c r="AG39" s="83">
        <v>0</v>
      </c>
      <c r="AH39" s="83">
        <v>0</v>
      </c>
      <c r="AI39" s="83">
        <v>9000</v>
      </c>
      <c r="AJ39" s="83">
        <v>0</v>
      </c>
      <c r="AK39" s="83">
        <v>0</v>
      </c>
      <c r="AL39" s="83">
        <v>0</v>
      </c>
      <c r="AM39" s="83">
        <v>0</v>
      </c>
      <c r="AN39" s="83">
        <v>0</v>
      </c>
      <c r="AO39" s="83">
        <v>3000</v>
      </c>
      <c r="AP39" s="83">
        <v>0</v>
      </c>
      <c r="AQ39" s="83">
        <v>7000</v>
      </c>
      <c r="AR39" s="83">
        <v>6000</v>
      </c>
      <c r="AS39" s="83">
        <v>6000</v>
      </c>
      <c r="AT39" s="83">
        <v>0</v>
      </c>
      <c r="AU39" s="83">
        <v>0</v>
      </c>
      <c r="AV39" s="83">
        <v>15000</v>
      </c>
      <c r="AW39" s="83">
        <v>0</v>
      </c>
      <c r="AX39" s="83">
        <v>10000</v>
      </c>
      <c r="AY39" s="83">
        <v>0</v>
      </c>
      <c r="AZ39" s="83">
        <v>0</v>
      </c>
      <c r="BA39" s="83">
        <v>3000</v>
      </c>
      <c r="BB39" s="83">
        <v>0</v>
      </c>
      <c r="BC39" s="83">
        <v>0</v>
      </c>
      <c r="BD39" s="83">
        <v>0</v>
      </c>
      <c r="BE39" s="83">
        <f t="shared" si="0"/>
        <v>1124151</v>
      </c>
      <c r="BF39" s="5"/>
      <c r="BG39" s="5">
        <f t="shared" si="1"/>
        <v>1124151</v>
      </c>
      <c r="BH39" s="66">
        <f>BE39-'TB 17.05.24'!BD30</f>
        <v>32822</v>
      </c>
      <c r="BI39">
        <v>8240381</v>
      </c>
      <c r="BJ39">
        <v>-5107316</v>
      </c>
      <c r="BK39">
        <v>3133065</v>
      </c>
      <c r="BO39" t="str">
        <f>VLOOKUP(A39,[2]Sheet1!$A$8:$A$102,1,0)</f>
        <v>420101-003</v>
      </c>
    </row>
    <row r="40" spans="1:67" ht="15" hidden="1" customHeight="1" x14ac:dyDescent="0.35">
      <c r="A40" s="3" t="s">
        <v>1077</v>
      </c>
      <c r="B40" s="4" t="s">
        <v>1078</v>
      </c>
      <c r="C40" s="4" t="s">
        <v>314</v>
      </c>
      <c r="D40" s="4" t="s">
        <v>291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  <c r="R40" s="83">
        <v>0</v>
      </c>
      <c r="S40" s="83">
        <v>0</v>
      </c>
      <c r="T40" s="83">
        <v>0</v>
      </c>
      <c r="U40" s="83">
        <v>0</v>
      </c>
      <c r="V40" s="83">
        <v>0</v>
      </c>
      <c r="W40" s="83">
        <v>0</v>
      </c>
      <c r="X40" s="83">
        <v>0</v>
      </c>
      <c r="Y40" s="83">
        <v>0</v>
      </c>
      <c r="Z40" s="83">
        <v>0</v>
      </c>
      <c r="AA40" s="83">
        <v>0</v>
      </c>
      <c r="AB40" s="83">
        <v>0</v>
      </c>
      <c r="AC40" s="83">
        <v>0</v>
      </c>
      <c r="AD40" s="83">
        <v>0</v>
      </c>
      <c r="AE40" s="83">
        <v>1141</v>
      </c>
      <c r="AF40" s="83">
        <v>-1141</v>
      </c>
      <c r="AG40" s="83">
        <v>0</v>
      </c>
      <c r="AH40" s="83">
        <v>0</v>
      </c>
      <c r="AI40" s="83">
        <v>0</v>
      </c>
      <c r="AJ40" s="83">
        <v>0</v>
      </c>
      <c r="AK40" s="83">
        <v>0</v>
      </c>
      <c r="AL40" s="83">
        <v>0</v>
      </c>
      <c r="AM40" s="83">
        <v>0</v>
      </c>
      <c r="AN40" s="83">
        <v>0</v>
      </c>
      <c r="AO40" s="83">
        <v>0</v>
      </c>
      <c r="AP40" s="83">
        <v>0</v>
      </c>
      <c r="AQ40" s="83">
        <v>0</v>
      </c>
      <c r="AR40" s="83">
        <v>0</v>
      </c>
      <c r="AS40" s="83">
        <v>0</v>
      </c>
      <c r="AT40" s="83">
        <v>0</v>
      </c>
      <c r="AU40" s="83">
        <v>0</v>
      </c>
      <c r="AV40" s="83">
        <v>0</v>
      </c>
      <c r="AW40" s="83">
        <v>0</v>
      </c>
      <c r="AX40" s="83">
        <v>0</v>
      </c>
      <c r="AY40" s="83">
        <v>0</v>
      </c>
      <c r="AZ40" s="83">
        <v>0</v>
      </c>
      <c r="BA40" s="83">
        <v>0</v>
      </c>
      <c r="BB40" s="83">
        <v>0</v>
      </c>
      <c r="BC40" s="83">
        <v>0</v>
      </c>
      <c r="BD40" s="83">
        <v>0</v>
      </c>
      <c r="BE40" s="83">
        <f t="shared" si="0"/>
        <v>0</v>
      </c>
      <c r="BF40" s="5"/>
      <c r="BG40" s="5"/>
      <c r="BH40" s="66"/>
      <c r="BO40" t="str">
        <f>VLOOKUP(A40,[2]Sheet1!$A$8:$A$102,1,0)</f>
        <v>420101-016</v>
      </c>
    </row>
    <row r="41" spans="1:67" s="79" customFormat="1" ht="15" hidden="1" customHeight="1" x14ac:dyDescent="0.35">
      <c r="A41" s="3" t="s">
        <v>309</v>
      </c>
      <c r="B41" s="4" t="s">
        <v>310</v>
      </c>
      <c r="C41" s="4" t="s">
        <v>314</v>
      </c>
      <c r="D41" s="4" t="s">
        <v>289</v>
      </c>
      <c r="E41" s="83">
        <v>0</v>
      </c>
      <c r="F41" s="83">
        <v>0</v>
      </c>
      <c r="G41" s="83">
        <v>0</v>
      </c>
      <c r="H41" s="83">
        <v>0</v>
      </c>
      <c r="I41" s="83">
        <v>0</v>
      </c>
      <c r="J41" s="83">
        <v>0</v>
      </c>
      <c r="K41" s="83">
        <v>0</v>
      </c>
      <c r="L41" s="83">
        <v>0</v>
      </c>
      <c r="M41" s="83">
        <v>0</v>
      </c>
      <c r="N41" s="83">
        <v>0</v>
      </c>
      <c r="O41" s="83">
        <v>0</v>
      </c>
      <c r="P41" s="83">
        <v>0</v>
      </c>
      <c r="Q41" s="83">
        <v>0</v>
      </c>
      <c r="R41" s="83">
        <v>0</v>
      </c>
      <c r="S41" s="83">
        <v>0</v>
      </c>
      <c r="T41" s="83">
        <v>0</v>
      </c>
      <c r="U41" s="83">
        <v>0</v>
      </c>
      <c r="V41" s="83">
        <v>0</v>
      </c>
      <c r="W41" s="83">
        <v>0</v>
      </c>
      <c r="X41" s="83">
        <v>0</v>
      </c>
      <c r="Y41" s="83">
        <v>0</v>
      </c>
      <c r="Z41" s="83">
        <v>0</v>
      </c>
      <c r="AA41" s="83">
        <v>0</v>
      </c>
      <c r="AB41" s="83">
        <v>0</v>
      </c>
      <c r="AC41" s="83">
        <v>0</v>
      </c>
      <c r="AD41" s="83">
        <v>0</v>
      </c>
      <c r="AE41" s="83">
        <v>0</v>
      </c>
      <c r="AF41" s="83">
        <v>0</v>
      </c>
      <c r="AG41" s="83">
        <v>0</v>
      </c>
      <c r="AH41" s="83">
        <v>0</v>
      </c>
      <c r="AI41" s="83">
        <v>0</v>
      </c>
      <c r="AJ41" s="83">
        <v>0</v>
      </c>
      <c r="AK41" s="83">
        <v>0</v>
      </c>
      <c r="AL41" s="83">
        <v>0</v>
      </c>
      <c r="AM41" s="83">
        <v>0</v>
      </c>
      <c r="AN41" s="83">
        <v>0</v>
      </c>
      <c r="AO41" s="83">
        <v>0</v>
      </c>
      <c r="AP41" s="83">
        <v>0</v>
      </c>
      <c r="AQ41" s="83">
        <v>0</v>
      </c>
      <c r="AR41" s="83">
        <v>0</v>
      </c>
      <c r="AS41" s="83">
        <v>0</v>
      </c>
      <c r="AT41" s="83">
        <v>0</v>
      </c>
      <c r="AU41" s="83">
        <v>0</v>
      </c>
      <c r="AV41" s="83">
        <v>0</v>
      </c>
      <c r="AW41" s="83">
        <v>0</v>
      </c>
      <c r="AX41" s="83">
        <v>0</v>
      </c>
      <c r="AY41" s="83">
        <v>0</v>
      </c>
      <c r="AZ41" s="83">
        <v>0</v>
      </c>
      <c r="BA41" s="83">
        <f>-1172*0</f>
        <v>0</v>
      </c>
      <c r="BB41" s="83">
        <f>-3231*0</f>
        <v>0</v>
      </c>
      <c r="BC41" s="83">
        <f>-150*0</f>
        <v>0</v>
      </c>
      <c r="BD41" s="83">
        <v>0</v>
      </c>
      <c r="BE41" s="83">
        <f t="shared" si="0"/>
        <v>0</v>
      </c>
      <c r="BF41" s="346"/>
      <c r="BG41" s="346">
        <f t="shared" si="1"/>
        <v>0</v>
      </c>
      <c r="BH41" s="522">
        <f>BE41-'TB 17.05.24'!BD31</f>
        <v>-4553</v>
      </c>
      <c r="BI41" s="79">
        <v>1635907</v>
      </c>
      <c r="BJ41" s="79">
        <v>-812400</v>
      </c>
      <c r="BK41" s="79">
        <v>823507</v>
      </c>
      <c r="BO41" s="79" t="str">
        <f>VLOOKUP(A41,[2]Sheet1!$A$8:$A$102,1,0)</f>
        <v>420101-006</v>
      </c>
    </row>
    <row r="42" spans="1:67" ht="15" hidden="1" customHeight="1" x14ac:dyDescent="0.35">
      <c r="A42" s="3" t="s">
        <v>567</v>
      </c>
      <c r="B42" s="4" t="s">
        <v>568</v>
      </c>
      <c r="C42" s="4" t="s">
        <v>314</v>
      </c>
      <c r="D42" s="4" t="s">
        <v>291</v>
      </c>
      <c r="E42" s="83">
        <f>35352+(8880/4)</f>
        <v>37572</v>
      </c>
      <c r="F42" s="83">
        <f>47379+(8880/4)</f>
        <v>49599</v>
      </c>
      <c r="G42" s="83">
        <f>(8880/4)*0</f>
        <v>0</v>
      </c>
      <c r="H42" s="83">
        <f>54824+(8880/4)</f>
        <v>57044</v>
      </c>
      <c r="I42" s="83">
        <f>27389+(8880/4)</f>
        <v>29609</v>
      </c>
      <c r="J42" s="83">
        <f>39726+(15166/4)</f>
        <v>43517.5</v>
      </c>
      <c r="K42" s="83">
        <f>48459+(15166/4)</f>
        <v>52250.5</v>
      </c>
      <c r="L42" s="83">
        <f>(15166/4)*0</f>
        <v>0</v>
      </c>
      <c r="M42" s="83">
        <f>48533+(15166/4)</f>
        <v>52324.5</v>
      </c>
      <c r="N42" s="83">
        <f>49848+(15166/4)</f>
        <v>53639.5</v>
      </c>
      <c r="O42" s="83">
        <v>52823</v>
      </c>
      <c r="P42" s="83">
        <v>0</v>
      </c>
      <c r="Q42" s="83">
        <f>(5400/3)*0</f>
        <v>0</v>
      </c>
      <c r="R42" s="83">
        <f>52184+(5400/3)+3600</f>
        <v>57584</v>
      </c>
      <c r="S42" s="83">
        <f>38954+(5400/3)</f>
        <v>40754</v>
      </c>
      <c r="T42" s="83">
        <f>3600*0</f>
        <v>0</v>
      </c>
      <c r="U42" s="83">
        <f>57325+(5400/3)</f>
        <v>59125</v>
      </c>
      <c r="V42" s="83">
        <f>(16060/3)*0</f>
        <v>0</v>
      </c>
      <c r="W42" s="83">
        <f>45572+(16060/3)</f>
        <v>50925.333333333336</v>
      </c>
      <c r="X42" s="83">
        <f>69165+(16060/3)</f>
        <v>74518.333333333328</v>
      </c>
      <c r="Y42" s="83">
        <f>59502+(16060/3)</f>
        <v>64855.333333333336</v>
      </c>
      <c r="Z42" s="83">
        <f>24713+(14400/8)</f>
        <v>26513</v>
      </c>
      <c r="AA42" s="83">
        <f>33397+(14400/8)</f>
        <v>35197</v>
      </c>
      <c r="AB42" s="83">
        <f>(14400/8)*0</f>
        <v>0</v>
      </c>
      <c r="AC42" s="83">
        <f>58791+(14400/8)</f>
        <v>60591</v>
      </c>
      <c r="AD42" s="83">
        <f>75974+(14400/8)</f>
        <v>77774</v>
      </c>
      <c r="AE42" s="83">
        <f>27222+(14400/8)</f>
        <v>29022</v>
      </c>
      <c r="AF42" s="83">
        <f>53429+(14400/8)</f>
        <v>55229</v>
      </c>
      <c r="AG42" s="83">
        <f>26586+(14400/8)</f>
        <v>28386</v>
      </c>
      <c r="AH42" s="83">
        <f>27102+(14400/8)</f>
        <v>28902</v>
      </c>
      <c r="AI42" s="83">
        <f>64932+(13636/7)</f>
        <v>66880</v>
      </c>
      <c r="AJ42" s="83">
        <f>84835+(13636/7)</f>
        <v>86783</v>
      </c>
      <c r="AK42" s="83">
        <v>0</v>
      </c>
      <c r="AL42" s="83">
        <v>0</v>
      </c>
      <c r="AM42" s="83">
        <f>(13636/7)*0</f>
        <v>0</v>
      </c>
      <c r="AN42" s="83">
        <f>89542+(13636/7)</f>
        <v>91490</v>
      </c>
      <c r="AO42" s="83">
        <f>128011+(13636/7)</f>
        <v>129959</v>
      </c>
      <c r="AP42" s="83">
        <f>0+(13636/7)</f>
        <v>1948</v>
      </c>
      <c r="AQ42" s="83">
        <f>80092+(13636/7)</f>
        <v>82040</v>
      </c>
      <c r="AR42" s="83">
        <f>82533+(13636/7)</f>
        <v>84481</v>
      </c>
      <c r="AS42" s="83">
        <f>38147+(7200/4)</f>
        <v>39947</v>
      </c>
      <c r="AT42" s="83">
        <f>42841+(7200/4)</f>
        <v>44641</v>
      </c>
      <c r="AU42" s="83">
        <f>(7200/4)*0</f>
        <v>0</v>
      </c>
      <c r="AV42" s="83">
        <f>45231+(7200/4)</f>
        <v>47031</v>
      </c>
      <c r="AW42" s="83">
        <f>32989+(7200/4)</f>
        <v>34789</v>
      </c>
      <c r="AX42" s="83">
        <f>48249+(9000/5)</f>
        <v>50049</v>
      </c>
      <c r="AY42" s="83">
        <v>0</v>
      </c>
      <c r="AZ42" s="83">
        <f>(9000/5)*0</f>
        <v>0</v>
      </c>
      <c r="BA42" s="83">
        <f>87998+(9000/5)</f>
        <v>89798</v>
      </c>
      <c r="BB42" s="83">
        <f>41376+(9000/5)</f>
        <v>43176</v>
      </c>
      <c r="BC42" s="83">
        <f>92755+(9000/5)</f>
        <v>94555</v>
      </c>
      <c r="BD42" s="83">
        <f>39048+(9000/5)</f>
        <v>40848</v>
      </c>
      <c r="BE42" s="83">
        <f t="shared" si="0"/>
        <v>2146170</v>
      </c>
      <c r="BF42" s="5"/>
      <c r="BG42" s="5">
        <f t="shared" si="1"/>
        <v>2146170</v>
      </c>
      <c r="BH42" s="66">
        <f>BE42-'TB 17.05.24'!BD32</f>
        <v>50970</v>
      </c>
      <c r="BI42">
        <v>2246890</v>
      </c>
      <c r="BJ42">
        <v>-2321015</v>
      </c>
      <c r="BK42">
        <v>-74125</v>
      </c>
      <c r="BO42" t="str">
        <f>VLOOKUP(A42,[2]Sheet1!$A$8:$A$102,1,0)</f>
        <v>420101-102</v>
      </c>
    </row>
    <row r="43" spans="1:67" ht="15" hidden="1" customHeight="1" x14ac:dyDescent="0.35">
      <c r="A43" s="3" t="s">
        <v>569</v>
      </c>
      <c r="B43" s="4" t="s">
        <v>570</v>
      </c>
      <c r="C43" s="4" t="s">
        <v>314</v>
      </c>
      <c r="D43" s="4" t="s">
        <v>291</v>
      </c>
      <c r="E43" s="83">
        <f>6270+(555/4)</f>
        <v>6408.75</v>
      </c>
      <c r="F43" s="83">
        <f>8914+(555/4)</f>
        <v>9052.75</v>
      </c>
      <c r="G43" s="83">
        <f>(555/4)*0</f>
        <v>0</v>
      </c>
      <c r="H43" s="83">
        <f>8762+(555/4)</f>
        <v>8900.75</v>
      </c>
      <c r="I43" s="83">
        <f>6331+(555/4)</f>
        <v>6469.75</v>
      </c>
      <c r="J43" s="83">
        <v>10248</v>
      </c>
      <c r="K43" s="83">
        <v>8888</v>
      </c>
      <c r="L43" s="83">
        <v>0</v>
      </c>
      <c r="M43" s="83">
        <v>12346</v>
      </c>
      <c r="N43" s="83">
        <v>11254</v>
      </c>
      <c r="O43" s="83">
        <v>0</v>
      </c>
      <c r="P43" s="83">
        <v>0</v>
      </c>
      <c r="Q43" s="83">
        <v>0</v>
      </c>
      <c r="R43" s="83">
        <f>10712+516</f>
        <v>11228</v>
      </c>
      <c r="S43" s="83">
        <v>6682</v>
      </c>
      <c r="T43" s="83">
        <f>516*0</f>
        <v>0</v>
      </c>
      <c r="U43" s="83">
        <v>9494</v>
      </c>
      <c r="V43" s="83">
        <f>(663/3)*0</f>
        <v>0</v>
      </c>
      <c r="W43" s="83">
        <f>8420+(663/3)</f>
        <v>8641</v>
      </c>
      <c r="X43" s="83">
        <f>14538+(663/3)</f>
        <v>14759</v>
      </c>
      <c r="Y43" s="83">
        <f>11943+(663/3)</f>
        <v>12164</v>
      </c>
      <c r="Z43" s="83">
        <v>4697</v>
      </c>
      <c r="AA43" s="83">
        <v>6140</v>
      </c>
      <c r="AB43" s="83">
        <v>0</v>
      </c>
      <c r="AC43" s="83">
        <v>10240</v>
      </c>
      <c r="AD43" s="83">
        <v>12623</v>
      </c>
      <c r="AE43" s="83">
        <v>5126</v>
      </c>
      <c r="AF43" s="83">
        <v>9789</v>
      </c>
      <c r="AG43" s="83">
        <v>5174</v>
      </c>
      <c r="AH43" s="83">
        <v>6487</v>
      </c>
      <c r="AI43" s="83">
        <v>13282</v>
      </c>
      <c r="AJ43" s="83">
        <v>16731</v>
      </c>
      <c r="AK43" s="83">
        <v>0</v>
      </c>
      <c r="AL43" s="83">
        <v>0</v>
      </c>
      <c r="AM43" s="83">
        <v>0</v>
      </c>
      <c r="AN43" s="83">
        <v>12484</v>
      </c>
      <c r="AO43" s="83">
        <v>20891</v>
      </c>
      <c r="AP43" s="83">
        <v>0</v>
      </c>
      <c r="AQ43" s="83">
        <v>13286</v>
      </c>
      <c r="AR43" s="83">
        <v>14703</v>
      </c>
      <c r="AS43" s="83">
        <v>8927</v>
      </c>
      <c r="AT43" s="83">
        <v>6171</v>
      </c>
      <c r="AU43" s="83">
        <v>0</v>
      </c>
      <c r="AV43" s="83">
        <v>7978</v>
      </c>
      <c r="AW43" s="83">
        <v>7544</v>
      </c>
      <c r="AX43" s="83">
        <f>8779+(576/5)</f>
        <v>8894.2000000000007</v>
      </c>
      <c r="AY43" s="83">
        <v>0</v>
      </c>
      <c r="AZ43" s="83">
        <f>(576/5)*0</f>
        <v>0</v>
      </c>
      <c r="BA43" s="83">
        <f>12094+(576/5)</f>
        <v>12209.2</v>
      </c>
      <c r="BB43" s="83">
        <f>6847+(576/5)</f>
        <v>6962.2</v>
      </c>
      <c r="BC43" s="83">
        <f>17099+(576/5)</f>
        <v>17214.2</v>
      </c>
      <c r="BD43" s="83">
        <f>7969+(576/5)</f>
        <v>8084.2</v>
      </c>
      <c r="BE43" s="83">
        <f t="shared" si="0"/>
        <v>372173.00000000006</v>
      </c>
      <c r="BF43" s="5"/>
      <c r="BG43" s="5">
        <f t="shared" si="1"/>
        <v>372173.00000000006</v>
      </c>
      <c r="BH43" s="66">
        <f>BE43-'TB 17.05.24'!BD33</f>
        <v>-241.99999999994179</v>
      </c>
      <c r="BO43" t="str">
        <f>VLOOKUP(A43,[2]Sheet1!$A$8:$A$102,1,0)</f>
        <v>420101-103</v>
      </c>
    </row>
    <row r="44" spans="1:67" ht="15" hidden="1" customHeight="1" x14ac:dyDescent="0.35">
      <c r="A44" s="3" t="s">
        <v>571</v>
      </c>
      <c r="B44" s="4" t="s">
        <v>572</v>
      </c>
      <c r="C44" s="4" t="s">
        <v>314</v>
      </c>
      <c r="D44" s="4" t="s">
        <v>291</v>
      </c>
      <c r="E44" s="83">
        <f>683+(156/4)</f>
        <v>722</v>
      </c>
      <c r="F44" s="83">
        <f>923+(156/4)</f>
        <v>962</v>
      </c>
      <c r="G44" s="83">
        <f>(156/4)*0</f>
        <v>0</v>
      </c>
      <c r="H44" s="83">
        <f>1043+(156/4)</f>
        <v>1082</v>
      </c>
      <c r="I44" s="83">
        <f>553+(156/4)</f>
        <v>592</v>
      </c>
      <c r="J44" s="83">
        <f>820+(249/4)</f>
        <v>882.25</v>
      </c>
      <c r="K44" s="83">
        <f>940+(249/4)</f>
        <v>1002.25</v>
      </c>
      <c r="L44" s="83">
        <f>(249/4)*0</f>
        <v>0</v>
      </c>
      <c r="M44" s="83">
        <f>998+(249/4)</f>
        <v>1060.25</v>
      </c>
      <c r="N44" s="83">
        <f>1002+(249/4)</f>
        <v>1064.25</v>
      </c>
      <c r="O44" s="83">
        <v>869</v>
      </c>
      <c r="P44" s="83">
        <v>0</v>
      </c>
      <c r="Q44" s="83">
        <f>(90/3)*0</f>
        <v>0</v>
      </c>
      <c r="R44" s="83">
        <f>1031+(90/3)+68</f>
        <v>1129</v>
      </c>
      <c r="S44" s="83">
        <f>748+(90/3)</f>
        <v>778</v>
      </c>
      <c r="T44" s="83">
        <f>68*0</f>
        <v>0</v>
      </c>
      <c r="U44" s="83">
        <f>1096+(90/3)</f>
        <v>1126</v>
      </c>
      <c r="V44" s="83">
        <f>(276/3)*0</f>
        <v>0</v>
      </c>
      <c r="W44" s="83">
        <f>885+(276/3)</f>
        <v>977</v>
      </c>
      <c r="X44" s="83">
        <f>1373+(276/3)</f>
        <v>1465</v>
      </c>
      <c r="Y44" s="83">
        <f>1172+(276/3)</f>
        <v>1264</v>
      </c>
      <c r="Z44" s="83">
        <f>482+(238/8)</f>
        <v>511.75</v>
      </c>
      <c r="AA44" s="83">
        <f>648+(238/8)</f>
        <v>677.75</v>
      </c>
      <c r="AB44" s="83">
        <f>(238/8)*0</f>
        <v>0</v>
      </c>
      <c r="AC44" s="83">
        <f>1132+(238/8)</f>
        <v>1161.75</v>
      </c>
      <c r="AD44" s="83">
        <f>1453+(238/8)</f>
        <v>1482.75</v>
      </c>
      <c r="AE44" s="83">
        <f>531+(238/8)</f>
        <v>560.75</v>
      </c>
      <c r="AF44" s="83">
        <f>1037+(238/8)</f>
        <v>1066.75</v>
      </c>
      <c r="AG44" s="83">
        <f>521+(238/8)</f>
        <v>550.75</v>
      </c>
      <c r="AH44" s="83">
        <f>551+(238/8)</f>
        <v>580.75</v>
      </c>
      <c r="AI44" s="83">
        <f>1283+(225/7)</f>
        <v>1315.1428571428571</v>
      </c>
      <c r="AJ44" s="83">
        <f>1666+(225/7)</f>
        <v>1698.1428571428571</v>
      </c>
      <c r="AK44" s="83">
        <v>0</v>
      </c>
      <c r="AL44" s="83">
        <v>0</v>
      </c>
      <c r="AM44" s="83">
        <f>(225/7)*0</f>
        <v>0</v>
      </c>
      <c r="AN44" s="83">
        <f>1673+(225/7)</f>
        <v>1705.1428571428571</v>
      </c>
      <c r="AO44" s="83">
        <f>2442+(225/7)</f>
        <v>2474.1428571428573</v>
      </c>
      <c r="AP44" s="83">
        <f>0+(225/7)</f>
        <v>32.142857142857146</v>
      </c>
      <c r="AQ44" s="83">
        <f>1531+(225/7)</f>
        <v>1563.1428571428571</v>
      </c>
      <c r="AR44" s="83">
        <f>1595+(225/7)</f>
        <v>1627.1428571428571</v>
      </c>
      <c r="AS44" s="83">
        <f>772+(119/4)</f>
        <v>801.75</v>
      </c>
      <c r="AT44" s="83">
        <f>804+(119/4)</f>
        <v>833.75</v>
      </c>
      <c r="AU44" s="83">
        <f>(119/4)*0</f>
        <v>0</v>
      </c>
      <c r="AV44" s="83">
        <f>873+(119/4)</f>
        <v>902.75</v>
      </c>
      <c r="AW44" s="83">
        <f>665+(119/4)</f>
        <v>694.75</v>
      </c>
      <c r="AX44" s="83">
        <f>935+(157/5)</f>
        <v>966.4</v>
      </c>
      <c r="AY44" s="83">
        <v>0</v>
      </c>
      <c r="AZ44" s="83">
        <f>(157/5)*0</f>
        <v>0</v>
      </c>
      <c r="BA44" s="83">
        <f>1642+(157/5)</f>
        <v>1673.4</v>
      </c>
      <c r="BB44" s="83">
        <f>791+(157/5)</f>
        <v>822.4</v>
      </c>
      <c r="BC44" s="83">
        <f>1802+(157/5)</f>
        <v>1833.4</v>
      </c>
      <c r="BD44" s="83">
        <f>771+(157/5)</f>
        <v>802.4</v>
      </c>
      <c r="BE44" s="83">
        <f t="shared" si="0"/>
        <v>41314.000000000022</v>
      </c>
      <c r="BF44" s="5"/>
      <c r="BG44" s="5">
        <f t="shared" si="1"/>
        <v>41314.000000000022</v>
      </c>
      <c r="BH44" s="66">
        <f>BE44-'TB 17.05.24'!BD34</f>
        <v>-42579.999999999978</v>
      </c>
      <c r="BO44" t="str">
        <f>VLOOKUP(A44,[2]Sheet1!$A$8:$A$102,1,0)</f>
        <v>420101-105</v>
      </c>
    </row>
    <row r="45" spans="1:67" ht="15" hidden="1" customHeight="1" x14ac:dyDescent="0.35">
      <c r="A45" s="3" t="s">
        <v>98</v>
      </c>
      <c r="B45" s="4" t="s">
        <v>99</v>
      </c>
      <c r="C45" s="4" t="s">
        <v>314</v>
      </c>
      <c r="D45" s="4" t="s">
        <v>289</v>
      </c>
      <c r="E45" s="83">
        <v>0</v>
      </c>
      <c r="F45" s="83">
        <v>0</v>
      </c>
      <c r="G45" s="83">
        <v>0</v>
      </c>
      <c r="H45" s="83">
        <v>0</v>
      </c>
      <c r="I45" s="83">
        <v>0</v>
      </c>
      <c r="J45" s="83">
        <v>0</v>
      </c>
      <c r="K45" s="83">
        <v>0</v>
      </c>
      <c r="L45" s="83">
        <v>0</v>
      </c>
      <c r="M45" s="83">
        <v>0</v>
      </c>
      <c r="N45" s="83">
        <v>0</v>
      </c>
      <c r="O45" s="83">
        <v>192426</v>
      </c>
      <c r="P45" s="83">
        <v>0</v>
      </c>
      <c r="Q45" s="83">
        <v>0</v>
      </c>
      <c r="R45" s="83">
        <v>0</v>
      </c>
      <c r="S45" s="83">
        <v>0</v>
      </c>
      <c r="T45" s="83">
        <v>0</v>
      </c>
      <c r="U45" s="83">
        <v>0</v>
      </c>
      <c r="V45" s="83">
        <v>0</v>
      </c>
      <c r="W45" s="83">
        <v>0</v>
      </c>
      <c r="X45" s="83">
        <v>0</v>
      </c>
      <c r="Y45" s="83">
        <v>0</v>
      </c>
      <c r="Z45" s="83">
        <v>0</v>
      </c>
      <c r="AA45" s="83">
        <v>0</v>
      </c>
      <c r="AB45" s="83">
        <v>0</v>
      </c>
      <c r="AC45" s="83">
        <v>0</v>
      </c>
      <c r="AD45" s="83">
        <v>0</v>
      </c>
      <c r="AE45" s="83">
        <v>0</v>
      </c>
      <c r="AF45" s="83">
        <v>0</v>
      </c>
      <c r="AG45" s="83">
        <v>0</v>
      </c>
      <c r="AH45" s="83">
        <v>0</v>
      </c>
      <c r="AI45" s="83">
        <v>0</v>
      </c>
      <c r="AJ45" s="83">
        <v>0</v>
      </c>
      <c r="AK45" s="83">
        <v>0</v>
      </c>
      <c r="AL45" s="83">
        <v>0</v>
      </c>
      <c r="AM45" s="83">
        <v>0</v>
      </c>
      <c r="AN45" s="83">
        <v>0</v>
      </c>
      <c r="AO45" s="83">
        <v>0</v>
      </c>
      <c r="AP45" s="83">
        <v>0</v>
      </c>
      <c r="AQ45" s="83">
        <v>0</v>
      </c>
      <c r="AR45" s="83">
        <v>0</v>
      </c>
      <c r="AS45" s="83">
        <v>0</v>
      </c>
      <c r="AT45" s="83">
        <v>0</v>
      </c>
      <c r="AU45" s="83">
        <v>0</v>
      </c>
      <c r="AV45" s="83">
        <v>0</v>
      </c>
      <c r="AW45" s="83">
        <v>0</v>
      </c>
      <c r="AX45" s="83">
        <v>0</v>
      </c>
      <c r="AY45" s="83">
        <v>0</v>
      </c>
      <c r="AZ45" s="83">
        <v>0</v>
      </c>
      <c r="BA45" s="83">
        <v>0</v>
      </c>
      <c r="BB45" s="83">
        <v>0</v>
      </c>
      <c r="BC45" s="83">
        <v>0</v>
      </c>
      <c r="BD45" s="83">
        <v>0</v>
      </c>
      <c r="BE45" s="83">
        <f t="shared" si="0"/>
        <v>192426</v>
      </c>
      <c r="BF45" s="5"/>
      <c r="BG45" s="5">
        <f t="shared" si="1"/>
        <v>192426</v>
      </c>
      <c r="BH45" s="66">
        <f>BE45-'TB 17.05.24'!BD35</f>
        <v>94873</v>
      </c>
      <c r="BO45" t="str">
        <f>VLOOKUP(A45,[2]Sheet1!$A$8:$A$102,1,0)</f>
        <v>420101-203</v>
      </c>
    </row>
    <row r="46" spans="1:67" ht="15" hidden="1" customHeight="1" x14ac:dyDescent="0.35">
      <c r="A46" s="3" t="s">
        <v>100</v>
      </c>
      <c r="B46" s="4" t="s">
        <v>101</v>
      </c>
      <c r="C46" s="4" t="s">
        <v>314</v>
      </c>
      <c r="D46" s="4" t="s">
        <v>291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11304</v>
      </c>
      <c r="P46" s="83">
        <v>0</v>
      </c>
      <c r="Q46" s="83">
        <v>0</v>
      </c>
      <c r="R46" s="83">
        <v>0</v>
      </c>
      <c r="S46" s="83">
        <v>0</v>
      </c>
      <c r="T46" s="83">
        <v>0</v>
      </c>
      <c r="U46" s="83">
        <v>0</v>
      </c>
      <c r="V46" s="83">
        <v>0</v>
      </c>
      <c r="W46" s="83">
        <v>0</v>
      </c>
      <c r="X46" s="83">
        <v>0</v>
      </c>
      <c r="Y46" s="83">
        <v>0</v>
      </c>
      <c r="Z46" s="83">
        <v>0</v>
      </c>
      <c r="AA46" s="83">
        <v>0</v>
      </c>
      <c r="AB46" s="83">
        <v>0</v>
      </c>
      <c r="AC46" s="83">
        <v>0</v>
      </c>
      <c r="AD46" s="83">
        <v>0</v>
      </c>
      <c r="AE46" s="83">
        <v>0</v>
      </c>
      <c r="AF46" s="83">
        <v>0</v>
      </c>
      <c r="AG46" s="83">
        <v>0</v>
      </c>
      <c r="AH46" s="83">
        <v>0</v>
      </c>
      <c r="AI46" s="83">
        <v>0</v>
      </c>
      <c r="AJ46" s="83">
        <v>0</v>
      </c>
      <c r="AK46" s="83">
        <v>0</v>
      </c>
      <c r="AL46" s="83">
        <v>0</v>
      </c>
      <c r="AM46" s="83">
        <v>0</v>
      </c>
      <c r="AN46" s="83">
        <v>0</v>
      </c>
      <c r="AO46" s="83">
        <v>0</v>
      </c>
      <c r="AP46" s="83">
        <v>0</v>
      </c>
      <c r="AQ46" s="83">
        <v>0</v>
      </c>
      <c r="AR46" s="83">
        <v>0</v>
      </c>
      <c r="AS46" s="83">
        <v>0</v>
      </c>
      <c r="AT46" s="83">
        <v>0</v>
      </c>
      <c r="AU46" s="83">
        <v>0</v>
      </c>
      <c r="AV46" s="83">
        <v>0</v>
      </c>
      <c r="AW46" s="83">
        <v>0</v>
      </c>
      <c r="AX46" s="83">
        <v>0</v>
      </c>
      <c r="AY46" s="83">
        <v>0</v>
      </c>
      <c r="AZ46" s="83">
        <v>0</v>
      </c>
      <c r="BA46" s="83">
        <v>0</v>
      </c>
      <c r="BB46" s="83">
        <v>0</v>
      </c>
      <c r="BC46" s="83">
        <v>0</v>
      </c>
      <c r="BD46" s="83">
        <v>0</v>
      </c>
      <c r="BE46" s="83">
        <f t="shared" si="0"/>
        <v>11304</v>
      </c>
      <c r="BF46" s="5"/>
      <c r="BG46" s="5">
        <f t="shared" si="1"/>
        <v>11304</v>
      </c>
      <c r="BH46" s="66">
        <f>BE46-'TB 17.05.24'!BD36</f>
        <v>-51483</v>
      </c>
      <c r="BO46" t="str">
        <f>VLOOKUP(A46,[2]Sheet1!$A$8:$A$102,1,0)</f>
        <v>420101-304</v>
      </c>
    </row>
    <row r="47" spans="1:67" ht="15" hidden="1" customHeight="1" x14ac:dyDescent="0.35">
      <c r="A47" s="3" t="s">
        <v>102</v>
      </c>
      <c r="B47" s="4" t="s">
        <v>103</v>
      </c>
      <c r="C47" s="4" t="s">
        <v>314</v>
      </c>
      <c r="D47" s="4" t="s">
        <v>291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17324</v>
      </c>
      <c r="P47" s="83">
        <v>0</v>
      </c>
      <c r="Q47" s="83">
        <v>0</v>
      </c>
      <c r="R47" s="83">
        <v>5076</v>
      </c>
      <c r="S47" s="83">
        <v>0</v>
      </c>
      <c r="T47" s="83">
        <v>0</v>
      </c>
      <c r="U47" s="83">
        <v>0</v>
      </c>
      <c r="V47" s="83">
        <v>0</v>
      </c>
      <c r="W47" s="83">
        <v>0</v>
      </c>
      <c r="X47" s="83">
        <v>0</v>
      </c>
      <c r="Y47" s="83">
        <v>0</v>
      </c>
      <c r="Z47" s="83">
        <v>0</v>
      </c>
      <c r="AA47" s="83">
        <v>0</v>
      </c>
      <c r="AB47" s="83">
        <v>0</v>
      </c>
      <c r="AC47" s="83">
        <v>160</v>
      </c>
      <c r="AD47" s="83">
        <v>0</v>
      </c>
      <c r="AE47" s="83">
        <v>0</v>
      </c>
      <c r="AF47" s="83">
        <v>0</v>
      </c>
      <c r="AG47" s="83">
        <v>0</v>
      </c>
      <c r="AH47" s="83">
        <v>0</v>
      </c>
      <c r="AI47" s="83">
        <v>0</v>
      </c>
      <c r="AJ47" s="83">
        <v>0</v>
      </c>
      <c r="AK47" s="83">
        <v>0</v>
      </c>
      <c r="AL47" s="83">
        <v>0</v>
      </c>
      <c r="AM47" s="83">
        <v>0</v>
      </c>
      <c r="AN47" s="83">
        <v>0</v>
      </c>
      <c r="AO47" s="83">
        <v>0</v>
      </c>
      <c r="AP47" s="83">
        <v>0</v>
      </c>
      <c r="AQ47" s="83">
        <v>0</v>
      </c>
      <c r="AR47" s="83">
        <v>0</v>
      </c>
      <c r="AS47" s="83">
        <v>0</v>
      </c>
      <c r="AT47" s="83">
        <v>0</v>
      </c>
      <c r="AU47" s="83">
        <v>0</v>
      </c>
      <c r="AV47" s="83">
        <v>0</v>
      </c>
      <c r="AW47" s="83">
        <v>0</v>
      </c>
      <c r="AX47" s="83">
        <v>2231</v>
      </c>
      <c r="AY47" s="83">
        <v>0</v>
      </c>
      <c r="AZ47" s="83">
        <v>0</v>
      </c>
      <c r="BA47" s="83">
        <v>0</v>
      </c>
      <c r="BB47" s="83">
        <v>0</v>
      </c>
      <c r="BC47" s="83">
        <v>0</v>
      </c>
      <c r="BD47" s="83">
        <v>0</v>
      </c>
      <c r="BE47" s="83">
        <f t="shared" si="0"/>
        <v>24791</v>
      </c>
      <c r="BF47" s="5"/>
      <c r="BG47" s="5">
        <f t="shared" si="1"/>
        <v>24791</v>
      </c>
      <c r="BH47" s="66">
        <f>BE47-'TB 17.05.24'!BD37</f>
        <v>-44990</v>
      </c>
      <c r="BO47" t="str">
        <f>VLOOKUP(A47,[2]Sheet1!$A$8:$A$102,1,0)</f>
        <v>420101-404</v>
      </c>
    </row>
    <row r="48" spans="1:67" ht="15" hidden="1" customHeight="1" x14ac:dyDescent="0.35">
      <c r="A48" s="3" t="s">
        <v>104</v>
      </c>
      <c r="B48" s="4" t="s">
        <v>105</v>
      </c>
      <c r="C48" s="4" t="s">
        <v>314</v>
      </c>
      <c r="D48" s="4" t="s">
        <v>291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800</v>
      </c>
      <c r="K48" s="83">
        <v>1200</v>
      </c>
      <c r="L48" s="83">
        <v>0</v>
      </c>
      <c r="M48" s="83">
        <v>0</v>
      </c>
      <c r="N48" s="83">
        <v>700</v>
      </c>
      <c r="O48" s="83">
        <v>27549</v>
      </c>
      <c r="P48" s="83">
        <v>0</v>
      </c>
      <c r="Q48" s="83">
        <v>0</v>
      </c>
      <c r="R48" s="83">
        <v>0</v>
      </c>
      <c r="S48" s="83">
        <v>0</v>
      </c>
      <c r="T48" s="83">
        <v>0</v>
      </c>
      <c r="U48" s="83">
        <v>8254</v>
      </c>
      <c r="V48" s="83">
        <v>0</v>
      </c>
      <c r="W48" s="83">
        <v>1099</v>
      </c>
      <c r="X48" s="83">
        <v>0</v>
      </c>
      <c r="Y48" s="83">
        <v>0</v>
      </c>
      <c r="Z48" s="83">
        <v>2411</v>
      </c>
      <c r="AA48" s="83">
        <v>2411</v>
      </c>
      <c r="AB48" s="83">
        <v>0</v>
      </c>
      <c r="AC48" s="83">
        <v>2410</v>
      </c>
      <c r="AD48" s="83">
        <v>2410</v>
      </c>
      <c r="AE48" s="83">
        <v>2412</v>
      </c>
      <c r="AF48" s="83">
        <v>2411</v>
      </c>
      <c r="AG48" s="83">
        <v>2411</v>
      </c>
      <c r="AH48" s="83">
        <v>2411</v>
      </c>
      <c r="AI48" s="83">
        <v>640</v>
      </c>
      <c r="AJ48" s="83">
        <v>395</v>
      </c>
      <c r="AK48" s="83">
        <v>0</v>
      </c>
      <c r="AL48" s="83">
        <v>0</v>
      </c>
      <c r="AM48" s="83">
        <v>0</v>
      </c>
      <c r="AN48" s="83">
        <v>395</v>
      </c>
      <c r="AO48" s="83">
        <v>42022</v>
      </c>
      <c r="AP48" s="83">
        <v>2906</v>
      </c>
      <c r="AQ48" s="83">
        <v>0</v>
      </c>
      <c r="AR48" s="83">
        <v>3225</v>
      </c>
      <c r="AS48" s="83">
        <v>0</v>
      </c>
      <c r="AT48" s="83">
        <v>300</v>
      </c>
      <c r="AU48" s="83">
        <v>0</v>
      </c>
      <c r="AV48" s="83">
        <v>0</v>
      </c>
      <c r="AW48" s="83">
        <v>0</v>
      </c>
      <c r="AX48" s="83">
        <v>0</v>
      </c>
      <c r="AY48" s="83">
        <v>0</v>
      </c>
      <c r="AZ48" s="83">
        <v>0</v>
      </c>
      <c r="BA48" s="83">
        <v>8740</v>
      </c>
      <c r="BB48" s="83">
        <v>0</v>
      </c>
      <c r="BC48" s="83">
        <v>1025</v>
      </c>
      <c r="BD48" s="83">
        <v>0</v>
      </c>
      <c r="BE48" s="83">
        <f t="shared" si="0"/>
        <v>118537</v>
      </c>
      <c r="BF48" s="5"/>
      <c r="BG48" s="5">
        <f t="shared" si="1"/>
        <v>118537</v>
      </c>
      <c r="BH48" s="66">
        <f>BE48-'TB 17.05.24'!BD38</f>
        <v>69018</v>
      </c>
      <c r="BO48" t="str">
        <f>VLOOKUP(A48,[2]Sheet1!$A$8:$A$102,1,0)</f>
        <v>420101-405</v>
      </c>
    </row>
    <row r="49" spans="1:67" ht="15" hidden="1" customHeight="1" x14ac:dyDescent="0.35">
      <c r="A49" s="3" t="s">
        <v>106</v>
      </c>
      <c r="B49" s="4" t="s">
        <v>107</v>
      </c>
      <c r="C49" s="4" t="s">
        <v>314</v>
      </c>
      <c r="D49" s="4" t="s">
        <v>321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400</v>
      </c>
      <c r="N49" s="83">
        <v>0</v>
      </c>
      <c r="O49" s="83">
        <v>43838</v>
      </c>
      <c r="P49" s="83">
        <v>0</v>
      </c>
      <c r="Q49" s="83">
        <v>0</v>
      </c>
      <c r="R49" s="83">
        <v>0</v>
      </c>
      <c r="S49" s="83">
        <v>0</v>
      </c>
      <c r="T49" s="83">
        <v>0</v>
      </c>
      <c r="U49" s="83">
        <v>0</v>
      </c>
      <c r="V49" s="83">
        <v>0</v>
      </c>
      <c r="W49" s="83">
        <v>0</v>
      </c>
      <c r="X49" s="83">
        <v>0</v>
      </c>
      <c r="Y49" s="83">
        <v>0</v>
      </c>
      <c r="Z49" s="83">
        <v>0</v>
      </c>
      <c r="AA49" s="83">
        <v>0</v>
      </c>
      <c r="AB49" s="83">
        <v>0</v>
      </c>
      <c r="AC49" s="83">
        <v>0</v>
      </c>
      <c r="AD49" s="83">
        <v>0</v>
      </c>
      <c r="AE49" s="83">
        <v>0</v>
      </c>
      <c r="AF49" s="83">
        <v>0</v>
      </c>
      <c r="AG49" s="83">
        <v>0</v>
      </c>
      <c r="AH49" s="83">
        <v>0</v>
      </c>
      <c r="AI49" s="83">
        <v>0</v>
      </c>
      <c r="AJ49" s="83">
        <v>0</v>
      </c>
      <c r="AK49" s="83">
        <v>0</v>
      </c>
      <c r="AL49" s="83">
        <v>0</v>
      </c>
      <c r="AM49" s="83">
        <v>0</v>
      </c>
      <c r="AN49" s="83">
        <v>239</v>
      </c>
      <c r="AO49" s="83">
        <v>0</v>
      </c>
      <c r="AP49" s="83">
        <v>0</v>
      </c>
      <c r="AQ49" s="83">
        <v>0</v>
      </c>
      <c r="AR49" s="83">
        <v>0</v>
      </c>
      <c r="AS49" s="83">
        <v>0</v>
      </c>
      <c r="AT49" s="83">
        <v>663</v>
      </c>
      <c r="AU49" s="83">
        <v>0</v>
      </c>
      <c r="AV49" s="83">
        <v>210</v>
      </c>
      <c r="AW49" s="83">
        <v>0</v>
      </c>
      <c r="AX49" s="83">
        <v>0</v>
      </c>
      <c r="AY49" s="83">
        <v>0</v>
      </c>
      <c r="AZ49" s="83">
        <v>0</v>
      </c>
      <c r="BA49" s="83">
        <v>0</v>
      </c>
      <c r="BB49" s="83">
        <v>0</v>
      </c>
      <c r="BC49" s="83">
        <v>0</v>
      </c>
      <c r="BD49" s="83">
        <v>0</v>
      </c>
      <c r="BE49" s="5">
        <f t="shared" si="0"/>
        <v>45350</v>
      </c>
      <c r="BF49" s="5"/>
      <c r="BG49" s="5">
        <f t="shared" si="1"/>
        <v>45350</v>
      </c>
      <c r="BH49" s="66">
        <f>BE49-'TB 17.05.24'!BD39</f>
        <v>553</v>
      </c>
      <c r="BO49" t="str">
        <f>VLOOKUP(A49,[2]Sheet1!$A$8:$A$102,1,0)</f>
        <v>420102-004</v>
      </c>
    </row>
    <row r="50" spans="1:67" ht="15" hidden="1" customHeight="1" x14ac:dyDescent="0.35">
      <c r="A50" s="3" t="s">
        <v>108</v>
      </c>
      <c r="B50" s="4" t="s">
        <v>109</v>
      </c>
      <c r="C50" s="4" t="s">
        <v>314</v>
      </c>
      <c r="D50" s="4" t="s">
        <v>321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12</v>
      </c>
      <c r="K50" s="83">
        <v>12</v>
      </c>
      <c r="L50" s="83">
        <v>0</v>
      </c>
      <c r="M50" s="83">
        <v>12</v>
      </c>
      <c r="N50" s="83">
        <v>12</v>
      </c>
      <c r="O50" s="83">
        <v>683</v>
      </c>
      <c r="P50" s="83">
        <v>0</v>
      </c>
      <c r="Q50" s="83">
        <v>0</v>
      </c>
      <c r="R50" s="83">
        <v>0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  <c r="X50" s="83">
        <v>0</v>
      </c>
      <c r="Y50" s="83">
        <v>0</v>
      </c>
      <c r="Z50" s="83">
        <v>0</v>
      </c>
      <c r="AA50" s="83">
        <v>0</v>
      </c>
      <c r="AB50" s="83">
        <v>0</v>
      </c>
      <c r="AC50" s="83">
        <v>0</v>
      </c>
      <c r="AD50" s="83">
        <v>0</v>
      </c>
      <c r="AE50" s="83">
        <v>0</v>
      </c>
      <c r="AF50" s="83">
        <v>0</v>
      </c>
      <c r="AG50" s="83">
        <v>0</v>
      </c>
      <c r="AH50" s="83">
        <v>0</v>
      </c>
      <c r="AI50" s="83">
        <v>667</v>
      </c>
      <c r="AJ50" s="83">
        <v>0</v>
      </c>
      <c r="AK50" s="83">
        <v>0</v>
      </c>
      <c r="AL50" s="83">
        <v>0</v>
      </c>
      <c r="AM50" s="83">
        <v>0</v>
      </c>
      <c r="AN50" s="83">
        <v>0</v>
      </c>
      <c r="AO50" s="83">
        <v>0</v>
      </c>
      <c r="AP50" s="83">
        <v>0</v>
      </c>
      <c r="AQ50" s="83">
        <v>0</v>
      </c>
      <c r="AR50" s="83">
        <v>0</v>
      </c>
      <c r="AS50" s="83">
        <v>0</v>
      </c>
      <c r="AT50" s="83">
        <v>0</v>
      </c>
      <c r="AU50" s="83">
        <v>0</v>
      </c>
      <c r="AV50" s="83">
        <v>0</v>
      </c>
      <c r="AW50" s="83">
        <v>0</v>
      </c>
      <c r="AX50" s="83">
        <v>0</v>
      </c>
      <c r="AY50" s="83">
        <v>0</v>
      </c>
      <c r="AZ50" s="83">
        <v>0</v>
      </c>
      <c r="BA50" s="83">
        <v>0</v>
      </c>
      <c r="BB50" s="83">
        <v>0</v>
      </c>
      <c r="BC50" s="83">
        <v>0</v>
      </c>
      <c r="BD50" s="83">
        <v>0</v>
      </c>
      <c r="BE50" s="5">
        <f t="shared" si="0"/>
        <v>1398</v>
      </c>
      <c r="BF50" s="5"/>
      <c r="BG50" s="5">
        <f t="shared" si="1"/>
        <v>1398</v>
      </c>
      <c r="BH50" s="66">
        <f>BE50-'TB 17.05.24'!BD40</f>
        <v>505</v>
      </c>
      <c r="BO50" t="str">
        <f>VLOOKUP(A50,[2]Sheet1!$A$8:$A$102,1,0)</f>
        <v>420102-005</v>
      </c>
    </row>
    <row r="51" spans="1:67" ht="15" hidden="1" customHeight="1" x14ac:dyDescent="0.35">
      <c r="A51" s="3" t="s">
        <v>110</v>
      </c>
      <c r="B51" s="4" t="s">
        <v>111</v>
      </c>
      <c r="C51" s="4" t="s">
        <v>314</v>
      </c>
      <c r="D51" s="4" t="s">
        <v>320</v>
      </c>
      <c r="E51" s="83">
        <v>0</v>
      </c>
      <c r="F51" s="83">
        <v>0</v>
      </c>
      <c r="G51" s="83">
        <v>0</v>
      </c>
      <c r="H51" s="83">
        <v>0</v>
      </c>
      <c r="I51" s="83">
        <v>0</v>
      </c>
      <c r="J51" s="83">
        <v>0</v>
      </c>
      <c r="K51" s="83">
        <v>1320</v>
      </c>
      <c r="L51" s="83">
        <v>0</v>
      </c>
      <c r="M51" s="83">
        <v>0</v>
      </c>
      <c r="N51" s="83">
        <v>0</v>
      </c>
      <c r="O51" s="83">
        <v>0</v>
      </c>
      <c r="P51" s="83">
        <v>0</v>
      </c>
      <c r="Q51" s="83">
        <v>0</v>
      </c>
      <c r="R51" s="83">
        <v>0</v>
      </c>
      <c r="S51" s="83">
        <v>0</v>
      </c>
      <c r="T51" s="83">
        <v>0</v>
      </c>
      <c r="U51" s="83">
        <v>0</v>
      </c>
      <c r="V51" s="83">
        <v>0</v>
      </c>
      <c r="W51" s="83">
        <v>0</v>
      </c>
      <c r="X51" s="83">
        <v>0</v>
      </c>
      <c r="Y51" s="83">
        <v>0</v>
      </c>
      <c r="Z51" s="83">
        <v>0</v>
      </c>
      <c r="AA51" s="83">
        <v>0</v>
      </c>
      <c r="AB51" s="83">
        <v>0</v>
      </c>
      <c r="AC51" s="83">
        <v>0</v>
      </c>
      <c r="AD51" s="83">
        <v>0</v>
      </c>
      <c r="AE51" s="83">
        <v>0</v>
      </c>
      <c r="AF51" s="83">
        <v>0</v>
      </c>
      <c r="AG51" s="83">
        <v>0</v>
      </c>
      <c r="AH51" s="83">
        <v>0</v>
      </c>
      <c r="AI51" s="83">
        <v>3330</v>
      </c>
      <c r="AJ51" s="83">
        <v>0</v>
      </c>
      <c r="AK51" s="83">
        <v>0</v>
      </c>
      <c r="AL51" s="83">
        <v>0</v>
      </c>
      <c r="AM51" s="83">
        <v>0</v>
      </c>
      <c r="AN51" s="83">
        <v>0</v>
      </c>
      <c r="AO51" s="83">
        <v>910</v>
      </c>
      <c r="AP51" s="83">
        <v>0</v>
      </c>
      <c r="AQ51" s="83">
        <v>0</v>
      </c>
      <c r="AR51" s="83">
        <v>1000</v>
      </c>
      <c r="AS51" s="83">
        <v>0</v>
      </c>
      <c r="AT51" s="83">
        <v>0</v>
      </c>
      <c r="AU51" s="83">
        <v>0</v>
      </c>
      <c r="AV51" s="83">
        <v>0</v>
      </c>
      <c r="AW51" s="83">
        <v>0</v>
      </c>
      <c r="AX51" s="83">
        <v>0</v>
      </c>
      <c r="AY51" s="83">
        <v>0</v>
      </c>
      <c r="AZ51" s="83">
        <v>0</v>
      </c>
      <c r="BA51" s="83">
        <v>0</v>
      </c>
      <c r="BB51" s="83">
        <v>0</v>
      </c>
      <c r="BC51" s="83">
        <v>0</v>
      </c>
      <c r="BD51" s="83">
        <v>0</v>
      </c>
      <c r="BE51" s="5">
        <f t="shared" si="0"/>
        <v>6560</v>
      </c>
      <c r="BF51" s="5"/>
      <c r="BG51" s="5">
        <f t="shared" si="1"/>
        <v>6560</v>
      </c>
      <c r="BH51" s="66">
        <f>BE51-'TB 17.05.24'!BD41</f>
        <v>-2816</v>
      </c>
      <c r="BO51" t="str">
        <f>VLOOKUP(A51,[2]Sheet1!$A$8:$A$102,1,0)</f>
        <v>420102-302</v>
      </c>
    </row>
    <row r="52" spans="1:67" ht="15" hidden="1" customHeight="1" x14ac:dyDescent="0.35">
      <c r="A52" s="3" t="s">
        <v>112</v>
      </c>
      <c r="B52" s="4" t="s">
        <v>113</v>
      </c>
      <c r="C52" s="4" t="s">
        <v>314</v>
      </c>
      <c r="D52" s="4" t="s">
        <v>321</v>
      </c>
      <c r="E52" s="83">
        <v>3057</v>
      </c>
      <c r="F52" s="83">
        <v>1479</v>
      </c>
      <c r="G52" s="83">
        <v>0</v>
      </c>
      <c r="H52" s="83">
        <v>3057</v>
      </c>
      <c r="I52" s="83">
        <v>3057</v>
      </c>
      <c r="J52" s="83">
        <v>586</v>
      </c>
      <c r="K52" s="83">
        <v>584</v>
      </c>
      <c r="L52" s="83">
        <v>0</v>
      </c>
      <c r="M52" s="83">
        <v>584</v>
      </c>
      <c r="N52" s="83">
        <v>584</v>
      </c>
      <c r="O52" s="83">
        <v>0</v>
      </c>
      <c r="P52" s="83">
        <v>0</v>
      </c>
      <c r="Q52" s="83">
        <v>0</v>
      </c>
      <c r="R52" s="83">
        <v>0</v>
      </c>
      <c r="S52" s="83">
        <v>3540</v>
      </c>
      <c r="T52" s="83">
        <v>0</v>
      </c>
      <c r="U52" s="83">
        <v>2404</v>
      </c>
      <c r="V52" s="83">
        <v>0</v>
      </c>
      <c r="W52" s="83">
        <v>0</v>
      </c>
      <c r="X52" s="83">
        <v>0</v>
      </c>
      <c r="Y52" s="83">
        <v>0</v>
      </c>
      <c r="Z52" s="83">
        <v>2120</v>
      </c>
      <c r="AA52" s="83">
        <v>0</v>
      </c>
      <c r="AB52" s="83">
        <v>0</v>
      </c>
      <c r="AC52" s="83">
        <v>1178</v>
      </c>
      <c r="AD52" s="83">
        <v>1768</v>
      </c>
      <c r="AE52" s="83">
        <v>0</v>
      </c>
      <c r="AF52" s="83">
        <v>740</v>
      </c>
      <c r="AG52" s="83">
        <v>0</v>
      </c>
      <c r="AH52" s="83">
        <v>0</v>
      </c>
      <c r="AI52" s="83">
        <v>0</v>
      </c>
      <c r="AJ52" s="83">
        <v>0</v>
      </c>
      <c r="AK52" s="83">
        <v>0</v>
      </c>
      <c r="AL52" s="83">
        <v>0</v>
      </c>
      <c r="AM52" s="83">
        <v>0</v>
      </c>
      <c r="AN52" s="83">
        <v>600</v>
      </c>
      <c r="AO52" s="83">
        <v>0</v>
      </c>
      <c r="AP52" s="83">
        <v>0</v>
      </c>
      <c r="AQ52" s="83">
        <v>0</v>
      </c>
      <c r="AR52" s="83">
        <v>0</v>
      </c>
      <c r="AS52" s="83">
        <v>1414</v>
      </c>
      <c r="AT52" s="83">
        <v>0</v>
      </c>
      <c r="AU52" s="83">
        <v>0</v>
      </c>
      <c r="AV52" s="83">
        <v>0</v>
      </c>
      <c r="AW52" s="83">
        <v>0</v>
      </c>
      <c r="AX52" s="83">
        <v>0</v>
      </c>
      <c r="AY52" s="83">
        <v>0</v>
      </c>
      <c r="AZ52" s="83">
        <v>0</v>
      </c>
      <c r="BA52" s="83">
        <v>0</v>
      </c>
      <c r="BB52" s="83">
        <v>0</v>
      </c>
      <c r="BC52" s="83">
        <v>0</v>
      </c>
      <c r="BD52" s="83">
        <v>0</v>
      </c>
      <c r="BE52" s="5">
        <f t="shared" si="0"/>
        <v>26752</v>
      </c>
      <c r="BF52" s="5"/>
      <c r="BG52" s="5">
        <f t="shared" si="1"/>
        <v>26752</v>
      </c>
      <c r="BH52" s="66">
        <f>BE52-'TB 17.05.24'!BD42</f>
        <v>-9395</v>
      </c>
      <c r="BO52" t="str">
        <f>VLOOKUP(A52,[2]Sheet1!$A$8:$A$102,1,0)</f>
        <v>420102-402</v>
      </c>
    </row>
    <row r="53" spans="1:67" ht="15" hidden="1" customHeight="1" x14ac:dyDescent="0.35">
      <c r="A53" s="3" t="s">
        <v>452</v>
      </c>
      <c r="B53" s="4" t="s">
        <v>453</v>
      </c>
      <c r="C53" s="4" t="s">
        <v>314</v>
      </c>
      <c r="D53" s="4" t="s">
        <v>296</v>
      </c>
      <c r="E53" s="83">
        <v>0</v>
      </c>
      <c r="F53" s="83">
        <v>0</v>
      </c>
      <c r="G53" s="83">
        <v>0</v>
      </c>
      <c r="H53" s="83">
        <v>0</v>
      </c>
      <c r="I53" s="83">
        <v>0</v>
      </c>
      <c r="J53" s="83">
        <v>0</v>
      </c>
      <c r="K53" s="83">
        <v>0</v>
      </c>
      <c r="L53" s="83">
        <v>0</v>
      </c>
      <c r="M53" s="83">
        <v>0</v>
      </c>
      <c r="N53" s="83">
        <v>0</v>
      </c>
      <c r="O53" s="83">
        <v>147500</v>
      </c>
      <c r="P53" s="83">
        <v>0</v>
      </c>
      <c r="Q53" s="83">
        <v>0</v>
      </c>
      <c r="R53" s="83">
        <v>0</v>
      </c>
      <c r="S53" s="83">
        <v>0</v>
      </c>
      <c r="T53" s="83">
        <v>0</v>
      </c>
      <c r="U53" s="83">
        <v>0</v>
      </c>
      <c r="V53" s="83">
        <v>0</v>
      </c>
      <c r="W53" s="83">
        <v>0</v>
      </c>
      <c r="X53" s="83">
        <v>0</v>
      </c>
      <c r="Y53" s="83">
        <v>0</v>
      </c>
      <c r="Z53" s="83">
        <v>0</v>
      </c>
      <c r="AA53" s="83">
        <v>0</v>
      </c>
      <c r="AB53" s="83">
        <v>0</v>
      </c>
      <c r="AC53" s="83">
        <v>0</v>
      </c>
      <c r="AD53" s="83">
        <v>0</v>
      </c>
      <c r="AE53" s="83">
        <v>0</v>
      </c>
      <c r="AF53" s="83">
        <v>0</v>
      </c>
      <c r="AG53" s="83">
        <v>0</v>
      </c>
      <c r="AH53" s="83">
        <v>0</v>
      </c>
      <c r="AI53" s="83">
        <v>0</v>
      </c>
      <c r="AJ53" s="83">
        <v>0</v>
      </c>
      <c r="AK53" s="83">
        <v>0</v>
      </c>
      <c r="AL53" s="83">
        <v>0</v>
      </c>
      <c r="AM53" s="83">
        <v>0</v>
      </c>
      <c r="AN53" s="83">
        <v>0</v>
      </c>
      <c r="AO53" s="83">
        <v>0</v>
      </c>
      <c r="AP53" s="83">
        <v>0</v>
      </c>
      <c r="AQ53" s="83">
        <v>0</v>
      </c>
      <c r="AR53" s="83">
        <v>0</v>
      </c>
      <c r="AS53" s="83">
        <v>0</v>
      </c>
      <c r="AT53" s="83">
        <v>0</v>
      </c>
      <c r="AU53" s="83">
        <v>0</v>
      </c>
      <c r="AV53" s="83">
        <v>0</v>
      </c>
      <c r="AW53" s="83">
        <v>0</v>
      </c>
      <c r="AX53" s="83">
        <v>0</v>
      </c>
      <c r="AY53" s="83">
        <v>0</v>
      </c>
      <c r="AZ53" s="83">
        <v>0</v>
      </c>
      <c r="BA53" s="83">
        <v>0</v>
      </c>
      <c r="BB53" s="83">
        <v>0</v>
      </c>
      <c r="BC53" s="83">
        <v>0</v>
      </c>
      <c r="BD53" s="83">
        <v>0</v>
      </c>
      <c r="BE53" s="5">
        <f t="shared" si="0"/>
        <v>147500</v>
      </c>
      <c r="BF53" s="5"/>
      <c r="BG53" s="5">
        <f t="shared" si="1"/>
        <v>147500</v>
      </c>
      <c r="BH53" s="66">
        <f>BE53-'TB 17.05.24'!BD43</f>
        <v>0</v>
      </c>
      <c r="BO53" t="str">
        <f>VLOOKUP(A53,[2]Sheet1!$A$8:$A$102,1,0)</f>
        <v>420103-001</v>
      </c>
    </row>
    <row r="54" spans="1:67" ht="15" hidden="1" customHeight="1" x14ac:dyDescent="0.35">
      <c r="A54" s="3" t="s">
        <v>544</v>
      </c>
      <c r="B54" s="4" t="s">
        <v>545</v>
      </c>
      <c r="C54" s="4" t="s">
        <v>314</v>
      </c>
      <c r="D54" s="4" t="s">
        <v>291</v>
      </c>
      <c r="E54" s="83">
        <v>0</v>
      </c>
      <c r="F54" s="83">
        <v>0</v>
      </c>
      <c r="G54" s="83">
        <v>0</v>
      </c>
      <c r="H54" s="83">
        <v>0</v>
      </c>
      <c r="I54" s="83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v>138255</v>
      </c>
      <c r="P54" s="83">
        <v>0</v>
      </c>
      <c r="Q54" s="83">
        <v>0</v>
      </c>
      <c r="R54" s="83">
        <v>0</v>
      </c>
      <c r="S54" s="83">
        <v>0</v>
      </c>
      <c r="T54" s="83">
        <v>0</v>
      </c>
      <c r="U54" s="83">
        <v>0</v>
      </c>
      <c r="V54" s="83">
        <v>0</v>
      </c>
      <c r="W54" s="83">
        <v>0</v>
      </c>
      <c r="X54" s="83">
        <v>0</v>
      </c>
      <c r="Y54" s="83">
        <v>0</v>
      </c>
      <c r="Z54" s="83">
        <v>0</v>
      </c>
      <c r="AA54" s="83">
        <v>0</v>
      </c>
      <c r="AB54" s="83">
        <v>0</v>
      </c>
      <c r="AC54" s="83">
        <v>0</v>
      </c>
      <c r="AD54" s="83">
        <v>0</v>
      </c>
      <c r="AE54" s="83">
        <v>0</v>
      </c>
      <c r="AF54" s="83">
        <v>0</v>
      </c>
      <c r="AG54" s="83">
        <v>0</v>
      </c>
      <c r="AH54" s="83">
        <v>0</v>
      </c>
      <c r="AI54" s="83">
        <v>0</v>
      </c>
      <c r="AJ54" s="83">
        <v>0</v>
      </c>
      <c r="AK54" s="83">
        <v>0</v>
      </c>
      <c r="AL54" s="83">
        <v>0</v>
      </c>
      <c r="AM54" s="83">
        <v>0</v>
      </c>
      <c r="AN54" s="83">
        <v>0</v>
      </c>
      <c r="AO54" s="83">
        <v>0</v>
      </c>
      <c r="AP54" s="83">
        <v>0</v>
      </c>
      <c r="AQ54" s="83">
        <v>0</v>
      </c>
      <c r="AR54" s="83">
        <v>0</v>
      </c>
      <c r="AS54" s="83">
        <v>0</v>
      </c>
      <c r="AT54" s="83">
        <v>0</v>
      </c>
      <c r="AU54" s="83">
        <v>0</v>
      </c>
      <c r="AV54" s="83">
        <v>0</v>
      </c>
      <c r="AW54" s="83">
        <v>0</v>
      </c>
      <c r="AX54" s="83">
        <v>0</v>
      </c>
      <c r="AY54" s="83">
        <v>0</v>
      </c>
      <c r="AZ54" s="83">
        <v>0</v>
      </c>
      <c r="BA54" s="83">
        <v>0</v>
      </c>
      <c r="BB54" s="83">
        <v>0</v>
      </c>
      <c r="BC54" s="83">
        <v>0</v>
      </c>
      <c r="BD54" s="83">
        <v>0</v>
      </c>
      <c r="BE54" s="83">
        <f t="shared" si="0"/>
        <v>138255</v>
      </c>
      <c r="BF54" s="5"/>
      <c r="BG54" s="5">
        <f t="shared" si="1"/>
        <v>138255</v>
      </c>
      <c r="BH54" s="66">
        <f>BE54-'TB 17.05.24'!BD44</f>
        <v>4460</v>
      </c>
      <c r="BO54" t="str">
        <f>VLOOKUP(A54,[2]Sheet1!$A$8:$A$102,1,0)</f>
        <v>420105-002</v>
      </c>
    </row>
    <row r="55" spans="1:67" ht="15" hidden="1" customHeight="1" x14ac:dyDescent="0.35">
      <c r="A55" s="3" t="s">
        <v>1079</v>
      </c>
      <c r="B55" s="4" t="s">
        <v>1080</v>
      </c>
      <c r="C55" s="4" t="s">
        <v>314</v>
      </c>
      <c r="D55" s="4" t="s">
        <v>297</v>
      </c>
      <c r="E55" s="83">
        <v>0</v>
      </c>
      <c r="F55" s="83">
        <v>0</v>
      </c>
      <c r="G55" s="83">
        <v>0</v>
      </c>
      <c r="H55" s="83">
        <v>0</v>
      </c>
      <c r="I55" s="83">
        <v>0</v>
      </c>
      <c r="J55" s="83">
        <v>0</v>
      </c>
      <c r="K55" s="83">
        <v>0</v>
      </c>
      <c r="L55" s="83">
        <v>0</v>
      </c>
      <c r="M55" s="83">
        <v>0</v>
      </c>
      <c r="N55" s="83">
        <v>0</v>
      </c>
      <c r="O55" s="83">
        <v>0</v>
      </c>
      <c r="P55" s="83">
        <v>0</v>
      </c>
      <c r="Q55" s="83">
        <v>0</v>
      </c>
      <c r="R55" s="83">
        <v>0</v>
      </c>
      <c r="S55" s="83">
        <v>0</v>
      </c>
      <c r="T55" s="83">
        <v>0</v>
      </c>
      <c r="U55" s="83">
        <v>0</v>
      </c>
      <c r="V55" s="83">
        <v>0</v>
      </c>
      <c r="W55" s="83">
        <v>2500</v>
      </c>
      <c r="X55" s="83">
        <v>0</v>
      </c>
      <c r="Y55" s="83">
        <v>0</v>
      </c>
      <c r="Z55" s="83">
        <v>0</v>
      </c>
      <c r="AA55" s="83">
        <v>0</v>
      </c>
      <c r="AB55" s="83">
        <v>0</v>
      </c>
      <c r="AC55" s="83">
        <v>0</v>
      </c>
      <c r="AD55" s="83">
        <v>2500</v>
      </c>
      <c r="AE55" s="83">
        <v>0</v>
      </c>
      <c r="AF55" s="83">
        <v>0</v>
      </c>
      <c r="AG55" s="83">
        <v>0</v>
      </c>
      <c r="AH55" s="83">
        <v>0</v>
      </c>
      <c r="AI55" s="83">
        <v>0</v>
      </c>
      <c r="AJ55" s="83">
        <v>0</v>
      </c>
      <c r="AK55" s="83">
        <v>0</v>
      </c>
      <c r="AL55" s="83">
        <v>0</v>
      </c>
      <c r="AM55" s="83">
        <v>0</v>
      </c>
      <c r="AN55" s="83">
        <v>0</v>
      </c>
      <c r="AO55" s="83">
        <v>0</v>
      </c>
      <c r="AP55" s="83">
        <v>0</v>
      </c>
      <c r="AQ55" s="83">
        <v>0</v>
      </c>
      <c r="AR55" s="83">
        <v>0</v>
      </c>
      <c r="AS55" s="83">
        <v>0</v>
      </c>
      <c r="AT55" s="83">
        <v>0</v>
      </c>
      <c r="AU55" s="83">
        <v>0</v>
      </c>
      <c r="AV55" s="83">
        <v>0</v>
      </c>
      <c r="AW55" s="83">
        <v>0</v>
      </c>
      <c r="AX55" s="83">
        <v>0</v>
      </c>
      <c r="AY55" s="83">
        <v>0</v>
      </c>
      <c r="AZ55" s="83">
        <v>0</v>
      </c>
      <c r="BA55" s="83">
        <v>0</v>
      </c>
      <c r="BB55" s="83">
        <v>0</v>
      </c>
      <c r="BC55" s="83">
        <v>0</v>
      </c>
      <c r="BD55" s="83">
        <v>0</v>
      </c>
      <c r="BE55" s="5">
        <f t="shared" si="0"/>
        <v>5000</v>
      </c>
      <c r="BF55" s="5"/>
      <c r="BG55" s="5"/>
      <c r="BH55" s="66"/>
      <c r="BO55" t="str">
        <f>VLOOKUP(A55,[2]Sheet1!$A$8:$A$102,1,0)</f>
        <v>420108-001</v>
      </c>
    </row>
    <row r="56" spans="1:67" ht="15" hidden="1" customHeight="1" x14ac:dyDescent="0.35">
      <c r="A56" s="3" t="s">
        <v>311</v>
      </c>
      <c r="B56" s="4" t="s">
        <v>312</v>
      </c>
      <c r="C56" s="4" t="s">
        <v>314</v>
      </c>
      <c r="D56" s="4" t="s">
        <v>288</v>
      </c>
      <c r="E56" s="83">
        <v>0</v>
      </c>
      <c r="F56" s="83">
        <v>0</v>
      </c>
      <c r="G56" s="83">
        <v>0</v>
      </c>
      <c r="H56" s="83">
        <v>0</v>
      </c>
      <c r="I56" s="83">
        <v>0</v>
      </c>
      <c r="J56" s="83">
        <v>0</v>
      </c>
      <c r="K56" s="83">
        <v>0</v>
      </c>
      <c r="L56" s="83">
        <v>0</v>
      </c>
      <c r="M56" s="83">
        <v>0</v>
      </c>
      <c r="N56" s="83">
        <v>0</v>
      </c>
      <c r="O56" s="83">
        <v>0</v>
      </c>
      <c r="P56" s="83">
        <v>0</v>
      </c>
      <c r="Q56" s="83">
        <v>0</v>
      </c>
      <c r="R56" s="83">
        <v>0</v>
      </c>
      <c r="S56" s="83">
        <v>0</v>
      </c>
      <c r="T56" s="83">
        <v>0</v>
      </c>
      <c r="U56" s="83">
        <v>0</v>
      </c>
      <c r="V56" s="83">
        <v>0</v>
      </c>
      <c r="W56" s="83">
        <v>0</v>
      </c>
      <c r="X56" s="83">
        <v>0</v>
      </c>
      <c r="Y56" s="83">
        <v>0</v>
      </c>
      <c r="Z56" s="83">
        <v>20480</v>
      </c>
      <c r="AA56" s="83">
        <v>21460</v>
      </c>
      <c r="AB56" s="83">
        <v>0</v>
      </c>
      <c r="AC56" s="83">
        <v>0</v>
      </c>
      <c r="AD56" s="83">
        <v>0</v>
      </c>
      <c r="AE56" s="83">
        <v>0</v>
      </c>
      <c r="AF56" s="83">
        <v>0</v>
      </c>
      <c r="AG56" s="83">
        <v>21898</v>
      </c>
      <c r="AH56" s="83">
        <v>34974</v>
      </c>
      <c r="AI56" s="83">
        <v>0</v>
      </c>
      <c r="AJ56" s="83">
        <v>0</v>
      </c>
      <c r="AK56" s="83">
        <v>0</v>
      </c>
      <c r="AL56" s="83">
        <v>0</v>
      </c>
      <c r="AM56" s="83">
        <v>0</v>
      </c>
      <c r="AN56" s="83">
        <v>0</v>
      </c>
      <c r="AO56" s="83">
        <v>0</v>
      </c>
      <c r="AP56" s="83">
        <v>0</v>
      </c>
      <c r="AQ56" s="83">
        <v>0</v>
      </c>
      <c r="AR56" s="83">
        <v>0</v>
      </c>
      <c r="AS56" s="83">
        <v>0</v>
      </c>
      <c r="AT56" s="83">
        <v>0</v>
      </c>
      <c r="AU56" s="83">
        <v>0</v>
      </c>
      <c r="AV56" s="83">
        <v>0</v>
      </c>
      <c r="AW56" s="83">
        <v>0</v>
      </c>
      <c r="AX56" s="83">
        <v>0</v>
      </c>
      <c r="AY56" s="83">
        <v>0</v>
      </c>
      <c r="AZ56" s="83">
        <v>0</v>
      </c>
      <c r="BA56" s="83">
        <v>0</v>
      </c>
      <c r="BB56" s="83">
        <v>0</v>
      </c>
      <c r="BC56" s="83">
        <v>0</v>
      </c>
      <c r="BD56" s="83">
        <v>0</v>
      </c>
      <c r="BE56" s="5">
        <f t="shared" si="0"/>
        <v>98812</v>
      </c>
      <c r="BF56" s="5"/>
      <c r="BG56" s="5">
        <f t="shared" si="1"/>
        <v>98812</v>
      </c>
      <c r="BH56" s="66">
        <f>BE56-'TB 17.05.24'!BD45</f>
        <v>-1024529</v>
      </c>
      <c r="BO56" t="str">
        <f>VLOOKUP(A56,[2]Sheet1!$A$8:$A$102,1,0)</f>
        <v>420108-004</v>
      </c>
    </row>
    <row r="57" spans="1:67" ht="15" customHeight="1" x14ac:dyDescent="0.35">
      <c r="A57" s="3" t="s">
        <v>114</v>
      </c>
      <c r="B57" s="4" t="s">
        <v>115</v>
      </c>
      <c r="C57" s="4" t="s">
        <v>314</v>
      </c>
      <c r="D57" s="4" t="s">
        <v>294</v>
      </c>
      <c r="E57" s="83">
        <v>0</v>
      </c>
      <c r="F57" s="83">
        <v>0</v>
      </c>
      <c r="G57" s="83">
        <v>0</v>
      </c>
      <c r="H57" s="83">
        <v>0</v>
      </c>
      <c r="I57" s="83">
        <v>0</v>
      </c>
      <c r="J57" s="83">
        <v>0</v>
      </c>
      <c r="K57" s="83">
        <v>0</v>
      </c>
      <c r="L57" s="83">
        <v>0</v>
      </c>
      <c r="M57" s="83">
        <v>0</v>
      </c>
      <c r="N57" s="83">
        <v>0</v>
      </c>
      <c r="O57" s="83">
        <v>0</v>
      </c>
      <c r="P57" s="83">
        <v>0</v>
      </c>
      <c r="Q57" s="83">
        <v>0</v>
      </c>
      <c r="R57" s="83">
        <v>0</v>
      </c>
      <c r="S57" s="83">
        <v>0</v>
      </c>
      <c r="T57" s="83">
        <v>0</v>
      </c>
      <c r="U57" s="83">
        <v>0</v>
      </c>
      <c r="V57" s="83">
        <v>0</v>
      </c>
      <c r="W57" s="83">
        <v>0</v>
      </c>
      <c r="X57" s="83">
        <v>0</v>
      </c>
      <c r="Y57" s="83">
        <v>0</v>
      </c>
      <c r="Z57" s="83">
        <v>0</v>
      </c>
      <c r="AA57" s="83">
        <v>0</v>
      </c>
      <c r="AB57" s="83">
        <v>0</v>
      </c>
      <c r="AC57" s="83">
        <v>0</v>
      </c>
      <c r="AD57" s="83">
        <v>0</v>
      </c>
      <c r="AE57" s="83">
        <v>0</v>
      </c>
      <c r="AF57" s="83">
        <v>0</v>
      </c>
      <c r="AG57" s="83">
        <v>0</v>
      </c>
      <c r="AH57" s="83">
        <v>0</v>
      </c>
      <c r="AI57" s="83">
        <v>0</v>
      </c>
      <c r="AJ57" s="83">
        <v>0</v>
      </c>
      <c r="AK57" s="83">
        <v>0</v>
      </c>
      <c r="AL57" s="83">
        <v>0</v>
      </c>
      <c r="AM57" s="83">
        <v>0</v>
      </c>
      <c r="AN57" s="83">
        <v>0</v>
      </c>
      <c r="AO57" s="83">
        <v>0</v>
      </c>
      <c r="AP57" s="83">
        <v>0</v>
      </c>
      <c r="AQ57" s="83">
        <v>0</v>
      </c>
      <c r="AR57" s="83">
        <v>0</v>
      </c>
      <c r="AS57" s="83">
        <v>0</v>
      </c>
      <c r="AT57" s="83">
        <v>0</v>
      </c>
      <c r="AU57" s="83">
        <v>0</v>
      </c>
      <c r="AV57" s="83">
        <v>0</v>
      </c>
      <c r="AW57" s="83">
        <v>0</v>
      </c>
      <c r="AX57" s="83">
        <v>0</v>
      </c>
      <c r="AY57" s="83">
        <v>0</v>
      </c>
      <c r="AZ57" s="83">
        <v>0</v>
      </c>
      <c r="BA57" s="83">
        <v>0</v>
      </c>
      <c r="BB57" s="83">
        <v>0</v>
      </c>
      <c r="BC57" s="83">
        <v>0</v>
      </c>
      <c r="BD57" s="83">
        <v>0</v>
      </c>
      <c r="BE57" s="83">
        <f t="shared" si="0"/>
        <v>0</v>
      </c>
      <c r="BF57" s="5"/>
      <c r="BG57" s="5">
        <f t="shared" si="1"/>
        <v>0</v>
      </c>
      <c r="BH57" s="66">
        <f>BE57-'TB 17.05.24'!BD46</f>
        <v>-30000</v>
      </c>
      <c r="BO57" s="79" t="e">
        <f>VLOOKUP(A57,[2]Sheet1!$A$8:$A$102,1,0)</f>
        <v>#N/A</v>
      </c>
    </row>
    <row r="58" spans="1:67" ht="15" hidden="1" customHeight="1" x14ac:dyDescent="0.35">
      <c r="A58" s="3" t="s">
        <v>116</v>
      </c>
      <c r="B58" s="4" t="s">
        <v>117</v>
      </c>
      <c r="C58" s="4" t="s">
        <v>314</v>
      </c>
      <c r="D58" s="4" t="s">
        <v>296</v>
      </c>
      <c r="E58" s="83">
        <v>0</v>
      </c>
      <c r="F58" s="83">
        <v>0</v>
      </c>
      <c r="G58" s="83">
        <v>0</v>
      </c>
      <c r="H58" s="83">
        <v>0</v>
      </c>
      <c r="I58" s="83">
        <v>0</v>
      </c>
      <c r="J58" s="83">
        <v>0</v>
      </c>
      <c r="K58" s="83">
        <v>0</v>
      </c>
      <c r="L58" s="83">
        <v>0</v>
      </c>
      <c r="M58" s="83">
        <v>0</v>
      </c>
      <c r="N58" s="83">
        <v>0</v>
      </c>
      <c r="O58" s="83">
        <v>0</v>
      </c>
      <c r="P58" s="83">
        <v>0</v>
      </c>
      <c r="Q58" s="83">
        <v>0</v>
      </c>
      <c r="R58" s="83">
        <v>0</v>
      </c>
      <c r="S58" s="83">
        <v>0</v>
      </c>
      <c r="T58" s="83">
        <v>0</v>
      </c>
      <c r="U58" s="83">
        <v>0</v>
      </c>
      <c r="V58" s="83">
        <v>0</v>
      </c>
      <c r="W58" s="83">
        <v>0</v>
      </c>
      <c r="X58" s="83">
        <v>0</v>
      </c>
      <c r="Y58" s="83">
        <v>0</v>
      </c>
      <c r="Z58" s="83">
        <v>0</v>
      </c>
      <c r="AA58" s="83">
        <v>0</v>
      </c>
      <c r="AB58" s="83">
        <v>0</v>
      </c>
      <c r="AC58" s="83">
        <v>0</v>
      </c>
      <c r="AD58" s="83">
        <v>0</v>
      </c>
      <c r="AE58" s="83">
        <v>0</v>
      </c>
      <c r="AF58" s="83">
        <v>0</v>
      </c>
      <c r="AG58" s="83">
        <v>0</v>
      </c>
      <c r="AH58" s="83">
        <v>0</v>
      </c>
      <c r="AI58" s="83">
        <v>0</v>
      </c>
      <c r="AJ58" s="83">
        <v>0</v>
      </c>
      <c r="AK58" s="83">
        <v>0</v>
      </c>
      <c r="AL58" s="83">
        <v>0</v>
      </c>
      <c r="AM58" s="83">
        <v>0</v>
      </c>
      <c r="AN58" s="83">
        <v>0</v>
      </c>
      <c r="AO58" s="83">
        <v>0</v>
      </c>
      <c r="AP58" s="83">
        <v>0</v>
      </c>
      <c r="AQ58" s="83">
        <v>0</v>
      </c>
      <c r="AR58" s="83">
        <v>0</v>
      </c>
      <c r="AS58" s="83">
        <v>0</v>
      </c>
      <c r="AT58" s="83">
        <v>0</v>
      </c>
      <c r="AU58" s="83">
        <v>0</v>
      </c>
      <c r="AV58" s="83">
        <v>0</v>
      </c>
      <c r="AW58" s="83">
        <v>0</v>
      </c>
      <c r="AX58" s="83">
        <v>0</v>
      </c>
      <c r="AY58" s="83">
        <v>0</v>
      </c>
      <c r="AZ58" s="83">
        <v>0</v>
      </c>
      <c r="BA58" s="83">
        <v>0</v>
      </c>
      <c r="BB58" s="83">
        <v>0</v>
      </c>
      <c r="BC58" s="83">
        <v>0</v>
      </c>
      <c r="BD58" s="83">
        <v>0</v>
      </c>
      <c r="BE58" s="5">
        <f t="shared" si="0"/>
        <v>0</v>
      </c>
      <c r="BF58" s="5"/>
      <c r="BG58" s="5">
        <f t="shared" si="1"/>
        <v>0</v>
      </c>
      <c r="BH58" s="66">
        <f>BE58-'TB 17.05.24'!BD47</f>
        <v>-2300</v>
      </c>
      <c r="BO58" s="79" t="e">
        <f>VLOOKUP(A58,[2]Sheet1!$A$8:$A$102,1,0)</f>
        <v>#N/A</v>
      </c>
    </row>
    <row r="59" spans="1:67" ht="15" hidden="1" customHeight="1" x14ac:dyDescent="0.35">
      <c r="A59" s="3" t="s">
        <v>118</v>
      </c>
      <c r="B59" s="4" t="s">
        <v>119</v>
      </c>
      <c r="C59" s="4" t="s">
        <v>314</v>
      </c>
      <c r="D59" s="4" t="s">
        <v>296</v>
      </c>
      <c r="E59" s="83">
        <v>0</v>
      </c>
      <c r="F59" s="83">
        <v>0</v>
      </c>
      <c r="G59" s="83">
        <v>0</v>
      </c>
      <c r="H59" s="83">
        <v>0</v>
      </c>
      <c r="I59" s="83">
        <v>0</v>
      </c>
      <c r="J59" s="83">
        <v>0</v>
      </c>
      <c r="K59" s="83">
        <v>0</v>
      </c>
      <c r="L59" s="83">
        <v>0</v>
      </c>
      <c r="M59" s="83">
        <v>0</v>
      </c>
      <c r="N59" s="83">
        <v>0</v>
      </c>
      <c r="O59" s="83">
        <v>1281541</v>
      </c>
      <c r="P59" s="83">
        <v>0</v>
      </c>
      <c r="Q59" s="83">
        <v>0</v>
      </c>
      <c r="R59" s="83">
        <v>0</v>
      </c>
      <c r="S59" s="83">
        <v>0</v>
      </c>
      <c r="T59" s="83">
        <v>0</v>
      </c>
      <c r="U59" s="83">
        <v>0</v>
      </c>
      <c r="V59" s="83">
        <v>0</v>
      </c>
      <c r="W59" s="83">
        <v>0</v>
      </c>
      <c r="X59" s="83">
        <v>0</v>
      </c>
      <c r="Y59" s="83">
        <v>0</v>
      </c>
      <c r="Z59" s="83">
        <v>55800</v>
      </c>
      <c r="AA59" s="83">
        <v>0</v>
      </c>
      <c r="AB59" s="83">
        <v>0</v>
      </c>
      <c r="AC59" s="83">
        <v>15400</v>
      </c>
      <c r="AD59" s="83">
        <v>15400</v>
      </c>
      <c r="AE59" s="83">
        <v>25000</v>
      </c>
      <c r="AF59" s="83">
        <v>0</v>
      </c>
      <c r="AG59" s="83">
        <v>0</v>
      </c>
      <c r="AH59" s="83">
        <v>2448</v>
      </c>
      <c r="AI59" s="83">
        <v>2500</v>
      </c>
      <c r="AJ59" s="83">
        <v>77500</v>
      </c>
      <c r="AK59" s="83">
        <v>0</v>
      </c>
      <c r="AL59" s="83">
        <v>0</v>
      </c>
      <c r="AM59" s="83">
        <v>0</v>
      </c>
      <c r="AN59" s="83">
        <v>0</v>
      </c>
      <c r="AO59" s="83">
        <v>2500</v>
      </c>
      <c r="AP59" s="83">
        <v>2500</v>
      </c>
      <c r="AQ59" s="83">
        <v>2500</v>
      </c>
      <c r="AR59" s="83">
        <v>2500</v>
      </c>
      <c r="AS59" s="83">
        <v>18496</v>
      </c>
      <c r="AT59" s="83">
        <v>14248</v>
      </c>
      <c r="AU59" s="83">
        <v>0</v>
      </c>
      <c r="AV59" s="83">
        <v>2500</v>
      </c>
      <c r="AW59" s="83">
        <v>2500</v>
      </c>
      <c r="AX59" s="83">
        <v>0</v>
      </c>
      <c r="AY59" s="83">
        <v>0</v>
      </c>
      <c r="AZ59" s="83">
        <v>0</v>
      </c>
      <c r="BA59" s="83">
        <v>0</v>
      </c>
      <c r="BB59" s="83">
        <v>0</v>
      </c>
      <c r="BC59" s="83">
        <v>5000</v>
      </c>
      <c r="BD59" s="83">
        <v>0</v>
      </c>
      <c r="BE59" s="5">
        <f t="shared" si="0"/>
        <v>1528333</v>
      </c>
      <c r="BF59" s="5"/>
      <c r="BG59" s="5">
        <f t="shared" si="1"/>
        <v>1528333</v>
      </c>
      <c r="BH59" s="66">
        <f>BE59-'TB 17.05.24'!BD48</f>
        <v>-176386</v>
      </c>
      <c r="BO59" t="str">
        <f>VLOOKUP(A59,[2]Sheet1!$A$8:$A$102,1,0)</f>
        <v>420109-015</v>
      </c>
    </row>
    <row r="60" spans="1:67" ht="15" hidden="1" customHeight="1" x14ac:dyDescent="0.35">
      <c r="A60" s="3" t="s">
        <v>120</v>
      </c>
      <c r="B60" s="4" t="s">
        <v>121</v>
      </c>
      <c r="C60" s="4" t="s">
        <v>314</v>
      </c>
      <c r="D60" s="4" t="s">
        <v>322</v>
      </c>
      <c r="E60" s="83">
        <v>1335</v>
      </c>
      <c r="F60" s="83">
        <v>1404</v>
      </c>
      <c r="G60" s="83">
        <v>0</v>
      </c>
      <c r="H60" s="83">
        <v>3369</v>
      </c>
      <c r="I60" s="83">
        <v>504</v>
      </c>
      <c r="J60" s="83">
        <v>5490</v>
      </c>
      <c r="K60" s="83">
        <v>1999</v>
      </c>
      <c r="L60" s="83">
        <v>0</v>
      </c>
      <c r="M60" s="83">
        <v>0</v>
      </c>
      <c r="N60" s="83">
        <v>9337</v>
      </c>
      <c r="O60" s="83">
        <v>3794</v>
      </c>
      <c r="P60" s="83">
        <v>0</v>
      </c>
      <c r="Q60" s="83">
        <v>0</v>
      </c>
      <c r="R60" s="83">
        <v>776</v>
      </c>
      <c r="S60" s="83">
        <v>2250</v>
      </c>
      <c r="T60" s="83">
        <v>0</v>
      </c>
      <c r="U60" s="83">
        <v>4000</v>
      </c>
      <c r="V60" s="83">
        <v>0</v>
      </c>
      <c r="W60" s="83">
        <v>1300</v>
      </c>
      <c r="X60" s="83">
        <v>0</v>
      </c>
      <c r="Y60" s="83">
        <v>3731</v>
      </c>
      <c r="Z60" s="83">
        <v>1984</v>
      </c>
      <c r="AA60" s="83">
        <v>2714</v>
      </c>
      <c r="AB60" s="83">
        <v>0</v>
      </c>
      <c r="AC60" s="83">
        <v>579</v>
      </c>
      <c r="AD60" s="83">
        <v>363</v>
      </c>
      <c r="AE60" s="83">
        <v>168</v>
      </c>
      <c r="AF60" s="83">
        <v>4226</v>
      </c>
      <c r="AG60" s="83">
        <v>169</v>
      </c>
      <c r="AH60" s="83">
        <v>1082</v>
      </c>
      <c r="AI60" s="83">
        <v>535</v>
      </c>
      <c r="AJ60" s="83">
        <v>0</v>
      </c>
      <c r="AK60" s="83">
        <v>0</v>
      </c>
      <c r="AL60" s="83">
        <v>0</v>
      </c>
      <c r="AM60" s="83">
        <v>0</v>
      </c>
      <c r="AN60" s="83">
        <v>1814</v>
      </c>
      <c r="AO60" s="83">
        <v>250</v>
      </c>
      <c r="AP60" s="83">
        <v>1706</v>
      </c>
      <c r="AQ60" s="83">
        <v>0</v>
      </c>
      <c r="AR60" s="83">
        <v>2304</v>
      </c>
      <c r="AS60" s="83">
        <v>0</v>
      </c>
      <c r="AT60" s="83">
        <v>0</v>
      </c>
      <c r="AU60" s="83">
        <v>0</v>
      </c>
      <c r="AV60" s="83">
        <v>0</v>
      </c>
      <c r="AW60" s="83">
        <v>0</v>
      </c>
      <c r="AX60" s="83">
        <v>0</v>
      </c>
      <c r="AY60" s="83">
        <v>0</v>
      </c>
      <c r="AZ60" s="83">
        <v>0</v>
      </c>
      <c r="BA60" s="83">
        <f>2172+1172</f>
        <v>3344</v>
      </c>
      <c r="BB60" s="83">
        <f>3231+3231</f>
        <v>6462</v>
      </c>
      <c r="BC60" s="83">
        <f>1974+150</f>
        <v>2124</v>
      </c>
      <c r="BD60" s="83">
        <v>0</v>
      </c>
      <c r="BE60" s="5">
        <f t="shared" si="0"/>
        <v>69113</v>
      </c>
      <c r="BF60" s="5"/>
      <c r="BG60" s="5">
        <f t="shared" si="1"/>
        <v>69113</v>
      </c>
      <c r="BH60" s="66">
        <f>BE60-'TB 17.05.24'!BD49</f>
        <v>997</v>
      </c>
      <c r="BO60" t="str">
        <f>VLOOKUP(A60,[2]Sheet1!$A$8:$A$102,1,0)</f>
        <v>420111-002</v>
      </c>
    </row>
    <row r="61" spans="1:67" ht="15" hidden="1" customHeight="1" x14ac:dyDescent="0.35">
      <c r="A61" s="3" t="s">
        <v>1081</v>
      </c>
      <c r="B61" s="4" t="s">
        <v>1082</v>
      </c>
      <c r="C61" s="4" t="s">
        <v>314</v>
      </c>
      <c r="D61" s="4" t="s">
        <v>322</v>
      </c>
      <c r="E61" s="83">
        <v>0</v>
      </c>
      <c r="F61" s="83">
        <v>0</v>
      </c>
      <c r="G61" s="83">
        <v>0</v>
      </c>
      <c r="H61" s="83">
        <v>0</v>
      </c>
      <c r="I61" s="83">
        <v>0</v>
      </c>
      <c r="J61" s="83">
        <v>0</v>
      </c>
      <c r="K61" s="83">
        <v>0</v>
      </c>
      <c r="L61" s="83">
        <v>0</v>
      </c>
      <c r="M61" s="83">
        <v>0</v>
      </c>
      <c r="N61" s="83">
        <v>0</v>
      </c>
      <c r="O61" s="83">
        <v>0</v>
      </c>
      <c r="P61" s="83">
        <v>0</v>
      </c>
      <c r="Q61" s="83">
        <v>0</v>
      </c>
      <c r="R61" s="83">
        <v>0</v>
      </c>
      <c r="S61" s="83">
        <v>0</v>
      </c>
      <c r="T61" s="83">
        <v>0</v>
      </c>
      <c r="U61" s="83">
        <v>0</v>
      </c>
      <c r="V61" s="83">
        <v>0</v>
      </c>
      <c r="W61" s="83">
        <v>0</v>
      </c>
      <c r="X61" s="83">
        <v>0</v>
      </c>
      <c r="Y61" s="83">
        <v>0</v>
      </c>
      <c r="Z61" s="83">
        <v>0</v>
      </c>
      <c r="AA61" s="83">
        <v>0</v>
      </c>
      <c r="AB61" s="83">
        <v>0</v>
      </c>
      <c r="AC61" s="83">
        <v>0</v>
      </c>
      <c r="AD61" s="83">
        <v>0</v>
      </c>
      <c r="AE61" s="83">
        <v>0</v>
      </c>
      <c r="AF61" s="83">
        <v>0</v>
      </c>
      <c r="AG61" s="83">
        <v>0</v>
      </c>
      <c r="AH61" s="83">
        <v>0</v>
      </c>
      <c r="AI61" s="83">
        <v>8627.7000000000007</v>
      </c>
      <c r="AJ61" s="83">
        <v>8627.7000000000007</v>
      </c>
      <c r="AK61" s="83">
        <v>0</v>
      </c>
      <c r="AL61" s="83">
        <v>0</v>
      </c>
      <c r="AM61" s="83">
        <v>0</v>
      </c>
      <c r="AN61" s="83">
        <v>8627.7000000000007</v>
      </c>
      <c r="AO61" s="83">
        <v>8627.7000000000007</v>
      </c>
      <c r="AP61" s="83">
        <v>0</v>
      </c>
      <c r="AQ61" s="83">
        <v>8627.7000000000007</v>
      </c>
      <c r="AR61" s="83">
        <v>0</v>
      </c>
      <c r="AS61" s="83">
        <v>0</v>
      </c>
      <c r="AT61" s="83">
        <v>0</v>
      </c>
      <c r="AU61" s="83">
        <v>0</v>
      </c>
      <c r="AV61" s="83">
        <v>0</v>
      </c>
      <c r="AW61" s="83">
        <v>0</v>
      </c>
      <c r="AX61" s="83">
        <v>8627.7000000000007</v>
      </c>
      <c r="AY61" s="83">
        <v>0</v>
      </c>
      <c r="AZ61" s="83">
        <v>0</v>
      </c>
      <c r="BA61" s="83">
        <v>8627.7000000000007</v>
      </c>
      <c r="BB61" s="83">
        <v>8627.7000000000007</v>
      </c>
      <c r="BC61" s="83">
        <v>8627.7000000000007</v>
      </c>
      <c r="BD61" s="83">
        <v>8627.7000000000007</v>
      </c>
      <c r="BE61" s="5">
        <f t="shared" si="0"/>
        <v>86276.999999999985</v>
      </c>
      <c r="BF61" s="5"/>
      <c r="BG61" s="5"/>
      <c r="BH61" s="66"/>
      <c r="BO61" t="str">
        <f>VLOOKUP(A61,[2]Sheet1!$A$8:$A$102,1,0)</f>
        <v>420111-211</v>
      </c>
    </row>
    <row r="62" spans="1:67" ht="15" hidden="1" customHeight="1" x14ac:dyDescent="0.35">
      <c r="A62" s="3" t="s">
        <v>122</v>
      </c>
      <c r="B62" s="4" t="s">
        <v>123</v>
      </c>
      <c r="C62" s="4" t="s">
        <v>314</v>
      </c>
      <c r="D62" s="4" t="s">
        <v>322</v>
      </c>
      <c r="E62" s="83">
        <f>0+(24744/4)</f>
        <v>6186</v>
      </c>
      <c r="F62" s="83">
        <f>0+(24744/4)</f>
        <v>6186</v>
      </c>
      <c r="G62" s="83">
        <f>(24744/4)*0</f>
        <v>0</v>
      </c>
      <c r="H62" s="83">
        <f>13020+(24744/4)</f>
        <v>19206</v>
      </c>
      <c r="I62" s="83">
        <f>0+(24744/4)</f>
        <v>6186</v>
      </c>
      <c r="J62" s="83">
        <v>660</v>
      </c>
      <c r="K62" s="83">
        <v>660</v>
      </c>
      <c r="L62" s="83">
        <v>0</v>
      </c>
      <c r="M62" s="83">
        <v>660</v>
      </c>
      <c r="N62" s="83">
        <v>660</v>
      </c>
      <c r="O62" s="83">
        <v>161963</v>
      </c>
      <c r="P62" s="83">
        <v>0</v>
      </c>
      <c r="Q62" s="83">
        <v>0</v>
      </c>
      <c r="R62" s="83">
        <v>0</v>
      </c>
      <c r="S62" s="83">
        <v>0</v>
      </c>
      <c r="T62" s="83">
        <v>0</v>
      </c>
      <c r="U62" s="83">
        <v>0</v>
      </c>
      <c r="V62" s="83">
        <f>(144542/3)*0</f>
        <v>0</v>
      </c>
      <c r="W62" s="83">
        <f>0+(144542/3)</f>
        <v>48180.666666666664</v>
      </c>
      <c r="X62" s="83">
        <f>0+(144542/3)</f>
        <v>48180.666666666664</v>
      </c>
      <c r="Y62" s="83">
        <f>0+(144542/3)</f>
        <v>48180.666666666664</v>
      </c>
      <c r="Z62" s="83">
        <f>0+(182937/8)</f>
        <v>22867.125</v>
      </c>
      <c r="AA62" s="83">
        <f>0+(182937/8)</f>
        <v>22867.125</v>
      </c>
      <c r="AB62" s="83">
        <f>(182937/8)*0</f>
        <v>0</v>
      </c>
      <c r="AC62" s="83">
        <f t="shared" ref="AC62:AH62" si="2">0+(182937/8)</f>
        <v>22867.125</v>
      </c>
      <c r="AD62" s="83">
        <f t="shared" si="2"/>
        <v>22867.125</v>
      </c>
      <c r="AE62" s="83">
        <f t="shared" si="2"/>
        <v>22867.125</v>
      </c>
      <c r="AF62" s="83">
        <f t="shared" si="2"/>
        <v>22867.125</v>
      </c>
      <c r="AG62" s="83">
        <f t="shared" si="2"/>
        <v>22867.125</v>
      </c>
      <c r="AH62" s="83">
        <f t="shared" si="2"/>
        <v>22867.125</v>
      </c>
      <c r="AI62" s="83">
        <f>24889+(158035/7)</f>
        <v>47465.428571428572</v>
      </c>
      <c r="AJ62" s="83">
        <f>24889+(158035/7)</f>
        <v>47465.428571428572</v>
      </c>
      <c r="AK62" s="83">
        <v>0</v>
      </c>
      <c r="AL62" s="83">
        <v>0</v>
      </c>
      <c r="AM62" s="83">
        <f>(158035/7)*0</f>
        <v>0</v>
      </c>
      <c r="AN62" s="83">
        <f>24889+(158035/7)</f>
        <v>47465.428571428572</v>
      </c>
      <c r="AO62" s="83">
        <f>24889+(158035/7)</f>
        <v>47465.428571428572</v>
      </c>
      <c r="AP62" s="83">
        <f>23665+(158035/7)</f>
        <v>46241.428571428572</v>
      </c>
      <c r="AQ62" s="83">
        <f>0+(158035/7)</f>
        <v>22576.428571428572</v>
      </c>
      <c r="AR62" s="83">
        <f>21723+(158035/7)</f>
        <v>44299.428571428572</v>
      </c>
      <c r="AS62" s="83">
        <v>9395</v>
      </c>
      <c r="AT62" s="83">
        <v>9395</v>
      </c>
      <c r="AU62" s="83">
        <v>0</v>
      </c>
      <c r="AV62" s="83">
        <v>9395</v>
      </c>
      <c r="AW62" s="83">
        <v>9395</v>
      </c>
      <c r="AX62" s="83">
        <f>4080+(47397/5)</f>
        <v>13559.4</v>
      </c>
      <c r="AY62" s="83">
        <v>0</v>
      </c>
      <c r="AZ62" s="83">
        <f>(47397/5)*0</f>
        <v>0</v>
      </c>
      <c r="BA62" s="83">
        <f>4080+(47397/5)</f>
        <v>13559.4</v>
      </c>
      <c r="BB62" s="83">
        <f>4080+(47397/5)</f>
        <v>13559.4</v>
      </c>
      <c r="BC62" s="83">
        <f>4080+(47397/5)</f>
        <v>13559.4</v>
      </c>
      <c r="BD62" s="83">
        <f>4080+(47397/5)</f>
        <v>13559.4</v>
      </c>
      <c r="BE62" s="5">
        <f t="shared" si="0"/>
        <v>938201.99999999977</v>
      </c>
      <c r="BF62" s="5"/>
      <c r="BG62" s="5">
        <f t="shared" si="1"/>
        <v>938201.99999999977</v>
      </c>
      <c r="BH62" s="66">
        <f>BE62-'TB 17.05.24'!BD50</f>
        <v>716300.49999999977</v>
      </c>
      <c r="BO62" t="str">
        <f>VLOOKUP(A62,[2]Sheet1!$A$8:$A$102,1,0)</f>
        <v>420111-213</v>
      </c>
    </row>
    <row r="63" spans="1:67" ht="15" hidden="1" customHeight="1" x14ac:dyDescent="0.35">
      <c r="A63" s="3" t="s">
        <v>124</v>
      </c>
      <c r="B63" s="4" t="s">
        <v>125</v>
      </c>
      <c r="C63" s="4" t="s">
        <v>314</v>
      </c>
      <c r="D63" s="4" t="s">
        <v>322</v>
      </c>
      <c r="E63" s="83">
        <v>0</v>
      </c>
      <c r="F63" s="83">
        <v>0</v>
      </c>
      <c r="G63" s="83">
        <v>0</v>
      </c>
      <c r="H63" s="83">
        <v>0</v>
      </c>
      <c r="I63" s="83">
        <v>0</v>
      </c>
      <c r="J63" s="83">
        <v>0</v>
      </c>
      <c r="K63" s="83">
        <v>0</v>
      </c>
      <c r="L63" s="83">
        <v>0</v>
      </c>
      <c r="M63" s="83">
        <v>0</v>
      </c>
      <c r="N63" s="83">
        <v>0</v>
      </c>
      <c r="O63" s="83">
        <v>0</v>
      </c>
      <c r="P63" s="83">
        <v>0</v>
      </c>
      <c r="Q63" s="83">
        <v>0</v>
      </c>
      <c r="R63" s="83">
        <v>0</v>
      </c>
      <c r="S63" s="83">
        <v>0</v>
      </c>
      <c r="T63" s="83">
        <v>0</v>
      </c>
      <c r="U63" s="83">
        <v>0</v>
      </c>
      <c r="V63" s="83">
        <v>0</v>
      </c>
      <c r="W63" s="83">
        <v>0</v>
      </c>
      <c r="X63" s="83">
        <v>0</v>
      </c>
      <c r="Y63" s="83">
        <v>0</v>
      </c>
      <c r="Z63" s="83">
        <v>0</v>
      </c>
      <c r="AA63" s="83">
        <v>0</v>
      </c>
      <c r="AB63" s="83">
        <v>0</v>
      </c>
      <c r="AC63" s="83">
        <v>0</v>
      </c>
      <c r="AD63" s="83">
        <v>0</v>
      </c>
      <c r="AE63" s="83">
        <v>0</v>
      </c>
      <c r="AF63" s="83">
        <v>0</v>
      </c>
      <c r="AG63" s="83">
        <v>0</v>
      </c>
      <c r="AH63" s="83">
        <v>0</v>
      </c>
      <c r="AI63" s="83">
        <v>0</v>
      </c>
      <c r="AJ63" s="83">
        <v>0</v>
      </c>
      <c r="AK63" s="83">
        <v>0</v>
      </c>
      <c r="AL63" s="83">
        <v>0</v>
      </c>
      <c r="AM63" s="83">
        <v>0</v>
      </c>
      <c r="AN63" s="83">
        <v>0</v>
      </c>
      <c r="AO63" s="83">
        <v>0</v>
      </c>
      <c r="AP63" s="83">
        <v>0</v>
      </c>
      <c r="AQ63" s="83">
        <v>0</v>
      </c>
      <c r="AR63" s="83">
        <v>0</v>
      </c>
      <c r="AS63" s="83">
        <v>8100</v>
      </c>
      <c r="AT63" s="83">
        <v>8100</v>
      </c>
      <c r="AU63" s="83">
        <v>0</v>
      </c>
      <c r="AV63" s="83">
        <v>0</v>
      </c>
      <c r="AW63" s="83">
        <v>0</v>
      </c>
      <c r="AX63" s="83">
        <v>940</v>
      </c>
      <c r="AY63" s="83">
        <v>0</v>
      </c>
      <c r="AZ63" s="83">
        <v>0</v>
      </c>
      <c r="BA63" s="83">
        <v>940</v>
      </c>
      <c r="BB63" s="83">
        <v>940</v>
      </c>
      <c r="BC63" s="83">
        <v>940</v>
      </c>
      <c r="BD63" s="83">
        <v>940</v>
      </c>
      <c r="BE63" s="5">
        <f t="shared" si="0"/>
        <v>20900</v>
      </c>
      <c r="BF63" s="5"/>
      <c r="BG63" s="5">
        <f t="shared" si="1"/>
        <v>20900</v>
      </c>
      <c r="BH63" s="66">
        <f>BE63-'TB 17.05.24'!BD51</f>
        <v>5175</v>
      </c>
      <c r="BO63" t="str">
        <f>VLOOKUP(A63,[2]Sheet1!$A$8:$A$102,1,0)</f>
        <v>420111-214</v>
      </c>
    </row>
    <row r="64" spans="1:67" ht="15" hidden="1" customHeight="1" x14ac:dyDescent="0.35">
      <c r="A64" s="3" t="s">
        <v>126</v>
      </c>
      <c r="B64" s="4" t="s">
        <v>127</v>
      </c>
      <c r="C64" s="4" t="s">
        <v>314</v>
      </c>
      <c r="D64" s="4" t="s">
        <v>291</v>
      </c>
      <c r="E64" s="83">
        <v>0</v>
      </c>
      <c r="F64" s="83">
        <v>0</v>
      </c>
      <c r="G64" s="83">
        <v>0</v>
      </c>
      <c r="H64" s="83">
        <v>0</v>
      </c>
      <c r="I64" s="83">
        <v>0</v>
      </c>
      <c r="J64" s="83">
        <v>0</v>
      </c>
      <c r="K64" s="83">
        <v>0</v>
      </c>
      <c r="L64" s="83">
        <v>0</v>
      </c>
      <c r="M64" s="83">
        <v>0</v>
      </c>
      <c r="N64" s="83">
        <v>0</v>
      </c>
      <c r="O64" s="83">
        <v>0</v>
      </c>
      <c r="P64" s="83">
        <v>0</v>
      </c>
      <c r="Q64" s="83">
        <v>0</v>
      </c>
      <c r="R64" s="83">
        <v>0</v>
      </c>
      <c r="S64" s="83">
        <v>0</v>
      </c>
      <c r="T64" s="83">
        <v>0</v>
      </c>
      <c r="U64" s="83">
        <v>0</v>
      </c>
      <c r="V64" s="83">
        <v>0</v>
      </c>
      <c r="W64" s="83">
        <v>0</v>
      </c>
      <c r="X64" s="83">
        <v>0</v>
      </c>
      <c r="Y64" s="83">
        <v>0</v>
      </c>
      <c r="Z64" s="83">
        <v>0</v>
      </c>
      <c r="AA64" s="83">
        <v>0</v>
      </c>
      <c r="AB64" s="83">
        <v>0</v>
      </c>
      <c r="AC64" s="83">
        <v>0</v>
      </c>
      <c r="AD64" s="83">
        <v>0</v>
      </c>
      <c r="AE64" s="83">
        <v>0</v>
      </c>
      <c r="AF64" s="83">
        <v>0</v>
      </c>
      <c r="AG64" s="83">
        <v>0</v>
      </c>
      <c r="AH64" s="83">
        <v>0</v>
      </c>
      <c r="AI64" s="83">
        <v>0</v>
      </c>
      <c r="AJ64" s="83">
        <v>0</v>
      </c>
      <c r="AK64" s="83">
        <v>0</v>
      </c>
      <c r="AL64" s="83">
        <v>0</v>
      </c>
      <c r="AM64" s="83">
        <v>0</v>
      </c>
      <c r="AN64" s="83">
        <v>0</v>
      </c>
      <c r="AO64" s="83">
        <v>0</v>
      </c>
      <c r="AP64" s="83">
        <v>0</v>
      </c>
      <c r="AQ64" s="83">
        <v>0</v>
      </c>
      <c r="AR64" s="83">
        <v>0</v>
      </c>
      <c r="AS64" s="83">
        <v>0</v>
      </c>
      <c r="AT64" s="83">
        <v>0</v>
      </c>
      <c r="AU64" s="83">
        <v>0</v>
      </c>
      <c r="AV64" s="83">
        <v>0</v>
      </c>
      <c r="AW64" s="83">
        <v>0</v>
      </c>
      <c r="AX64" s="83">
        <v>0</v>
      </c>
      <c r="AY64" s="83">
        <v>0</v>
      </c>
      <c r="AZ64" s="83">
        <v>0</v>
      </c>
      <c r="BA64" s="83">
        <v>0</v>
      </c>
      <c r="BB64" s="83">
        <v>0</v>
      </c>
      <c r="BC64" s="83">
        <v>0</v>
      </c>
      <c r="BD64" s="83">
        <v>0</v>
      </c>
      <c r="BE64" s="5">
        <f t="shared" si="0"/>
        <v>0</v>
      </c>
      <c r="BF64" s="5"/>
      <c r="BG64" s="5">
        <f t="shared" si="1"/>
        <v>0</v>
      </c>
      <c r="BH64" s="66">
        <f>BE64-'TB 17.05.24'!BD52</f>
        <v>-21600</v>
      </c>
      <c r="BO64" s="79" t="e">
        <f>VLOOKUP(A64,[2]Sheet1!$A$8:$A$102,1,0)</f>
        <v>#N/A</v>
      </c>
    </row>
    <row r="65" spans="1:67" ht="15" hidden="1" customHeight="1" x14ac:dyDescent="0.35">
      <c r="A65" s="3" t="s">
        <v>128</v>
      </c>
      <c r="B65" s="4" t="s">
        <v>129</v>
      </c>
      <c r="C65" s="4" t="s">
        <v>314</v>
      </c>
      <c r="D65" s="4" t="s">
        <v>322</v>
      </c>
      <c r="E65" s="83">
        <v>2114</v>
      </c>
      <c r="F65" s="83">
        <v>9210</v>
      </c>
      <c r="G65" s="83">
        <v>0</v>
      </c>
      <c r="H65" s="83">
        <v>4048</v>
      </c>
      <c r="I65" s="83">
        <v>2194</v>
      </c>
      <c r="J65" s="83">
        <f>4818+(43763/4)</f>
        <v>15758.75</v>
      </c>
      <c r="K65" s="83">
        <f>120+(43763/4)</f>
        <v>11060.75</v>
      </c>
      <c r="L65" s="83">
        <f>(43763/4)*0</f>
        <v>0</v>
      </c>
      <c r="M65" s="83">
        <f>7000+(43763/4)</f>
        <v>17940.75</v>
      </c>
      <c r="N65" s="83">
        <f>92+(43763/4)</f>
        <v>11032.75</v>
      </c>
      <c r="O65" s="83">
        <v>15972</v>
      </c>
      <c r="P65" s="83">
        <v>0</v>
      </c>
      <c r="Q65" s="83">
        <v>0</v>
      </c>
      <c r="R65" s="83">
        <f>6960+192</f>
        <v>7152</v>
      </c>
      <c r="S65" s="83">
        <v>4428</v>
      </c>
      <c r="T65" s="83">
        <f>192*0</f>
        <v>0</v>
      </c>
      <c r="U65" s="83">
        <v>12530</v>
      </c>
      <c r="V65" s="83">
        <f>(13230/3)*0</f>
        <v>0</v>
      </c>
      <c r="W65" s="83">
        <f>0+(13230/3)</f>
        <v>4410</v>
      </c>
      <c r="X65" s="83">
        <f>0+(13230/3)</f>
        <v>4410</v>
      </c>
      <c r="Y65" s="83">
        <f>200+(13230/3)</f>
        <v>4610</v>
      </c>
      <c r="Z65" s="83">
        <f>4004+(68/8)</f>
        <v>4012.5</v>
      </c>
      <c r="AA65" s="83">
        <f>5051+(68/8)</f>
        <v>5059.5</v>
      </c>
      <c r="AB65" s="83">
        <f>(68/8)*0</f>
        <v>0</v>
      </c>
      <c r="AC65" s="83">
        <f>2524+(68/8)</f>
        <v>2532.5</v>
      </c>
      <c r="AD65" s="83">
        <f>14888+(68/8)</f>
        <v>14896.5</v>
      </c>
      <c r="AE65" s="83">
        <f>4085+(68/8)</f>
        <v>4093.5</v>
      </c>
      <c r="AF65" s="83">
        <f>5672+(68/8)</f>
        <v>5680.5</v>
      </c>
      <c r="AG65" s="83">
        <f>6179+(68/8)</f>
        <v>6187.5</v>
      </c>
      <c r="AH65" s="83">
        <f>7583+(68/8)</f>
        <v>7591.5</v>
      </c>
      <c r="AI65" s="83">
        <f>3000+(5138/7)</f>
        <v>3734</v>
      </c>
      <c r="AJ65" s="83">
        <f>739+(5138/7)</f>
        <v>1473</v>
      </c>
      <c r="AK65" s="83">
        <v>0</v>
      </c>
      <c r="AL65" s="83">
        <v>0</v>
      </c>
      <c r="AM65" s="83">
        <f>(5138/7)*0</f>
        <v>0</v>
      </c>
      <c r="AN65" s="83">
        <f>3050+(5138/7)</f>
        <v>3784</v>
      </c>
      <c r="AO65" s="83">
        <f>1760+(5138/7)</f>
        <v>2494</v>
      </c>
      <c r="AP65" s="83">
        <f>350+(5138/7)</f>
        <v>1084</v>
      </c>
      <c r="AQ65" s="83">
        <f>340+(5138/7)</f>
        <v>1074</v>
      </c>
      <c r="AR65" s="83">
        <f>500+(5138/7)</f>
        <v>1234</v>
      </c>
      <c r="AS65" s="83">
        <v>15084</v>
      </c>
      <c r="AT65" s="83">
        <v>12716</v>
      </c>
      <c r="AU65" s="83">
        <v>0</v>
      </c>
      <c r="AV65" s="83">
        <v>18824</v>
      </c>
      <c r="AW65" s="83">
        <v>18824</v>
      </c>
      <c r="AX65" s="83">
        <v>9032</v>
      </c>
      <c r="AY65" s="83">
        <v>0</v>
      </c>
      <c r="AZ65" s="83">
        <v>0</v>
      </c>
      <c r="BA65" s="83">
        <v>17834</v>
      </c>
      <c r="BB65" s="83">
        <v>12432</v>
      </c>
      <c r="BC65" s="83">
        <v>9804</v>
      </c>
      <c r="BD65" s="83">
        <v>5630</v>
      </c>
      <c r="BE65" s="5">
        <f t="shared" si="0"/>
        <v>311982</v>
      </c>
      <c r="BF65" s="5"/>
      <c r="BG65" s="5">
        <f t="shared" si="1"/>
        <v>311982</v>
      </c>
      <c r="BH65" s="66">
        <f>BE65-'TB 17.05.24'!BD53</f>
        <v>-474277</v>
      </c>
      <c r="BO65" t="str">
        <f>VLOOKUP(A65,[2]Sheet1!$A$8:$A$102,1,0)</f>
        <v>420113-004</v>
      </c>
    </row>
    <row r="66" spans="1:67" ht="15" hidden="1" customHeight="1" x14ac:dyDescent="0.35">
      <c r="A66" s="3" t="s">
        <v>130</v>
      </c>
      <c r="B66" s="4" t="s">
        <v>131</v>
      </c>
      <c r="C66" s="4" t="s">
        <v>314</v>
      </c>
      <c r="D66" s="4" t="s">
        <v>322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  <c r="K66" s="83">
        <v>210</v>
      </c>
      <c r="L66" s="83">
        <v>0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1857</v>
      </c>
      <c r="S66" s="83">
        <v>450</v>
      </c>
      <c r="T66" s="83">
        <v>0</v>
      </c>
      <c r="U66" s="83">
        <v>2654</v>
      </c>
      <c r="V66" s="83">
        <v>0</v>
      </c>
      <c r="W66" s="83">
        <v>0</v>
      </c>
      <c r="X66" s="83">
        <v>0</v>
      </c>
      <c r="Y66" s="83">
        <v>0</v>
      </c>
      <c r="Z66" s="83">
        <v>0</v>
      </c>
      <c r="AA66" s="83">
        <v>300</v>
      </c>
      <c r="AB66" s="83">
        <v>0</v>
      </c>
      <c r="AC66" s="83">
        <v>350</v>
      </c>
      <c r="AD66" s="83">
        <v>300</v>
      </c>
      <c r="AE66" s="83">
        <v>300</v>
      </c>
      <c r="AF66" s="83">
        <v>350</v>
      </c>
      <c r="AG66" s="83">
        <v>400</v>
      </c>
      <c r="AH66" s="83">
        <v>300</v>
      </c>
      <c r="AI66" s="83">
        <v>0</v>
      </c>
      <c r="AJ66" s="83">
        <v>0</v>
      </c>
      <c r="AK66" s="83">
        <v>0</v>
      </c>
      <c r="AL66" s="83">
        <v>0</v>
      </c>
      <c r="AM66" s="83">
        <v>0</v>
      </c>
      <c r="AN66" s="83">
        <v>0</v>
      </c>
      <c r="AO66" s="83">
        <v>350</v>
      </c>
      <c r="AP66" s="83">
        <v>170</v>
      </c>
      <c r="AQ66" s="83">
        <v>0</v>
      </c>
      <c r="AR66" s="83">
        <v>0</v>
      </c>
      <c r="AS66" s="83">
        <v>1045</v>
      </c>
      <c r="AT66" s="83">
        <v>60</v>
      </c>
      <c r="AU66" s="83">
        <v>0</v>
      </c>
      <c r="AV66" s="83">
        <v>96</v>
      </c>
      <c r="AW66" s="83">
        <v>550</v>
      </c>
      <c r="AX66" s="83">
        <v>1016</v>
      </c>
      <c r="AY66" s="83">
        <v>0</v>
      </c>
      <c r="AZ66" s="83">
        <v>0</v>
      </c>
      <c r="BA66" s="83">
        <v>230</v>
      </c>
      <c r="BB66" s="83">
        <v>230</v>
      </c>
      <c r="BC66" s="83">
        <v>2170</v>
      </c>
      <c r="BD66" s="83">
        <v>230</v>
      </c>
      <c r="BE66" s="5">
        <f t="shared" si="0"/>
        <v>13618</v>
      </c>
      <c r="BF66" s="5"/>
      <c r="BG66" s="5">
        <f t="shared" si="1"/>
        <v>13618</v>
      </c>
      <c r="BH66" s="66">
        <f>BE66-'TB 17.05.24'!BD54</f>
        <v>-16797</v>
      </c>
      <c r="BO66" t="str">
        <f>VLOOKUP(A66,[2]Sheet1!$A$8:$A$102,1,0)</f>
        <v>420113-008</v>
      </c>
    </row>
    <row r="67" spans="1:67" s="79" customFormat="1" ht="15" hidden="1" customHeight="1" x14ac:dyDescent="0.35">
      <c r="A67" s="315" t="s">
        <v>973</v>
      </c>
      <c r="B67" s="325" t="s">
        <v>974</v>
      </c>
      <c r="C67" s="325" t="s">
        <v>314</v>
      </c>
      <c r="D67" s="325" t="s">
        <v>299</v>
      </c>
      <c r="E67" s="346">
        <v>1622</v>
      </c>
      <c r="F67" s="346">
        <v>13990.64</v>
      </c>
      <c r="G67" s="346">
        <v>0</v>
      </c>
      <c r="H67" s="346">
        <v>0</v>
      </c>
      <c r="I67" s="346">
        <v>5493.95</v>
      </c>
      <c r="J67" s="346">
        <v>22696.6</v>
      </c>
      <c r="K67" s="346">
        <v>42937.329999999987</v>
      </c>
      <c r="L67" s="346">
        <v>0</v>
      </c>
      <c r="M67" s="346">
        <v>2934.5</v>
      </c>
      <c r="N67" s="346">
        <v>22696.6</v>
      </c>
      <c r="O67" s="346">
        <f>882031*0</f>
        <v>0</v>
      </c>
      <c r="P67" s="346">
        <v>0</v>
      </c>
      <c r="Q67" s="346">
        <v>0</v>
      </c>
      <c r="R67" s="346">
        <v>7361.63</v>
      </c>
      <c r="S67" s="346">
        <v>24791.159999999993</v>
      </c>
      <c r="T67" s="346">
        <v>0</v>
      </c>
      <c r="U67" s="346">
        <v>5715.92</v>
      </c>
      <c r="V67" s="346">
        <v>0</v>
      </c>
      <c r="W67" s="346">
        <v>45655.46</v>
      </c>
      <c r="X67" s="346">
        <v>30432.639999999992</v>
      </c>
      <c r="Y67" s="346">
        <v>31945.549999999992</v>
      </c>
      <c r="Z67" s="346">
        <v>29924.349999999991</v>
      </c>
      <c r="AA67" s="346">
        <v>117512.15</v>
      </c>
      <c r="AB67" s="346">
        <v>0</v>
      </c>
      <c r="AC67" s="346">
        <v>56939.600000000028</v>
      </c>
      <c r="AD67" s="346">
        <v>29941.399999999994</v>
      </c>
      <c r="AE67" s="346">
        <v>11.8</v>
      </c>
      <c r="AF67" s="346">
        <v>35850.58</v>
      </c>
      <c r="AG67" s="346">
        <v>201491.11</v>
      </c>
      <c r="AH67" s="346">
        <v>36248.74</v>
      </c>
      <c r="AI67" s="346">
        <v>0</v>
      </c>
      <c r="AJ67" s="346">
        <v>0</v>
      </c>
      <c r="AK67" s="346">
        <v>0</v>
      </c>
      <c r="AL67" s="346">
        <v>0</v>
      </c>
      <c r="AM67" s="346">
        <v>0</v>
      </c>
      <c r="AN67" s="346">
        <v>0</v>
      </c>
      <c r="AO67" s="346">
        <v>0</v>
      </c>
      <c r="AP67" s="346">
        <v>0</v>
      </c>
      <c r="AQ67" s="346">
        <v>0</v>
      </c>
      <c r="AR67" s="346">
        <v>0</v>
      </c>
      <c r="AS67" s="346">
        <v>22752.6</v>
      </c>
      <c r="AT67" s="346">
        <v>44676.999999999993</v>
      </c>
      <c r="AU67" s="346">
        <v>0</v>
      </c>
      <c r="AV67" s="346">
        <v>24777.679999999993</v>
      </c>
      <c r="AW67" s="346">
        <v>23630.499999999996</v>
      </c>
      <c r="AX67" s="346">
        <v>0</v>
      </c>
      <c r="AY67" s="346">
        <v>0</v>
      </c>
      <c r="AZ67" s="346">
        <v>0</v>
      </c>
      <c r="BA67" s="346">
        <v>0</v>
      </c>
      <c r="BB67" s="346">
        <v>0</v>
      </c>
      <c r="BC67" s="346">
        <v>0</v>
      </c>
      <c r="BD67" s="346">
        <v>0</v>
      </c>
      <c r="BE67" s="346">
        <f t="shared" si="0"/>
        <v>882031.49</v>
      </c>
      <c r="BF67" s="346"/>
      <c r="BG67" s="346">
        <f t="shared" si="1"/>
        <v>882031.49</v>
      </c>
      <c r="BH67" s="522"/>
      <c r="BO67" s="79" t="e">
        <f>VLOOKUP(A67,[2]Sheet1!$A$8:$A$102,1,0)</f>
        <v>#N/A</v>
      </c>
    </row>
    <row r="68" spans="1:67" ht="15" hidden="1" customHeight="1" x14ac:dyDescent="0.35">
      <c r="A68" s="3" t="s">
        <v>132</v>
      </c>
      <c r="B68" s="4" t="s">
        <v>133</v>
      </c>
      <c r="C68" s="4" t="s">
        <v>314</v>
      </c>
      <c r="D68" s="4" t="s">
        <v>320</v>
      </c>
      <c r="E68" s="83">
        <v>824</v>
      </c>
      <c r="F68" s="83">
        <v>7590</v>
      </c>
      <c r="G68" s="83">
        <v>0</v>
      </c>
      <c r="H68" s="83">
        <v>16643</v>
      </c>
      <c r="I68" s="83">
        <v>384</v>
      </c>
      <c r="J68" s="83">
        <f>439+(15441/4)</f>
        <v>4299.25</v>
      </c>
      <c r="K68" s="83">
        <f>0+(15441/4)</f>
        <v>3860.25</v>
      </c>
      <c r="L68" s="83">
        <f>(15441/4)*0</f>
        <v>0</v>
      </c>
      <c r="M68" s="83">
        <f>600+(15441/4)</f>
        <v>4460.25</v>
      </c>
      <c r="N68" s="83">
        <f>2442+(15441/4)</f>
        <v>6302.25</v>
      </c>
      <c r="O68" s="83">
        <v>0</v>
      </c>
      <c r="P68" s="83">
        <v>0</v>
      </c>
      <c r="Q68" s="83">
        <v>0</v>
      </c>
      <c r="R68" s="83">
        <v>8825</v>
      </c>
      <c r="S68" s="83">
        <v>15504</v>
      </c>
      <c r="T68" s="83">
        <v>0</v>
      </c>
      <c r="U68" s="83">
        <v>70304</v>
      </c>
      <c r="V68" s="83">
        <f>(42747/3)*0</f>
        <v>0</v>
      </c>
      <c r="W68" s="83">
        <f>0+(42747/3)</f>
        <v>14249</v>
      </c>
      <c r="X68" s="83">
        <f>2350+(42747/3)</f>
        <v>16599</v>
      </c>
      <c r="Y68" s="83">
        <f>1674+(42747/3)</f>
        <v>15923</v>
      </c>
      <c r="Z68" s="83">
        <f>5253+(6599/8)</f>
        <v>6077.875</v>
      </c>
      <c r="AA68" s="83">
        <f>31060+(6599/8)</f>
        <v>31884.875</v>
      </c>
      <c r="AB68" s="83">
        <f>(6599/8)*0</f>
        <v>0</v>
      </c>
      <c r="AC68" s="83">
        <f>15175+(6599/8)</f>
        <v>15999.875</v>
      </c>
      <c r="AD68" s="83">
        <f>11045+(6599/8)</f>
        <v>11869.875</v>
      </c>
      <c r="AE68" s="83">
        <f>5018+(6599/8)</f>
        <v>5842.875</v>
      </c>
      <c r="AF68" s="83">
        <f>7729+(6599/8)</f>
        <v>8553.875</v>
      </c>
      <c r="AG68" s="83">
        <f>34894+(6599/8)</f>
        <v>35718.875</v>
      </c>
      <c r="AH68" s="83">
        <f>26018+(6599/8)</f>
        <v>26842.875</v>
      </c>
      <c r="AI68" s="83">
        <f>41922+(65287/7)</f>
        <v>51248.71428571429</v>
      </c>
      <c r="AJ68" s="83">
        <f>38765+(65287/7)</f>
        <v>48091.71428571429</v>
      </c>
      <c r="AK68" s="83">
        <v>0</v>
      </c>
      <c r="AL68" s="83">
        <v>0</v>
      </c>
      <c r="AM68" s="83">
        <f>(65287/7)*0</f>
        <v>0</v>
      </c>
      <c r="AN68" s="83">
        <f>11147+(65287/7)</f>
        <v>20473.714285714286</v>
      </c>
      <c r="AO68" s="83">
        <f>14528+(65287/7)</f>
        <v>23854.714285714286</v>
      </c>
      <c r="AP68" s="83">
        <f>21615+(65287/7)</f>
        <v>30941.714285714286</v>
      </c>
      <c r="AQ68" s="83">
        <f>0+(65287/7)</f>
        <v>9326.7142857142862</v>
      </c>
      <c r="AR68" s="83">
        <f>1756+(65287/7)</f>
        <v>11082.714285714286</v>
      </c>
      <c r="AS68" s="83">
        <v>2210</v>
      </c>
      <c r="AT68" s="83">
        <v>2507</v>
      </c>
      <c r="AU68" s="83">
        <v>0</v>
      </c>
      <c r="AV68" s="83">
        <v>2553</v>
      </c>
      <c r="AW68" s="83">
        <v>13552</v>
      </c>
      <c r="AX68" s="83">
        <v>4292</v>
      </c>
      <c r="AY68" s="83">
        <v>0</v>
      </c>
      <c r="AZ68" s="83">
        <v>0</v>
      </c>
      <c r="BA68" s="83">
        <v>4774</v>
      </c>
      <c r="BB68" s="83">
        <v>3963</v>
      </c>
      <c r="BC68" s="83">
        <v>16322</v>
      </c>
      <c r="BD68" s="83">
        <v>2602</v>
      </c>
      <c r="BE68" s="5">
        <f t="shared" si="0"/>
        <v>576353</v>
      </c>
      <c r="BF68" s="5"/>
      <c r="BG68" s="5">
        <f t="shared" si="1"/>
        <v>576353</v>
      </c>
      <c r="BH68" s="66">
        <f>BE68-'TB 17.05.24'!BD55</f>
        <v>-89678</v>
      </c>
      <c r="BO68" t="str">
        <f>VLOOKUP(A68,[2]Sheet1!$A$8:$A$102,1,0)</f>
        <v>420113-009</v>
      </c>
    </row>
    <row r="69" spans="1:67" ht="15" hidden="1" customHeight="1" x14ac:dyDescent="0.35">
      <c r="A69" s="3" t="s">
        <v>134</v>
      </c>
      <c r="B69" s="4" t="s">
        <v>135</v>
      </c>
      <c r="C69" s="4" t="s">
        <v>314</v>
      </c>
      <c r="D69" s="4" t="s">
        <v>322</v>
      </c>
      <c r="E69" s="83">
        <f>0+(7000/4)</f>
        <v>1750</v>
      </c>
      <c r="F69" s="83">
        <f>0+(7000/4)</f>
        <v>1750</v>
      </c>
      <c r="G69" s="83">
        <f>(7000/4)*0</f>
        <v>0</v>
      </c>
      <c r="H69" s="83">
        <f>0+(7000/4)</f>
        <v>1750</v>
      </c>
      <c r="I69" s="83">
        <f>0+(7000/4)</f>
        <v>1750</v>
      </c>
      <c r="J69" s="83">
        <v>3369</v>
      </c>
      <c r="K69" s="83">
        <v>0</v>
      </c>
      <c r="L69" s="83">
        <v>0</v>
      </c>
      <c r="M69" s="83">
        <v>0</v>
      </c>
      <c r="N69" s="83">
        <v>0</v>
      </c>
      <c r="O69" s="83">
        <v>0</v>
      </c>
      <c r="P69" s="83">
        <v>0</v>
      </c>
      <c r="Q69" s="83">
        <v>0</v>
      </c>
      <c r="R69" s="83">
        <v>0</v>
      </c>
      <c r="S69" s="83">
        <v>0</v>
      </c>
      <c r="T69" s="83">
        <v>0</v>
      </c>
      <c r="U69" s="83">
        <v>0</v>
      </c>
      <c r="V69" s="83">
        <v>0</v>
      </c>
      <c r="W69" s="83">
        <v>0</v>
      </c>
      <c r="X69" s="83">
        <v>0</v>
      </c>
      <c r="Y69" s="83">
        <v>0</v>
      </c>
      <c r="Z69" s="83">
        <v>0</v>
      </c>
      <c r="AA69" s="83">
        <v>0</v>
      </c>
      <c r="AB69" s="83">
        <v>0</v>
      </c>
      <c r="AC69" s="83">
        <v>0</v>
      </c>
      <c r="AD69" s="83">
        <v>2920</v>
      </c>
      <c r="AE69" s="83">
        <v>0</v>
      </c>
      <c r="AF69" s="83">
        <v>0</v>
      </c>
      <c r="AG69" s="83">
        <v>0</v>
      </c>
      <c r="AH69" s="83">
        <v>0</v>
      </c>
      <c r="AI69" s="83">
        <v>0</v>
      </c>
      <c r="AJ69" s="83">
        <v>0</v>
      </c>
      <c r="AK69" s="83">
        <v>0</v>
      </c>
      <c r="AL69" s="83">
        <v>0</v>
      </c>
      <c r="AM69" s="83">
        <v>0</v>
      </c>
      <c r="AN69" s="83">
        <v>1903</v>
      </c>
      <c r="AO69" s="83">
        <v>0</v>
      </c>
      <c r="AP69" s="83">
        <v>0</v>
      </c>
      <c r="AQ69" s="83">
        <v>0</v>
      </c>
      <c r="AR69" s="83">
        <v>0</v>
      </c>
      <c r="AS69" s="83">
        <v>2911</v>
      </c>
      <c r="AT69" s="83">
        <v>0</v>
      </c>
      <c r="AU69" s="83">
        <v>0</v>
      </c>
      <c r="AV69" s="83">
        <v>500</v>
      </c>
      <c r="AW69" s="83">
        <v>1585</v>
      </c>
      <c r="AX69" s="83">
        <v>0</v>
      </c>
      <c r="AY69" s="83">
        <v>0</v>
      </c>
      <c r="AZ69" s="83">
        <v>0</v>
      </c>
      <c r="BA69" s="83">
        <v>1517</v>
      </c>
      <c r="BB69" s="83">
        <v>0</v>
      </c>
      <c r="BC69" s="83">
        <v>854</v>
      </c>
      <c r="BD69" s="83">
        <v>0</v>
      </c>
      <c r="BE69" s="83">
        <f t="shared" si="0"/>
        <v>22559</v>
      </c>
      <c r="BF69" s="5"/>
      <c r="BG69" s="5">
        <f t="shared" si="1"/>
        <v>22559</v>
      </c>
      <c r="BH69" s="66">
        <f>BE69-'TB 17.05.24'!BD56</f>
        <v>10838</v>
      </c>
      <c r="BO69" t="str">
        <f>VLOOKUP(A69,[2]Sheet1!$A$8:$A$102,1,0)</f>
        <v>420113-015</v>
      </c>
    </row>
    <row r="70" spans="1:67" ht="15" hidden="1" customHeight="1" x14ac:dyDescent="0.35">
      <c r="A70" s="3" t="s">
        <v>1083</v>
      </c>
      <c r="B70" s="4" t="s">
        <v>1084</v>
      </c>
      <c r="C70" s="4" t="s">
        <v>314</v>
      </c>
      <c r="D70" s="4" t="s">
        <v>322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  <c r="S70" s="83">
        <v>0</v>
      </c>
      <c r="T70" s="83">
        <v>0</v>
      </c>
      <c r="U70" s="83">
        <v>0</v>
      </c>
      <c r="V70" s="83">
        <v>0</v>
      </c>
      <c r="W70" s="83">
        <v>0</v>
      </c>
      <c r="X70" s="83">
        <v>0</v>
      </c>
      <c r="Y70" s="83">
        <v>0</v>
      </c>
      <c r="Z70" s="83">
        <v>0</v>
      </c>
      <c r="AA70" s="83">
        <v>0</v>
      </c>
      <c r="AB70" s="83">
        <v>0</v>
      </c>
      <c r="AC70" s="83">
        <v>0</v>
      </c>
      <c r="AD70" s="83">
        <v>0</v>
      </c>
      <c r="AE70" s="83">
        <v>0</v>
      </c>
      <c r="AF70" s="83">
        <v>0</v>
      </c>
      <c r="AG70" s="83">
        <v>0</v>
      </c>
      <c r="AH70" s="83">
        <v>0</v>
      </c>
      <c r="AI70" s="83">
        <v>0</v>
      </c>
      <c r="AJ70" s="83">
        <v>0</v>
      </c>
      <c r="AK70" s="83">
        <v>0</v>
      </c>
      <c r="AL70" s="83">
        <v>0</v>
      </c>
      <c r="AM70" s="83">
        <v>0</v>
      </c>
      <c r="AN70" s="83">
        <v>0</v>
      </c>
      <c r="AO70" s="83">
        <v>0</v>
      </c>
      <c r="AP70" s="83">
        <v>0</v>
      </c>
      <c r="AQ70" s="83">
        <v>0</v>
      </c>
      <c r="AR70" s="83">
        <v>0</v>
      </c>
      <c r="AS70" s="83">
        <v>0</v>
      </c>
      <c r="AT70" s="83">
        <v>0</v>
      </c>
      <c r="AU70" s="83">
        <v>0</v>
      </c>
      <c r="AV70" s="83">
        <v>0</v>
      </c>
      <c r="AW70" s="83">
        <v>0</v>
      </c>
      <c r="AX70" s="83">
        <v>0</v>
      </c>
      <c r="AY70" s="83">
        <v>0</v>
      </c>
      <c r="AZ70" s="83">
        <v>0</v>
      </c>
      <c r="BA70" s="83">
        <v>0</v>
      </c>
      <c r="BB70" s="83">
        <v>0</v>
      </c>
      <c r="BC70" s="83">
        <v>0</v>
      </c>
      <c r="BD70" s="83">
        <v>0</v>
      </c>
      <c r="BE70" s="83">
        <f t="shared" si="0"/>
        <v>0</v>
      </c>
      <c r="BF70" s="5"/>
      <c r="BG70" s="5"/>
      <c r="BH70" s="66"/>
      <c r="BO70" s="79" t="e">
        <f>VLOOKUP(A70,[2]Sheet1!$A$8:$A$102,1,0)</f>
        <v>#N/A</v>
      </c>
    </row>
    <row r="71" spans="1:67" ht="15" hidden="1" customHeight="1" x14ac:dyDescent="0.35">
      <c r="A71" s="3" t="s">
        <v>136</v>
      </c>
      <c r="B71" s="4" t="s">
        <v>137</v>
      </c>
      <c r="C71" s="4" t="s">
        <v>314</v>
      </c>
      <c r="D71" s="4" t="s">
        <v>322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  <c r="S71" s="83">
        <v>0</v>
      </c>
      <c r="T71" s="83">
        <v>0</v>
      </c>
      <c r="U71" s="83">
        <v>0</v>
      </c>
      <c r="V71" s="83">
        <v>0</v>
      </c>
      <c r="W71" s="83">
        <v>0</v>
      </c>
      <c r="X71" s="83">
        <v>0</v>
      </c>
      <c r="Y71" s="83">
        <v>0</v>
      </c>
      <c r="Z71" s="83">
        <v>0</v>
      </c>
      <c r="AA71" s="83">
        <v>0</v>
      </c>
      <c r="AB71" s="83">
        <v>0</v>
      </c>
      <c r="AC71" s="83">
        <v>0</v>
      </c>
      <c r="AD71" s="83">
        <v>0</v>
      </c>
      <c r="AE71" s="83">
        <v>0</v>
      </c>
      <c r="AF71" s="83">
        <v>0</v>
      </c>
      <c r="AG71" s="83">
        <v>0</v>
      </c>
      <c r="AH71" s="83">
        <v>0</v>
      </c>
      <c r="AI71" s="83">
        <v>0</v>
      </c>
      <c r="AJ71" s="83">
        <v>0</v>
      </c>
      <c r="AK71" s="83">
        <v>0</v>
      </c>
      <c r="AL71" s="83">
        <v>0</v>
      </c>
      <c r="AM71" s="83">
        <v>0</v>
      </c>
      <c r="AN71" s="83">
        <v>0</v>
      </c>
      <c r="AO71" s="83">
        <v>0</v>
      </c>
      <c r="AP71" s="83">
        <v>0</v>
      </c>
      <c r="AQ71" s="83">
        <v>0</v>
      </c>
      <c r="AR71" s="83">
        <v>0</v>
      </c>
      <c r="AS71" s="83">
        <v>0</v>
      </c>
      <c r="AT71" s="83">
        <v>0</v>
      </c>
      <c r="AU71" s="83">
        <v>0</v>
      </c>
      <c r="AV71" s="83">
        <v>800</v>
      </c>
      <c r="AW71" s="83">
        <v>0</v>
      </c>
      <c r="AX71" s="83">
        <v>0</v>
      </c>
      <c r="AY71" s="83">
        <v>0</v>
      </c>
      <c r="AZ71" s="83">
        <v>0</v>
      </c>
      <c r="BA71" s="83">
        <v>0</v>
      </c>
      <c r="BB71" s="83">
        <v>0</v>
      </c>
      <c r="BC71" s="83">
        <v>0</v>
      </c>
      <c r="BD71" s="83">
        <v>0</v>
      </c>
      <c r="BE71" s="5">
        <f t="shared" si="0"/>
        <v>800</v>
      </c>
      <c r="BF71" s="5"/>
      <c r="BG71" s="5">
        <f t="shared" si="1"/>
        <v>800</v>
      </c>
      <c r="BH71" s="66">
        <f>BE71-'TB 17.05.24'!BD57</f>
        <v>-310</v>
      </c>
      <c r="BO71" t="str">
        <f>VLOOKUP(A71,[2]Sheet1!$A$8:$A$102,1,0)</f>
        <v>420113-035</v>
      </c>
    </row>
    <row r="72" spans="1:67" ht="15" customHeight="1" x14ac:dyDescent="0.35">
      <c r="A72" s="3" t="s">
        <v>1085</v>
      </c>
      <c r="B72" s="4" t="s">
        <v>1086</v>
      </c>
      <c r="C72" s="4" t="s">
        <v>314</v>
      </c>
      <c r="D72" s="4" t="s">
        <v>294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  <c r="S72" s="83">
        <v>0</v>
      </c>
      <c r="T72" s="83">
        <v>0</v>
      </c>
      <c r="U72" s="83">
        <v>0</v>
      </c>
      <c r="V72" s="83">
        <v>0</v>
      </c>
      <c r="W72" s="83">
        <v>0</v>
      </c>
      <c r="X72" s="83">
        <v>0</v>
      </c>
      <c r="Y72" s="83">
        <v>0</v>
      </c>
      <c r="Z72" s="83">
        <v>0</v>
      </c>
      <c r="AA72" s="83">
        <v>0</v>
      </c>
      <c r="AB72" s="83">
        <v>0</v>
      </c>
      <c r="AC72" s="83">
        <v>0</v>
      </c>
      <c r="AD72" s="83">
        <v>0</v>
      </c>
      <c r="AE72" s="83">
        <v>0</v>
      </c>
      <c r="AF72" s="83">
        <v>0</v>
      </c>
      <c r="AG72" s="83">
        <v>0</v>
      </c>
      <c r="AH72" s="83">
        <v>0</v>
      </c>
      <c r="AI72" s="83">
        <v>0</v>
      </c>
      <c r="AJ72" s="83">
        <v>0</v>
      </c>
      <c r="AK72" s="83">
        <v>0</v>
      </c>
      <c r="AL72" s="83">
        <v>0</v>
      </c>
      <c r="AM72" s="83">
        <v>0</v>
      </c>
      <c r="AN72" s="83">
        <v>0</v>
      </c>
      <c r="AO72" s="83">
        <v>0</v>
      </c>
      <c r="AP72" s="83">
        <v>0</v>
      </c>
      <c r="AQ72" s="83">
        <v>0</v>
      </c>
      <c r="AR72" s="83">
        <v>0</v>
      </c>
      <c r="AS72" s="83">
        <v>17037.5</v>
      </c>
      <c r="AT72" s="83">
        <v>17037.5</v>
      </c>
      <c r="AU72" s="83">
        <v>0</v>
      </c>
      <c r="AV72" s="83">
        <v>17037.5</v>
      </c>
      <c r="AW72" s="83">
        <v>17037.5</v>
      </c>
      <c r="AX72" s="83">
        <v>0</v>
      </c>
      <c r="AY72" s="83">
        <v>0</v>
      </c>
      <c r="AZ72" s="83">
        <v>0</v>
      </c>
      <c r="BA72" s="83">
        <v>0</v>
      </c>
      <c r="BB72" s="83">
        <v>0</v>
      </c>
      <c r="BC72" s="83">
        <v>0</v>
      </c>
      <c r="BD72" s="83">
        <v>0</v>
      </c>
      <c r="BE72" s="5">
        <f t="shared" si="0"/>
        <v>68150</v>
      </c>
      <c r="BF72" s="5"/>
      <c r="BG72" s="5"/>
      <c r="BH72" s="66"/>
      <c r="BO72" t="str">
        <f>VLOOKUP(A72,[2]Sheet1!$A$8:$A$102,1,0)</f>
        <v>420202-004</v>
      </c>
    </row>
    <row r="73" spans="1:67" ht="15" customHeight="1" x14ac:dyDescent="0.35">
      <c r="A73" s="3" t="s">
        <v>1087</v>
      </c>
      <c r="B73" s="4" t="s">
        <v>1088</v>
      </c>
      <c r="C73" s="4" t="s">
        <v>314</v>
      </c>
      <c r="D73" s="4" t="s">
        <v>294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  <c r="S73" s="83">
        <v>0</v>
      </c>
      <c r="T73" s="83">
        <v>0</v>
      </c>
      <c r="U73" s="83">
        <v>0</v>
      </c>
      <c r="V73" s="83">
        <v>0</v>
      </c>
      <c r="W73" s="83">
        <v>0</v>
      </c>
      <c r="X73" s="83">
        <v>0</v>
      </c>
      <c r="Y73" s="83">
        <v>0</v>
      </c>
      <c r="Z73" s="83">
        <v>0</v>
      </c>
      <c r="AA73" s="83">
        <v>0</v>
      </c>
      <c r="AB73" s="83">
        <v>0</v>
      </c>
      <c r="AC73" s="83">
        <v>27000</v>
      </c>
      <c r="AD73" s="83">
        <v>0</v>
      </c>
      <c r="AE73" s="83">
        <v>0</v>
      </c>
      <c r="AF73" s="83">
        <v>3096</v>
      </c>
      <c r="AG73" s="83">
        <v>0</v>
      </c>
      <c r="AH73" s="83">
        <v>0</v>
      </c>
      <c r="AI73" s="83">
        <v>0</v>
      </c>
      <c r="AJ73" s="83">
        <v>0</v>
      </c>
      <c r="AK73" s="83">
        <v>0</v>
      </c>
      <c r="AL73" s="83">
        <v>0</v>
      </c>
      <c r="AM73" s="83">
        <v>0</v>
      </c>
      <c r="AN73" s="83">
        <v>0</v>
      </c>
      <c r="AO73" s="83">
        <v>0</v>
      </c>
      <c r="AP73" s="83">
        <v>0</v>
      </c>
      <c r="AQ73" s="83">
        <v>0</v>
      </c>
      <c r="AR73" s="83">
        <v>0</v>
      </c>
      <c r="AS73" s="83">
        <v>0</v>
      </c>
      <c r="AT73" s="83">
        <v>0</v>
      </c>
      <c r="AU73" s="83">
        <v>0</v>
      </c>
      <c r="AV73" s="83">
        <v>0</v>
      </c>
      <c r="AW73" s="83">
        <v>0</v>
      </c>
      <c r="AX73" s="83">
        <v>0</v>
      </c>
      <c r="AY73" s="83">
        <v>0</v>
      </c>
      <c r="AZ73" s="83">
        <v>0</v>
      </c>
      <c r="BA73" s="83">
        <v>0</v>
      </c>
      <c r="BB73" s="83">
        <v>0</v>
      </c>
      <c r="BC73" s="83">
        <v>0</v>
      </c>
      <c r="BD73" s="83">
        <v>0</v>
      </c>
      <c r="BE73" s="5">
        <f t="shared" si="0"/>
        <v>30096</v>
      </c>
      <c r="BF73" s="5"/>
      <c r="BG73" s="5"/>
      <c r="BH73" s="66"/>
      <c r="BO73" t="str">
        <f>VLOOKUP(A73,[2]Sheet1!$A$8:$A$102,1,0)</f>
        <v>420202-012</v>
      </c>
    </row>
    <row r="74" spans="1:67" ht="15" customHeight="1" x14ac:dyDescent="0.35">
      <c r="A74" s="3" t="s">
        <v>1089</v>
      </c>
      <c r="B74" s="4" t="s">
        <v>1090</v>
      </c>
      <c r="C74" s="4" t="s">
        <v>314</v>
      </c>
      <c r="D74" s="4" t="s">
        <v>294</v>
      </c>
      <c r="E74" s="83">
        <v>0</v>
      </c>
      <c r="F74" s="83">
        <v>0</v>
      </c>
      <c r="G74" s="83">
        <v>0</v>
      </c>
      <c r="H74" s="83">
        <v>0</v>
      </c>
      <c r="I74" s="83">
        <v>0</v>
      </c>
      <c r="J74" s="83">
        <v>0</v>
      </c>
      <c r="K74" s="83">
        <v>0</v>
      </c>
      <c r="L74" s="83">
        <v>0</v>
      </c>
      <c r="M74" s="83">
        <v>0</v>
      </c>
      <c r="N74" s="83">
        <v>0</v>
      </c>
      <c r="O74" s="83">
        <v>0</v>
      </c>
      <c r="P74" s="83">
        <v>0</v>
      </c>
      <c r="Q74" s="83">
        <v>0</v>
      </c>
      <c r="R74" s="83">
        <v>0</v>
      </c>
      <c r="S74" s="83">
        <v>0</v>
      </c>
      <c r="T74" s="83">
        <v>0</v>
      </c>
      <c r="U74" s="83">
        <v>0</v>
      </c>
      <c r="V74" s="83">
        <v>0</v>
      </c>
      <c r="W74" s="83">
        <v>0</v>
      </c>
      <c r="X74" s="83">
        <v>0</v>
      </c>
      <c r="Y74" s="83">
        <v>0</v>
      </c>
      <c r="Z74" s="83">
        <v>0</v>
      </c>
      <c r="AA74" s="83">
        <v>0</v>
      </c>
      <c r="AB74" s="83">
        <v>0</v>
      </c>
      <c r="AC74" s="83">
        <v>0</v>
      </c>
      <c r="AD74" s="83">
        <v>0</v>
      </c>
      <c r="AE74" s="83">
        <v>0</v>
      </c>
      <c r="AF74" s="83">
        <v>0</v>
      </c>
      <c r="AG74" s="83">
        <v>0</v>
      </c>
      <c r="AH74" s="83">
        <v>0</v>
      </c>
      <c r="AI74" s="83">
        <v>0</v>
      </c>
      <c r="AJ74" s="83">
        <v>0</v>
      </c>
      <c r="AK74" s="83">
        <v>0</v>
      </c>
      <c r="AL74" s="83">
        <v>0</v>
      </c>
      <c r="AM74" s="83">
        <v>0</v>
      </c>
      <c r="AN74" s="83">
        <v>0</v>
      </c>
      <c r="AO74" s="83">
        <v>0</v>
      </c>
      <c r="AP74" s="83">
        <v>47500</v>
      </c>
      <c r="AQ74" s="83">
        <v>0</v>
      </c>
      <c r="AR74" s="83">
        <v>0</v>
      </c>
      <c r="AS74" s="83">
        <v>0</v>
      </c>
      <c r="AT74" s="83">
        <v>0</v>
      </c>
      <c r="AU74" s="83">
        <v>0</v>
      </c>
      <c r="AV74" s="83">
        <v>0</v>
      </c>
      <c r="AW74" s="83">
        <v>0</v>
      </c>
      <c r="AX74" s="83">
        <v>0</v>
      </c>
      <c r="AY74" s="83">
        <v>0</v>
      </c>
      <c r="AZ74" s="83">
        <v>0</v>
      </c>
      <c r="BA74" s="83">
        <v>0</v>
      </c>
      <c r="BB74" s="83">
        <v>0</v>
      </c>
      <c r="BC74" s="83">
        <v>0</v>
      </c>
      <c r="BD74" s="83">
        <v>0</v>
      </c>
      <c r="BE74" s="5">
        <f t="shared" si="0"/>
        <v>47500</v>
      </c>
      <c r="BF74" s="5"/>
      <c r="BG74" s="5"/>
      <c r="BH74" s="66"/>
      <c r="BO74" t="str">
        <f>VLOOKUP(A74,[2]Sheet1!$A$8:$A$102,1,0)</f>
        <v>420204-003</v>
      </c>
    </row>
    <row r="75" spans="1:67" ht="15" customHeight="1" x14ac:dyDescent="0.35">
      <c r="A75" s="3" t="s">
        <v>138</v>
      </c>
      <c r="B75" s="4" t="s">
        <v>139</v>
      </c>
      <c r="C75" s="4" t="s">
        <v>314</v>
      </c>
      <c r="D75" s="4" t="s">
        <v>294</v>
      </c>
      <c r="E75" s="83">
        <f>20780+(15000/4)</f>
        <v>24530</v>
      </c>
      <c r="F75" s="83">
        <f>27737+(15000/4)</f>
        <v>31487</v>
      </c>
      <c r="G75" s="83">
        <f>(15000/4)*0</f>
        <v>0</v>
      </c>
      <c r="H75" s="83">
        <f>38189+(15000/4)</f>
        <v>41939</v>
      </c>
      <c r="I75" s="83">
        <f>19362+(15000/4)</f>
        <v>23112</v>
      </c>
      <c r="J75" s="83">
        <f>59919+(15000/4)</f>
        <v>63669</v>
      </c>
      <c r="K75" s="83">
        <f>44275+(15000/4)</f>
        <v>48025</v>
      </c>
      <c r="L75" s="83">
        <f>(15000/4)*0</f>
        <v>0</v>
      </c>
      <c r="M75" s="83">
        <f>329798+(15000/4)</f>
        <v>333548</v>
      </c>
      <c r="N75" s="83">
        <f>50093+(15000/4)</f>
        <v>53843</v>
      </c>
      <c r="O75" s="83">
        <f>(750000-500000)</f>
        <v>250000</v>
      </c>
      <c r="P75" s="83">
        <v>0</v>
      </c>
      <c r="Q75" s="83">
        <f>(15000/3)*0</f>
        <v>0</v>
      </c>
      <c r="R75" s="83">
        <f>274+(15000/3)</f>
        <v>5274</v>
      </c>
      <c r="S75" s="83">
        <f>29805+(15000/3)</f>
        <v>34805</v>
      </c>
      <c r="T75" s="83">
        <v>0</v>
      </c>
      <c r="U75" s="83">
        <f>46616+(15000/3)</f>
        <v>51616</v>
      </c>
      <c r="V75" s="83">
        <f>(15000/3)*0</f>
        <v>0</v>
      </c>
      <c r="W75" s="83">
        <f>34764+(15000/3)</f>
        <v>39764</v>
      </c>
      <c r="X75" s="83">
        <f>32527+(15000/3)</f>
        <v>37527</v>
      </c>
      <c r="Y75" s="83">
        <f>28719+(15000/3)</f>
        <v>33719</v>
      </c>
      <c r="Z75" s="83">
        <f>110950+(15000/8)</f>
        <v>112825</v>
      </c>
      <c r="AA75" s="83">
        <f>73890+(15000/8)</f>
        <v>75765</v>
      </c>
      <c r="AB75" s="83">
        <f>(15000/8)*0</f>
        <v>0</v>
      </c>
      <c r="AC75" s="83">
        <f>88115+(15000/8)</f>
        <v>89990</v>
      </c>
      <c r="AD75" s="83">
        <f>139422+(15000/8)</f>
        <v>141297</v>
      </c>
      <c r="AE75" s="83">
        <f>91704+(15000/8)</f>
        <v>93579</v>
      </c>
      <c r="AF75" s="83">
        <f>140391+(15000/8)</f>
        <v>142266</v>
      </c>
      <c r="AG75" s="83">
        <f>74849+(15000/8)</f>
        <v>76724</v>
      </c>
      <c r="AH75" s="83">
        <f>98080+(15000/8)</f>
        <v>99955</v>
      </c>
      <c r="AI75" s="83">
        <f>21839+(15000/7)</f>
        <v>23981.857142857141</v>
      </c>
      <c r="AJ75" s="83">
        <f>125015+(15000/7)</f>
        <v>127157.85714285714</v>
      </c>
      <c r="AK75" s="83">
        <v>0</v>
      </c>
      <c r="AL75" s="83">
        <v>0</v>
      </c>
      <c r="AM75" s="83">
        <f>(15000/7)*0</f>
        <v>0</v>
      </c>
      <c r="AN75" s="83">
        <f>138917+(15000/7)</f>
        <v>141059.85714285713</v>
      </c>
      <c r="AO75" s="83">
        <f>146737+(15000/7)</f>
        <v>148879.85714285713</v>
      </c>
      <c r="AP75" s="83">
        <f>11290+(15000/7)</f>
        <v>13432.857142857143</v>
      </c>
      <c r="AQ75" s="83">
        <f>5710+(15000/7)</f>
        <v>7852.8571428571431</v>
      </c>
      <c r="AR75" s="83">
        <f>198412+(15000/7)</f>
        <v>200554.85714285713</v>
      </c>
      <c r="AS75" s="83">
        <f>86511+(15000/4)</f>
        <v>90261</v>
      </c>
      <c r="AT75" s="83">
        <f>27884+(15000/4)</f>
        <v>31634</v>
      </c>
      <c r="AU75" s="83">
        <f>(15000/4)*0</f>
        <v>0</v>
      </c>
      <c r="AV75" s="83">
        <f>32592+(15000/4)</f>
        <v>36342</v>
      </c>
      <c r="AW75" s="83">
        <f>36871+(15000/4)</f>
        <v>40621</v>
      </c>
      <c r="AX75" s="83">
        <f>13177+(15000/5)</f>
        <v>16177</v>
      </c>
      <c r="AY75" s="83">
        <v>0</v>
      </c>
      <c r="AZ75" s="83">
        <f>(15000/5)*0</f>
        <v>0</v>
      </c>
      <c r="BA75" s="83">
        <f>31422+(15000/5)</f>
        <v>34422</v>
      </c>
      <c r="BB75" s="83">
        <f>9564+(15000/5)</f>
        <v>12564</v>
      </c>
      <c r="BC75" s="83">
        <f>22980+(15000/5)</f>
        <v>25980</v>
      </c>
      <c r="BD75" s="83">
        <f>18231+(15000/5)</f>
        <v>21231</v>
      </c>
      <c r="BE75" s="83">
        <f t="shared" si="0"/>
        <v>2877411.0000000005</v>
      </c>
      <c r="BF75" s="5"/>
      <c r="BG75" s="5">
        <f t="shared" si="1"/>
        <v>2877411.0000000005</v>
      </c>
      <c r="BH75" s="66">
        <f>BE75-'TB 17.05.24'!BD58</f>
        <v>1435161.7300000004</v>
      </c>
      <c r="BO75" t="str">
        <f>VLOOKUP(A75,[2]Sheet1!$A$8:$A$102,1,0)</f>
        <v>420204-006</v>
      </c>
    </row>
    <row r="76" spans="1:67" ht="15" hidden="1" customHeight="1" x14ac:dyDescent="0.35">
      <c r="A76" s="684" t="s">
        <v>140</v>
      </c>
      <c r="B76" s="4" t="s">
        <v>141</v>
      </c>
      <c r="C76" s="4" t="s">
        <v>314</v>
      </c>
      <c r="D76" s="4" t="s">
        <v>268</v>
      </c>
      <c r="E76" s="83">
        <f>'Occupational Cost-Mall Expe May'!Q5</f>
        <v>147330.65820000001</v>
      </c>
      <c r="F76" s="83">
        <f>'Occupational Cost-Mall Expe May'!R5</f>
        <v>222708.3738</v>
      </c>
      <c r="G76" s="83">
        <f>'Occupational Cost-Mall Expe May'!S5</f>
        <v>0</v>
      </c>
      <c r="H76" s="83">
        <f>'Occupational Cost-Mall Expe May'!T5</f>
        <v>342003.01079999999</v>
      </c>
      <c r="I76" s="83">
        <f>'Occupational Cost-Mall Expe May'!U5</f>
        <v>133420.38159999999</v>
      </c>
      <c r="J76" s="83">
        <f>'Occupational Cost-Mall Expe May'!V5</f>
        <v>323825.55920000002</v>
      </c>
      <c r="K76" s="83">
        <f>'Occupational Cost-Mall Expe May'!W5</f>
        <v>431958.17499999999</v>
      </c>
      <c r="L76" s="83">
        <f>'Occupational Cost-Mall Expe May'!X5</f>
        <v>0</v>
      </c>
      <c r="M76" s="83">
        <f>'Occupational Cost-Mall Expe May'!Y5</f>
        <v>520048.7622</v>
      </c>
      <c r="N76" s="83">
        <f>'Occupational Cost-Mall Expe May'!Z5</f>
        <v>390863.88439999998</v>
      </c>
      <c r="O76" s="83">
        <f>'Occupational Cost-Mall Expe May'!AA5</f>
        <v>0</v>
      </c>
      <c r="P76" s="83">
        <f>'Occupational Cost-Mall Expe May'!AB5</f>
        <v>0</v>
      </c>
      <c r="Q76" s="83">
        <f>'Occupational Cost-Mall Expe May'!AC5</f>
        <v>0</v>
      </c>
      <c r="R76" s="83">
        <f>'Occupational Cost-Mall Expe May'!AD5</f>
        <v>465764.84460000001</v>
      </c>
      <c r="S76" s="83">
        <f>'Occupational Cost-Mall Expe May'!AE5</f>
        <v>287481.29959999997</v>
      </c>
      <c r="T76" s="83">
        <f>'Occupational Cost-Mall Expe May'!AF5</f>
        <v>0</v>
      </c>
      <c r="U76" s="83">
        <f>'Occupational Cost-Mall Expe May'!AG5</f>
        <v>435361.40120000002</v>
      </c>
      <c r="V76" s="83">
        <f>'Occupational Cost-Mall Expe May'!AH5</f>
        <v>0</v>
      </c>
      <c r="W76" s="83">
        <f>'Occupational Cost-Mall Expe May'!AI5</f>
        <v>162259.26299999998</v>
      </c>
      <c r="X76" s="83">
        <f>'Occupational Cost-Mall Expe May'!AJ5</f>
        <v>230974.16759999999</v>
      </c>
      <c r="Y76" s="83">
        <f>'Occupational Cost-Mall Expe May'!AK5</f>
        <v>270063.83879999997</v>
      </c>
      <c r="Z76" s="83">
        <f>'Occupational Cost-Mall Expe May'!AL5</f>
        <v>186643.84499999997</v>
      </c>
      <c r="AA76" s="83">
        <f>'Occupational Cost-Mall Expe May'!AM5</f>
        <v>200787.77339999998</v>
      </c>
      <c r="AB76" s="83">
        <f>'Occupational Cost-Mall Expe May'!AN5</f>
        <v>0</v>
      </c>
      <c r="AC76" s="83">
        <f>'Occupational Cost-Mall Expe May'!AO5</f>
        <v>384261.86699999997</v>
      </c>
      <c r="AD76" s="83">
        <f>'Occupational Cost-Mall Expe May'!AP5</f>
        <v>479636.47619999998</v>
      </c>
      <c r="AE76" s="83">
        <f>'Occupational Cost-Mall Expe May'!AQ5</f>
        <v>42584.606999999996</v>
      </c>
      <c r="AF76" s="83">
        <f>'Occupational Cost-Mall Expe May'!AR5</f>
        <v>205755.17219999997</v>
      </c>
      <c r="AG76" s="83">
        <f>'Occupational Cost-Mall Expe May'!AS5</f>
        <v>178126.60499999998</v>
      </c>
      <c r="AH76" s="83">
        <f>'Occupational Cost-Mall Expe May'!AT5</f>
        <v>216568.13759999999</v>
      </c>
      <c r="AI76" s="83">
        <f>'Occupational Cost-Mall Expe May'!AU5</f>
        <v>248609.834</v>
      </c>
      <c r="AJ76" s="83">
        <f>'Occupational Cost-Mall Expe May'!AV5</f>
        <v>511639.53940000001</v>
      </c>
      <c r="AK76" s="83">
        <f>'Occupational Cost-Mall Expe May'!AW5</f>
        <v>0</v>
      </c>
      <c r="AL76" s="83">
        <f>'Occupational Cost-Mall Expe May'!AX5</f>
        <v>0</v>
      </c>
      <c r="AM76" s="83">
        <f>'Occupational Cost-Mall Expe May'!AY5</f>
        <v>0</v>
      </c>
      <c r="AN76" s="83">
        <f>'Occupational Cost-Mall Expe May'!AZ5</f>
        <v>499939.62699999998</v>
      </c>
      <c r="AO76" s="83">
        <f>'Occupational Cost-Mall Expe May'!BA5</f>
        <v>638597.56839999999</v>
      </c>
      <c r="AP76" s="83">
        <f>'Occupational Cost-Mall Expe May'!BB5</f>
        <v>140335.9958</v>
      </c>
      <c r="AQ76" s="83">
        <f>'Occupational Cost-Mall Expe May'!BC5</f>
        <v>44122.264999999999</v>
      </c>
      <c r="AR76" s="83">
        <f>'Occupational Cost-Mall Expe May'!BD5</f>
        <v>773448.34600000002</v>
      </c>
      <c r="AS76" s="83">
        <f>'Occupational Cost-Mall Expe May'!BE5</f>
        <v>291402.6874</v>
      </c>
      <c r="AT76" s="83">
        <f>'Occupational Cost-Mall Expe May'!BF5</f>
        <v>255058.29800000001</v>
      </c>
      <c r="AU76" s="83">
        <f>'Occupational Cost-Mall Expe May'!BG5</f>
        <v>0</v>
      </c>
      <c r="AV76" s="83">
        <f>'Occupational Cost-Mall Expe May'!BH5</f>
        <v>263680.91200000001</v>
      </c>
      <c r="AW76" s="83">
        <f>'Occupational Cost-Mall Expe May'!BI5</f>
        <v>242766.36780000001</v>
      </c>
      <c r="AX76" s="83">
        <f>'Occupational Cost-Mall Expe May'!BJ5</f>
        <v>164886.75719999999</v>
      </c>
      <c r="AY76" s="83">
        <f>'Occupational Cost-Mall Expe May'!BK5</f>
        <v>0</v>
      </c>
      <c r="AZ76" s="83">
        <f>'Occupational Cost-Mall Expe May'!BL5</f>
        <v>0</v>
      </c>
      <c r="BA76" s="83">
        <f>'Occupational Cost-Mall Expe May'!BM5</f>
        <v>481512.05079999997</v>
      </c>
      <c r="BB76" s="83">
        <f>'Occupational Cost-Mall Expe May'!BN5</f>
        <v>167660.84279999998</v>
      </c>
      <c r="BC76" s="83">
        <f>'Occupational Cost-Mall Expe May'!BO5</f>
        <v>650403.52740000002</v>
      </c>
      <c r="BD76" s="83">
        <f>'Occupational Cost-Mall Expe May'!BP5</f>
        <v>82683.508600000001</v>
      </c>
      <c r="BE76" s="5">
        <f t="shared" si="0"/>
        <v>11715176.231000001</v>
      </c>
      <c r="BF76" s="346">
        <v>-5107316</v>
      </c>
      <c r="BG76" s="5">
        <f t="shared" si="1"/>
        <v>6607860.2310000006</v>
      </c>
      <c r="BH76" s="66">
        <f>BE76-'TB 17.05.24'!BD59</f>
        <v>3502046.2310000006</v>
      </c>
      <c r="BI76">
        <v>8240381</v>
      </c>
      <c r="BJ76">
        <v>-5107316</v>
      </c>
      <c r="BK76">
        <v>3133065</v>
      </c>
      <c r="BO76" t="str">
        <f>VLOOKUP(A76,[2]Sheet1!$A$8:$A$102,1,0)</f>
        <v>450001-001</v>
      </c>
    </row>
    <row r="77" spans="1:67" ht="15" hidden="1" customHeight="1" x14ac:dyDescent="0.35">
      <c r="A77" s="684" t="s">
        <v>142</v>
      </c>
      <c r="B77" s="4" t="s">
        <v>143</v>
      </c>
      <c r="C77" s="4" t="s">
        <v>314</v>
      </c>
      <c r="D77" s="4" t="s">
        <v>269</v>
      </c>
      <c r="E77" s="83">
        <f>'Occupational Cost-Mall Expe May'!Q6</f>
        <v>71928</v>
      </c>
      <c r="F77" s="83">
        <f>'Occupational Cost-Mall Expe May'!R6</f>
        <v>92135.593220338982</v>
      </c>
      <c r="G77" s="83">
        <f>'Occupational Cost-Mall Expe May'!S6</f>
        <v>0</v>
      </c>
      <c r="H77" s="83">
        <f>'Occupational Cost-Mall Expe May'!T6</f>
        <v>102071.18644067798</v>
      </c>
      <c r="I77" s="83">
        <f>'Occupational Cost-Mall Expe May'!U6</f>
        <v>43056</v>
      </c>
      <c r="J77" s="83">
        <f>'Occupational Cost-Mall Expe May'!V6</f>
        <v>66000</v>
      </c>
      <c r="K77" s="83">
        <f>'Occupational Cost-Mall Expe May'!W6</f>
        <v>99154</v>
      </c>
      <c r="L77" s="83">
        <f>'Occupational Cost-Mall Expe May'!X6</f>
        <v>0</v>
      </c>
      <c r="M77" s="83">
        <f>'Occupational Cost-Mall Expe May'!Y6</f>
        <v>66000</v>
      </c>
      <c r="N77" s="83">
        <f>'Occupational Cost-Mall Expe May'!Z6</f>
        <v>60390</v>
      </c>
      <c r="O77" s="83">
        <f>'Occupational Cost-Mall Expe May'!AA6</f>
        <v>0</v>
      </c>
      <c r="P77" s="83">
        <f>'Occupational Cost-Mall Expe May'!AB6</f>
        <v>0</v>
      </c>
      <c r="Q77" s="83">
        <f>'Occupational Cost-Mall Expe May'!AC6</f>
        <v>0</v>
      </c>
      <c r="R77" s="83">
        <f>'Occupational Cost-Mall Expe May'!AD6</f>
        <v>69528</v>
      </c>
      <c r="S77" s="83">
        <f>'Occupational Cost-Mall Expe May'!AE6</f>
        <v>266591</v>
      </c>
      <c r="T77" s="83">
        <f>'Occupational Cost-Mall Expe May'!AF6</f>
        <v>0</v>
      </c>
      <c r="U77" s="83">
        <f>'Occupational Cost-Mall Expe May'!AG6</f>
        <v>133106</v>
      </c>
      <c r="V77" s="83">
        <f>'Occupational Cost-Mall Expe May'!AH6</f>
        <v>0</v>
      </c>
      <c r="W77" s="83">
        <f>'Occupational Cost-Mall Expe May'!AI6</f>
        <v>95898</v>
      </c>
      <c r="X77" s="83">
        <f>'Occupational Cost-Mall Expe May'!AJ6</f>
        <v>127930</v>
      </c>
      <c r="Y77" s="83">
        <f>'Occupational Cost-Mall Expe May'!AK6</f>
        <v>99984.669268510261</v>
      </c>
      <c r="Z77" s="83">
        <f>'Occupational Cost-Mall Expe May'!AL6</f>
        <v>40152</v>
      </c>
      <c r="AA77" s="83">
        <f>'Occupational Cost-Mall Expe May'!AM6</f>
        <v>38934</v>
      </c>
      <c r="AB77" s="83">
        <f>'Occupational Cost-Mall Expe May'!AN6</f>
        <v>0</v>
      </c>
      <c r="AC77" s="83">
        <f>'Occupational Cost-Mall Expe May'!AO6</f>
        <v>59698.799999999996</v>
      </c>
      <c r="AD77" s="83">
        <f>'Occupational Cost-Mall Expe May'!AP6</f>
        <v>113778</v>
      </c>
      <c r="AE77" s="83">
        <f>'Occupational Cost-Mall Expe May'!AQ6</f>
        <v>61437.599999999999</v>
      </c>
      <c r="AF77" s="83">
        <f>'Occupational Cost-Mall Expe May'!AR6</f>
        <v>126579.59999999999</v>
      </c>
      <c r="AG77" s="83">
        <f>'Occupational Cost-Mall Expe May'!AS6</f>
        <v>44452.799999999996</v>
      </c>
      <c r="AH77" s="83">
        <f>'Occupational Cost-Mall Expe May'!AT6</f>
        <v>52344</v>
      </c>
      <c r="AI77" s="83">
        <f>'Occupational Cost-Mall Expe May'!AU6</f>
        <v>96910</v>
      </c>
      <c r="AJ77" s="83">
        <f>'Occupational Cost-Mall Expe May'!AV6</f>
        <v>92928</v>
      </c>
      <c r="AK77" s="83">
        <f>'Occupational Cost-Mall Expe May'!AW6</f>
        <v>0</v>
      </c>
      <c r="AL77" s="83">
        <f>'Occupational Cost-Mall Expe May'!AX6</f>
        <v>0</v>
      </c>
      <c r="AM77" s="83">
        <f>'Occupational Cost-Mall Expe May'!AY6</f>
        <v>0</v>
      </c>
      <c r="AN77" s="83">
        <f>'Occupational Cost-Mall Expe May'!AZ6</f>
        <v>136972</v>
      </c>
      <c r="AO77" s="83">
        <f>'Occupational Cost-Mall Expe May'!BA6</f>
        <v>132990</v>
      </c>
      <c r="AP77" s="83">
        <f>'Occupational Cost-Mall Expe May'!BB6</f>
        <v>52910</v>
      </c>
      <c r="AQ77" s="83">
        <f>'Occupational Cost-Mall Expe May'!BC6</f>
        <v>48422</v>
      </c>
      <c r="AR77" s="83">
        <f>'Occupational Cost-Mall Expe May'!BD6</f>
        <v>140404</v>
      </c>
      <c r="AS77" s="83">
        <f>'Occupational Cost-Mall Expe May'!BE6</f>
        <v>134971</v>
      </c>
      <c r="AT77" s="83">
        <f>'Occupational Cost-Mall Expe May'!BF6</f>
        <v>90392</v>
      </c>
      <c r="AU77" s="83">
        <f>'Occupational Cost-Mall Expe May'!BG6</f>
        <v>0</v>
      </c>
      <c r="AV77" s="83">
        <f>'Occupational Cost-Mall Expe May'!BH6</f>
        <v>93643.199999999983</v>
      </c>
      <c r="AW77" s="83">
        <f>'Occupational Cost-Mall Expe May'!BI6</f>
        <v>48056.399999999994</v>
      </c>
      <c r="AX77" s="83">
        <f>'Occupational Cost-Mall Expe May'!BJ6</f>
        <v>48253.201309328972</v>
      </c>
      <c r="AY77" s="83">
        <f>'Occupational Cost-Mall Expe May'!BK6</f>
        <v>0</v>
      </c>
      <c r="AZ77" s="83">
        <f>'Occupational Cost-Mall Expe May'!BL6</f>
        <v>0</v>
      </c>
      <c r="BA77" s="83">
        <f>'Occupational Cost-Mall Expe May'!BM6</f>
        <v>125612.79869067104</v>
      </c>
      <c r="BB77" s="83">
        <f>'Occupational Cost-Mall Expe May'!BN6</f>
        <v>52800</v>
      </c>
      <c r="BC77" s="83">
        <f>'Occupational Cost-Mall Expe May'!BO6</f>
        <v>127147.2670760747</v>
      </c>
      <c r="BD77" s="83">
        <f>'Occupational Cost-Mall Expe May'!BP6</f>
        <v>62338.732923925301</v>
      </c>
      <c r="BE77" s="83">
        <f t="shared" si="0"/>
        <v>3415899.8489295277</v>
      </c>
      <c r="BF77" s="5">
        <v>1839331</v>
      </c>
      <c r="BG77" s="5">
        <f t="shared" si="1"/>
        <v>5255230.8489295281</v>
      </c>
      <c r="BH77" s="66">
        <f>BE77-'TB 17.05.24'!BD60</f>
        <v>-298058.15107047232</v>
      </c>
      <c r="BO77" t="str">
        <f>VLOOKUP(A77,[2]Sheet1!$A$8:$A$102,1,0)</f>
        <v>450001-002</v>
      </c>
    </row>
    <row r="78" spans="1:67" ht="15" hidden="1" customHeight="1" x14ac:dyDescent="0.35">
      <c r="A78" s="684" t="s">
        <v>144</v>
      </c>
      <c r="B78" s="4" t="s">
        <v>145</v>
      </c>
      <c r="C78" s="4" t="s">
        <v>314</v>
      </c>
      <c r="D78" s="4" t="s">
        <v>287</v>
      </c>
      <c r="E78" s="83">
        <f>'Occupational Cost-Mall Expe May'!Q7</f>
        <v>51986.080000000002</v>
      </c>
      <c r="F78" s="83">
        <f>'Occupational Cost-Mall Expe May'!R7</f>
        <v>56433</v>
      </c>
      <c r="G78" s="83">
        <f>'Occupational Cost-Mall Expe May'!S7</f>
        <v>0</v>
      </c>
      <c r="H78" s="83">
        <f>'Occupational Cost-Mall Expe May'!T7</f>
        <v>62519</v>
      </c>
      <c r="I78" s="83">
        <f>'Occupational Cost-Mall Expe May'!U7</f>
        <v>26372</v>
      </c>
      <c r="J78" s="83">
        <f>'Occupational Cost-Mall Expe May'!V7</f>
        <v>42189.72</v>
      </c>
      <c r="K78" s="83">
        <f>'Occupational Cost-Mall Expe May'!W7</f>
        <v>59953.440000000002</v>
      </c>
      <c r="L78" s="83">
        <f>'Occupational Cost-Mall Expe May'!X7</f>
        <v>0</v>
      </c>
      <c r="M78" s="83">
        <f>'Occupational Cost-Mall Expe May'!Y7</f>
        <v>68835.3</v>
      </c>
      <c r="N78" s="83">
        <f>'Occupational Cost-Mall Expe May'!Z7</f>
        <v>51071.58</v>
      </c>
      <c r="O78" s="83">
        <f>'Occupational Cost-Mall Expe May'!AA7</f>
        <v>0</v>
      </c>
      <c r="P78" s="83">
        <f>'Occupational Cost-Mall Expe May'!AB7</f>
        <v>0</v>
      </c>
      <c r="Q78" s="83">
        <f>'Occupational Cost-Mall Expe May'!AC7</f>
        <v>0</v>
      </c>
      <c r="R78" s="83">
        <f>'Occupational Cost-Mall Expe May'!AD7</f>
        <v>58797.04</v>
      </c>
      <c r="S78" s="83">
        <f>'Occupational Cost-Mall Expe May'!AE7</f>
        <v>214711.62</v>
      </c>
      <c r="T78" s="83">
        <f>'Occupational Cost-Mall Expe May'!AF7</f>
        <v>0</v>
      </c>
      <c r="U78" s="83">
        <f>'Occupational Cost-Mall Expe May'!AG7</f>
        <v>107203</v>
      </c>
      <c r="V78" s="83">
        <f>'Occupational Cost-Mall Expe May'!AH7</f>
        <v>0</v>
      </c>
      <c r="W78" s="83">
        <f>'Occupational Cost-Mall Expe May'!AI7</f>
        <v>35473.74420160571</v>
      </c>
      <c r="X78" s="83">
        <f>'Occupational Cost-Mall Expe May'!AJ7</f>
        <v>47324</v>
      </c>
      <c r="Y78" s="83">
        <f>'Occupational Cost-Mall Expe May'!AK7</f>
        <v>37508.255798394297</v>
      </c>
      <c r="Z78" s="83">
        <f>'Occupational Cost-Mall Expe May'!AL7</f>
        <v>30797</v>
      </c>
      <c r="AA78" s="83">
        <f>'Occupational Cost-Mall Expe May'!AM7</f>
        <v>28440</v>
      </c>
      <c r="AB78" s="83">
        <f>'Occupational Cost-Mall Expe May'!AN7</f>
        <v>0</v>
      </c>
      <c r="AC78" s="83">
        <f>'Occupational Cost-Mall Expe May'!AO7</f>
        <v>72840.53944643194</v>
      </c>
      <c r="AD78" s="83">
        <f>'Occupational Cost-Mall Expe May'!AP7</f>
        <v>83112.215213707401</v>
      </c>
      <c r="AE78" s="83">
        <f>'Occupational Cost-Mall Expe May'!AQ7</f>
        <v>44878.755413293162</v>
      </c>
      <c r="AF78" s="83">
        <f>'Occupational Cost-Mall Expe May'!AR7</f>
        <v>92463.489926567505</v>
      </c>
      <c r="AG78" s="83">
        <f>'Occupational Cost-Mall Expe May'!AS7</f>
        <v>32472</v>
      </c>
      <c r="AH78" s="83">
        <f>'Occupational Cost-Mall Expe May'!AT7</f>
        <v>40148</v>
      </c>
      <c r="AI78" s="83">
        <f>'Occupational Cost-Mall Expe May'!AU7</f>
        <v>80127</v>
      </c>
      <c r="AJ78" s="83">
        <f>'Occupational Cost-Mall Expe May'!AV7</f>
        <v>48662</v>
      </c>
      <c r="AK78" s="83">
        <f>'Occupational Cost-Mall Expe May'!AW7</f>
        <v>0</v>
      </c>
      <c r="AL78" s="83">
        <f>'Occupational Cost-Mall Expe May'!AX7</f>
        <v>0</v>
      </c>
      <c r="AM78" s="83">
        <f>'Occupational Cost-Mall Expe May'!AY7</f>
        <v>0</v>
      </c>
      <c r="AN78" s="83">
        <f>'Occupational Cost-Mall Expe May'!AZ7</f>
        <v>0</v>
      </c>
      <c r="AO78" s="83">
        <f>'Occupational Cost-Mall Expe May'!BA7</f>
        <v>109959</v>
      </c>
      <c r="AP78" s="83">
        <f>'Occupational Cost-Mall Expe May'!BB7</f>
        <v>11754</v>
      </c>
      <c r="AQ78" s="83">
        <f>'Occupational Cost-Mall Expe May'!BC7</f>
        <v>0</v>
      </c>
      <c r="AR78" s="83">
        <f>'Occupational Cost-Mall Expe May'!BD7</f>
        <v>116089</v>
      </c>
      <c r="AS78" s="83">
        <f>'Occupational Cost-Mall Expe May'!BE7</f>
        <v>111512</v>
      </c>
      <c r="AT78" s="83">
        <f>'Occupational Cost-Mall Expe May'!BF7</f>
        <v>74681</v>
      </c>
      <c r="AU78" s="83">
        <f>'Occupational Cost-Mall Expe May'!BG7</f>
        <v>0</v>
      </c>
      <c r="AV78" s="83">
        <f>'Occupational Cost-Mall Expe May'!BH7</f>
        <v>77366.55166281345</v>
      </c>
      <c r="AW78" s="83">
        <f>'Occupational Cost-Mall Expe May'!BI7</f>
        <v>39703.448337186557</v>
      </c>
      <c r="AX78" s="83">
        <f>'Occupational Cost-Mall Expe May'!BJ7</f>
        <v>46684.59621229834</v>
      </c>
      <c r="AY78" s="83">
        <f>'Occupational Cost-Mall Expe May'!BK7</f>
        <v>0</v>
      </c>
      <c r="AZ78" s="83">
        <f>'Occupational Cost-Mall Expe May'!BL7</f>
        <v>0</v>
      </c>
      <c r="BA78" s="83">
        <f>'Occupational Cost-Mall Expe May'!BM7</f>
        <v>121529.40378770165</v>
      </c>
      <c r="BB78" s="83">
        <f>'Occupational Cost-Mall Expe May'!BN7</f>
        <v>51084</v>
      </c>
      <c r="BC78" s="83">
        <f>'Occupational Cost-Mall Expe May'!BO7</f>
        <v>123015.17884446673</v>
      </c>
      <c r="BD78" s="83">
        <f>'Occupational Cost-Mall Expe May'!BP7</f>
        <v>60312.821155533282</v>
      </c>
      <c r="BE78" s="83">
        <f t="shared" si="0"/>
        <v>2418009.7800000003</v>
      </c>
      <c r="BF78" s="5">
        <v>-812400</v>
      </c>
      <c r="BG78" s="5">
        <f t="shared" si="1"/>
        <v>1605609.7800000003</v>
      </c>
      <c r="BH78" s="66">
        <f>BE78-'TB 17.05.24'!BD61</f>
        <v>489164.78000000026</v>
      </c>
      <c r="BI78">
        <v>1635907</v>
      </c>
      <c r="BJ78">
        <v>-812400</v>
      </c>
      <c r="BK78">
        <v>823507</v>
      </c>
      <c r="BO78" t="str">
        <f>VLOOKUP(A78,[2]Sheet1!$A$8:$A$102,1,0)</f>
        <v>450001-003</v>
      </c>
    </row>
    <row r="79" spans="1:67" ht="15" hidden="1" customHeight="1" x14ac:dyDescent="0.35">
      <c r="A79" s="684" t="s">
        <v>146</v>
      </c>
      <c r="B79" s="4" t="s">
        <v>147</v>
      </c>
      <c r="C79" s="4" t="s">
        <v>314</v>
      </c>
      <c r="D79" s="4" t="s">
        <v>288</v>
      </c>
      <c r="E79" s="83">
        <f>'Occupational Cost-Mall Expe May'!Q8</f>
        <v>15273.1</v>
      </c>
      <c r="F79" s="83">
        <f>'Occupational Cost-Mall Expe May'!R8</f>
        <v>46797.99</v>
      </c>
      <c r="G79" s="83">
        <f>'Occupational Cost-Mall Expe May'!S8</f>
        <v>0</v>
      </c>
      <c r="H79" s="83">
        <f>'Occupational Cost-Mall Expe May'!T8</f>
        <v>23380.27</v>
      </c>
      <c r="I79" s="83">
        <f>'Occupational Cost-Mall Expe May'!U8</f>
        <v>14208.22</v>
      </c>
      <c r="J79" s="83">
        <f>'Occupational Cost-Mall Expe May'!V8</f>
        <v>19535.162950257291</v>
      </c>
      <c r="K79" s="83">
        <f>'Occupational Cost-Mall Expe May'!W8</f>
        <v>14708</v>
      </c>
      <c r="L79" s="83">
        <f>'Occupational Cost-Mall Expe May'!X8</f>
        <v>0</v>
      </c>
      <c r="M79" s="83">
        <f>'Occupational Cost-Mall Expe May'!Y8</f>
        <v>19535.162950257291</v>
      </c>
      <c r="N79" s="83">
        <f>'Occupational Cost-Mall Expe May'!Z8</f>
        <v>17874.674099485419</v>
      </c>
      <c r="O79" s="83">
        <f>'Occupational Cost-Mall Expe May'!AA8</f>
        <v>0</v>
      </c>
      <c r="P79" s="83">
        <f>'Occupational Cost-Mall Expe May'!AB8</f>
        <v>0</v>
      </c>
      <c r="Q79" s="83">
        <f>'Occupational Cost-Mall Expe May'!AC8</f>
        <v>0</v>
      </c>
      <c r="R79" s="83">
        <f>'Occupational Cost-Mall Expe May'!AD8</f>
        <v>13217.25</v>
      </c>
      <c r="S79" s="83">
        <f>'Occupational Cost-Mall Expe May'!AE8</f>
        <v>48260.25</v>
      </c>
      <c r="T79" s="83">
        <f>'Occupational Cost-Mall Expe May'!AF8</f>
        <v>0</v>
      </c>
      <c r="U79" s="83">
        <f>'Occupational Cost-Mall Expe May'!AG8</f>
        <v>24095.916666666668</v>
      </c>
      <c r="V79" s="83">
        <f>'Occupational Cost-Mall Expe May'!AH8</f>
        <v>0</v>
      </c>
      <c r="W79" s="83">
        <f>'Occupational Cost-Mall Expe May'!AI8</f>
        <v>12227.850468331846</v>
      </c>
      <c r="X79" s="83">
        <f>'Occupational Cost-Mall Expe May'!AJ8</f>
        <v>16056.083333333334</v>
      </c>
      <c r="Y79" s="83">
        <f>'Occupational Cost-Mall Expe May'!AK8</f>
        <v>12929.149531668154</v>
      </c>
      <c r="Z79" s="83">
        <f>'Occupational Cost-Mall Expe May'!AL8</f>
        <v>14699.75</v>
      </c>
      <c r="AA79" s="83">
        <f>'Occupational Cost-Mall Expe May'!AM8</f>
        <v>13570.083333333334</v>
      </c>
      <c r="AB79" s="83">
        <f>'Occupational Cost-Mall Expe May'!AN8</f>
        <v>0</v>
      </c>
      <c r="AC79" s="83">
        <f>'Occupational Cost-Mall Expe May'!AO8</f>
        <v>33967.70623862424</v>
      </c>
      <c r="AD79" s="83">
        <f>'Occupational Cost-Mall Expe May'!AP8</f>
        <v>38757.693623297564</v>
      </c>
      <c r="AE79" s="83">
        <f>'Occupational Cost-Mall Expe May'!AQ8</f>
        <v>20928.296135902427</v>
      </c>
      <c r="AF79" s="83">
        <f>'Occupational Cost-Mall Expe May'!AR8</f>
        <v>43118.470668842449</v>
      </c>
      <c r="AG79" s="83">
        <f>'Occupational Cost-Mall Expe May'!AS8</f>
        <v>15491.916666666666</v>
      </c>
      <c r="AH79" s="83">
        <f>'Occupational Cost-Mall Expe May'!AT8</f>
        <v>19159.583333333332</v>
      </c>
      <c r="AI79" s="83">
        <f>'Occupational Cost-Mall Expe May'!AU8</f>
        <v>0</v>
      </c>
      <c r="AJ79" s="83">
        <f>'Occupational Cost-Mall Expe May'!AV8</f>
        <v>69537</v>
      </c>
      <c r="AK79" s="83">
        <f>'Occupational Cost-Mall Expe May'!AW8</f>
        <v>0</v>
      </c>
      <c r="AL79" s="83">
        <f>'Occupational Cost-Mall Expe May'!AX8</f>
        <v>0</v>
      </c>
      <c r="AM79" s="83">
        <f>'Occupational Cost-Mall Expe May'!AY8</f>
        <v>0</v>
      </c>
      <c r="AN79" s="83">
        <f>'Occupational Cost-Mall Expe May'!AZ8</f>
        <v>0</v>
      </c>
      <c r="AO79" s="83">
        <f>'Occupational Cost-Mall Expe May'!BA8</f>
        <v>0</v>
      </c>
      <c r="AP79" s="83">
        <f>'Occupational Cost-Mall Expe May'!BB8</f>
        <v>54805</v>
      </c>
      <c r="AQ79" s="83">
        <f>'Occupational Cost-Mall Expe May'!BC8</f>
        <v>0</v>
      </c>
      <c r="AR79" s="83">
        <f>'Occupational Cost-Mall Expe May'!BD8</f>
        <v>0</v>
      </c>
      <c r="AS79" s="83">
        <f>'Occupational Cost-Mall Expe May'!BE8</f>
        <v>23099.75</v>
      </c>
      <c r="AT79" s="83">
        <f>'Occupational Cost-Mall Expe May'!BF8</f>
        <v>10174.416666666666</v>
      </c>
      <c r="AU79" s="83">
        <f>'Occupational Cost-Mall Expe May'!BG8</f>
        <v>0</v>
      </c>
      <c r="AV79" s="83">
        <f>'Occupational Cost-Mall Expe May'!BH8</f>
        <v>9675.6101725057797</v>
      </c>
      <c r="AW79" s="83">
        <f>'Occupational Cost-Mall Expe May'!BI8</f>
        <v>4965.3898274942203</v>
      </c>
      <c r="AX79" s="83">
        <f>'Occupational Cost-Mall Expe May'!BJ8</f>
        <v>2536.0780921206456</v>
      </c>
      <c r="AY79" s="83">
        <f>'Occupational Cost-Mall Expe May'!BK8</f>
        <v>0</v>
      </c>
      <c r="AZ79" s="83">
        <f>'Occupational Cost-Mall Expe May'!BL8</f>
        <v>0</v>
      </c>
      <c r="BA79" s="83">
        <f>'Occupational Cost-Mall Expe May'!BM8</f>
        <v>6601.9219078793549</v>
      </c>
      <c r="BB79" s="83">
        <f>'Occupational Cost-Mall Expe May'!BN8</f>
        <v>3730</v>
      </c>
      <c r="BC79" s="83">
        <f>'Occupational Cost-Mall Expe May'!BO8</f>
        <v>7174.4539415966919</v>
      </c>
      <c r="BD79" s="83">
        <f>'Occupational Cost-Mall Expe May'!BP8</f>
        <v>3517.546058403309</v>
      </c>
      <c r="BE79" s="5">
        <f t="shared" si="0"/>
        <v>693609.74666666647</v>
      </c>
      <c r="BF79" s="5"/>
      <c r="BG79" s="5">
        <f t="shared" si="1"/>
        <v>693609.74666666647</v>
      </c>
      <c r="BH79" s="66">
        <f>BE79-'TB 17.05.24'!BD62</f>
        <v>0.74666666646953672</v>
      </c>
      <c r="BO79" t="str">
        <f>VLOOKUP(A79,[2]Sheet1!$A$8:$A$102,1,0)</f>
        <v>450001-004</v>
      </c>
    </row>
    <row r="80" spans="1:67" ht="15" hidden="1" customHeight="1" x14ac:dyDescent="0.35">
      <c r="A80" s="684" t="s">
        <v>148</v>
      </c>
      <c r="B80" s="4" t="s">
        <v>149</v>
      </c>
      <c r="C80" s="4" t="s">
        <v>314</v>
      </c>
      <c r="D80" s="4" t="s">
        <v>287</v>
      </c>
      <c r="E80" s="83">
        <f>'Occupational Cost-Mall Expe May'!Q9</f>
        <v>58089</v>
      </c>
      <c r="F80" s="83">
        <f>'Occupational Cost-Mall Expe May'!R9</f>
        <v>65449</v>
      </c>
      <c r="G80" s="83">
        <f>'Occupational Cost-Mall Expe May'!S9</f>
        <v>0</v>
      </c>
      <c r="H80" s="83">
        <f>'Occupational Cost-Mall Expe May'!T9</f>
        <v>79983</v>
      </c>
      <c r="I80" s="83">
        <f>'Occupational Cost-Mall Expe May'!U9</f>
        <v>40498</v>
      </c>
      <c r="J80" s="83">
        <f>'Occupational Cost-Mall Expe May'!V9</f>
        <v>38761</v>
      </c>
      <c r="K80" s="83">
        <f>'Occupational Cost-Mall Expe May'!W9</f>
        <v>55082</v>
      </c>
      <c r="L80" s="83">
        <f>'Occupational Cost-Mall Expe May'!X9</f>
        <v>0</v>
      </c>
      <c r="M80" s="83">
        <f>'Occupational Cost-Mall Expe May'!Y9</f>
        <v>63243</v>
      </c>
      <c r="N80" s="83">
        <f>'Occupational Cost-Mall Expe May'!Z9</f>
        <v>46922</v>
      </c>
      <c r="O80" s="83">
        <f>'Occupational Cost-Mall Expe May'!AA9</f>
        <v>0</v>
      </c>
      <c r="P80" s="83">
        <f>'Occupational Cost-Mall Expe May'!AB9</f>
        <v>0</v>
      </c>
      <c r="Q80" s="83">
        <f>'Occupational Cost-Mall Expe May'!AC9</f>
        <v>0</v>
      </c>
      <c r="R80" s="83">
        <f>'Occupational Cost-Mall Expe May'!AD9</f>
        <v>145506</v>
      </c>
      <c r="S80" s="83">
        <f>'Occupational Cost-Mall Expe May'!AE9/2</f>
        <v>120309</v>
      </c>
      <c r="T80" s="83">
        <f>'Occupational Cost-Mall Expe May'!AF9</f>
        <v>0</v>
      </c>
      <c r="U80" s="83">
        <f>'Occupational Cost-Mall Expe May'!AG9/2</f>
        <v>140817</v>
      </c>
      <c r="V80" s="83">
        <f>'Occupational Cost-Mall Expe May'!AH9</f>
        <v>0</v>
      </c>
      <c r="W80" s="83">
        <f>'Occupational Cost-Mall Expe May'!AI9</f>
        <v>62905.113960749331</v>
      </c>
      <c r="X80" s="83">
        <f>'Occupational Cost-Mall Expe May'!AJ9</f>
        <v>42551</v>
      </c>
      <c r="Y80" s="83">
        <f>'Occupational Cost-Mall Expe May'!AK9</f>
        <v>66512.886039250676</v>
      </c>
      <c r="Z80" s="83">
        <f>'Occupational Cost-Mall Expe May'!AL9</f>
        <v>113231</v>
      </c>
      <c r="AA80" s="83">
        <f>'Occupational Cost-Mall Expe May'!AM9</f>
        <v>199180</v>
      </c>
      <c r="AB80" s="83">
        <f>'Occupational Cost-Mall Expe May'!AN9</f>
        <v>0</v>
      </c>
      <c r="AC80" s="83">
        <f>'Occupational Cost-Mall Expe May'!AO9</f>
        <v>90680</v>
      </c>
      <c r="AD80" s="83">
        <f>'Occupational Cost-Mall Expe May'!AP9</f>
        <v>172825</v>
      </c>
      <c r="AE80" s="83">
        <f>'Occupational Cost-Mall Expe May'!AQ9</f>
        <v>93323</v>
      </c>
      <c r="AF80" s="83">
        <f>'Occupational Cost-Mall Expe May'!AR9</f>
        <v>192268</v>
      </c>
      <c r="AG80" s="83">
        <f>'Occupational Cost-Mall Expe May'!AS9</f>
        <v>81607</v>
      </c>
      <c r="AH80" s="83">
        <f>'Occupational Cost-Mall Expe May'!AT9</f>
        <v>217387</v>
      </c>
      <c r="AI80" s="83">
        <f>'Occupational Cost-Mall Expe May'!AU9</f>
        <v>0</v>
      </c>
      <c r="AJ80" s="83">
        <f>'Occupational Cost-Mall Expe May'!AV9</f>
        <v>0</v>
      </c>
      <c r="AK80" s="83">
        <f>'Occupational Cost-Mall Expe May'!AW9</f>
        <v>0</v>
      </c>
      <c r="AL80" s="83">
        <f>'Occupational Cost-Mall Expe May'!AX9</f>
        <v>0</v>
      </c>
      <c r="AM80" s="83">
        <f>'Occupational Cost-Mall Expe May'!AY9</f>
        <v>0</v>
      </c>
      <c r="AN80" s="83">
        <f>'Occupational Cost-Mall Expe May'!AZ9</f>
        <v>0</v>
      </c>
      <c r="AO80" s="83">
        <f>'Occupational Cost-Mall Expe May'!BA9</f>
        <v>260662</v>
      </c>
      <c r="AP80" s="83">
        <f>'Occupational Cost-Mall Expe May'!BB9</f>
        <v>3721</v>
      </c>
      <c r="AQ80" s="83">
        <f>'Occupational Cost-Mall Expe May'!BC9</f>
        <v>0</v>
      </c>
      <c r="AR80" s="83">
        <f>'Occupational Cost-Mall Expe May'!BD9</f>
        <v>302125</v>
      </c>
      <c r="AS80" s="83">
        <f>'Occupational Cost-Mall Expe May'!BE9</f>
        <v>195910</v>
      </c>
      <c r="AT80" s="83">
        <f>'Occupational Cost-Mall Expe May'!BF9</f>
        <v>119030</v>
      </c>
      <c r="AU80" s="83">
        <f>'Occupational Cost-Mall Expe May'!BG9</f>
        <v>0</v>
      </c>
      <c r="AV80" s="83">
        <f>'Occupational Cost-Mall Expe May'!BH9</f>
        <v>116390.16894895963</v>
      </c>
      <c r="AW80" s="83">
        <f>'Occupational Cost-Mall Expe May'!BI9</f>
        <v>59729.831051040375</v>
      </c>
      <c r="AX80" s="83">
        <f>'Occupational Cost-Mall Expe May'!BJ9</f>
        <v>4045.2915595043255</v>
      </c>
      <c r="AY80" s="83">
        <f>'Occupational Cost-Mall Expe May'!BK9</f>
        <v>0</v>
      </c>
      <c r="AZ80" s="83">
        <f>'Occupational Cost-Mall Expe May'!BL9</f>
        <v>0</v>
      </c>
      <c r="BA80" s="83">
        <f>'Occupational Cost-Mall Expe May'!BM9</f>
        <v>10530.708440495675</v>
      </c>
      <c r="BB80" s="83">
        <f>'Occupational Cost-Mall Expe May'!BN9</f>
        <v>121995</v>
      </c>
      <c r="BC80" s="83">
        <f>'Occupational Cost-Mall Expe May'!BO9</f>
        <v>145967.12395036971</v>
      </c>
      <c r="BD80" s="83">
        <f>'Occupational Cost-Mall Expe May'!BP9</f>
        <v>71565.876049630286</v>
      </c>
      <c r="BE80" s="5">
        <f t="shared" si="0"/>
        <v>3598801</v>
      </c>
      <c r="BF80" s="346">
        <v>-2321015</v>
      </c>
      <c r="BG80" s="5">
        <f t="shared" si="1"/>
        <v>1277786</v>
      </c>
      <c r="BH80" s="66">
        <f>BE80-'TB 17.05.24'!BD63</f>
        <v>1138016</v>
      </c>
      <c r="BI80">
        <v>2246890</v>
      </c>
      <c r="BJ80">
        <v>-2321015</v>
      </c>
      <c r="BK80">
        <v>-74125</v>
      </c>
      <c r="BO80" t="str">
        <f>VLOOKUP(A80,[2]Sheet1!$A$8:$A$102,1,0)</f>
        <v>450001-005</v>
      </c>
    </row>
    <row r="81" spans="1:67" ht="15" hidden="1" customHeight="1" x14ac:dyDescent="0.35">
      <c r="A81" s="684" t="s">
        <v>546</v>
      </c>
      <c r="B81" s="4" t="s">
        <v>547</v>
      </c>
      <c r="C81" s="4" t="s">
        <v>314</v>
      </c>
      <c r="D81" s="4" t="s">
        <v>287</v>
      </c>
      <c r="E81" s="83">
        <f>'Occupational Cost-Mall Expe May'!Q10</f>
        <v>9620</v>
      </c>
      <c r="F81" s="83">
        <f>'Occupational Cost-Mall Expe May'!R10</f>
        <v>12323</v>
      </c>
      <c r="G81" s="83">
        <f>'Occupational Cost-Mall Expe May'!S10</f>
        <v>0</v>
      </c>
      <c r="H81" s="83">
        <f>'Occupational Cost-Mall Expe May'!T10</f>
        <v>13652</v>
      </c>
      <c r="I81" s="83">
        <f>'Occupational Cost-Mall Expe May'!U10</f>
        <v>5759</v>
      </c>
      <c r="J81" s="83">
        <f>'Occupational Cost-Mall Expe May'!V10</f>
        <v>6295</v>
      </c>
      <c r="K81" s="83">
        <f>'Occupational Cost-Mall Expe May'!W10</f>
        <v>8945</v>
      </c>
      <c r="L81" s="83">
        <f>'Occupational Cost-Mall Expe May'!X10</f>
        <v>0</v>
      </c>
      <c r="M81" s="83">
        <f>'Occupational Cost-Mall Expe May'!Y10</f>
        <v>10270</v>
      </c>
      <c r="N81" s="83">
        <f>'Occupational Cost-Mall Expe May'!Z10</f>
        <v>7620</v>
      </c>
      <c r="O81" s="83">
        <f>'Occupational Cost-Mall Expe May'!AA10</f>
        <v>0</v>
      </c>
      <c r="P81" s="83">
        <f>'Occupational Cost-Mall Expe May'!AB10</f>
        <v>0</v>
      </c>
      <c r="Q81" s="83">
        <f>'Occupational Cost-Mall Expe May'!AC10</f>
        <v>0</v>
      </c>
      <c r="R81" s="83">
        <f>'Occupational Cost-Mall Expe May'!AD10</f>
        <v>9299</v>
      </c>
      <c r="S81" s="83">
        <f>'Occupational Cost-Mall Expe May'!AE10</f>
        <v>33959</v>
      </c>
      <c r="T81" s="83">
        <f>'Occupational Cost-Mall Expe May'!AF10</f>
        <v>0</v>
      </c>
      <c r="U81" s="83">
        <f>'Occupational Cost-Mall Expe May'!AG10</f>
        <v>16955</v>
      </c>
      <c r="V81" s="83">
        <f>'Occupational Cost-Mall Expe May'!AH10</f>
        <v>0</v>
      </c>
      <c r="W81" s="83">
        <f>'Occupational Cost-Mall Expe May'!AI10</f>
        <v>13069</v>
      </c>
      <c r="X81" s="83">
        <f>'Occupational Cost-Mall Expe May'!AJ10</f>
        <v>17237</v>
      </c>
      <c r="Y81" s="83">
        <f>'Occupational Cost-Mall Expe May'!AK10</f>
        <v>13818</v>
      </c>
      <c r="Z81" s="83">
        <f>'Occupational Cost-Mall Expe May'!AL10</f>
        <v>4476</v>
      </c>
      <c r="AA81" s="83">
        <f>'Occupational Cost-Mall Expe May'!AM10</f>
        <v>4133</v>
      </c>
      <c r="AB81" s="83">
        <f>'Occupational Cost-Mall Expe May'!AN10</f>
        <v>0</v>
      </c>
      <c r="AC81" s="83">
        <f>'Occupational Cost-Mall Expe May'!AO10</f>
        <v>7039</v>
      </c>
      <c r="AD81" s="83">
        <f>'Occupational Cost-Mall Expe May'!AP10</f>
        <v>13415</v>
      </c>
      <c r="AE81" s="83">
        <f>'Occupational Cost-Mall Expe May'!AQ10</f>
        <v>7244</v>
      </c>
      <c r="AF81" s="83">
        <f>'Occupational Cost-Mall Expe May'!AR10</f>
        <v>14923</v>
      </c>
      <c r="AG81" s="83">
        <f>'Occupational Cost-Mall Expe May'!AS10</f>
        <v>4719</v>
      </c>
      <c r="AH81" s="83">
        <f>'Occupational Cost-Mall Expe May'!AT10</f>
        <v>5835</v>
      </c>
      <c r="AI81" s="83">
        <f>'Occupational Cost-Mall Expe May'!AU10</f>
        <v>11013</v>
      </c>
      <c r="AJ81" s="83">
        <f>'Occupational Cost-Mall Expe May'!AV10</f>
        <v>10560</v>
      </c>
      <c r="AK81" s="83">
        <f>'Occupational Cost-Mall Expe May'!AW10</f>
        <v>0</v>
      </c>
      <c r="AL81" s="83">
        <f>'Occupational Cost-Mall Expe May'!AX10</f>
        <v>0</v>
      </c>
      <c r="AM81" s="83">
        <f>'Occupational Cost-Mall Expe May'!AY10</f>
        <v>0</v>
      </c>
      <c r="AN81" s="83">
        <f>'Occupational Cost-Mall Expe May'!AZ10</f>
        <v>13557</v>
      </c>
      <c r="AO81" s="83">
        <f>'Occupational Cost-Mall Expe May'!BA10</f>
        <v>15113</v>
      </c>
      <c r="AP81" s="83">
        <f>'Occupational Cost-Mall Expe May'!BB10</f>
        <v>3373</v>
      </c>
      <c r="AQ81" s="83">
        <f>'Occupational Cost-Mall Expe May'!BC10</f>
        <v>0</v>
      </c>
      <c r="AR81" s="83">
        <f>'Occupational Cost-Mall Expe May'!BD10</f>
        <v>15955</v>
      </c>
      <c r="AS81" s="83">
        <f>'Occupational Cost-Mall Expe May'!BE10</f>
        <v>20287</v>
      </c>
      <c r="AT81" s="83">
        <f>'Occupational Cost-Mall Expe May'!BF10</f>
        <v>13586</v>
      </c>
      <c r="AU81" s="83">
        <f>'Occupational Cost-Mall Expe May'!BG10</f>
        <v>0</v>
      </c>
      <c r="AV81" s="83">
        <f>'Occupational Cost-Mall Expe May'!BH10</f>
        <v>14076.258225146719</v>
      </c>
      <c r="AW81" s="83">
        <f>'Occupational Cost-Mall Expe May'!BI10</f>
        <v>7223.7417748532816</v>
      </c>
      <c r="AX81" s="83">
        <f>'Occupational Cost-Mall Expe May'!BJ10</f>
        <v>7764.4842179097495</v>
      </c>
      <c r="AY81" s="83">
        <f>'Occupational Cost-Mall Expe May'!BK10</f>
        <v>0</v>
      </c>
      <c r="AZ81" s="83">
        <f>'Occupational Cost-Mall Expe May'!BL10</f>
        <v>0</v>
      </c>
      <c r="BA81" s="83">
        <f>'Occupational Cost-Mall Expe May'!BM10</f>
        <v>20212.51578209025</v>
      </c>
      <c r="BB81" s="83">
        <f>'Occupational Cost-Mall Expe May'!BN10</f>
        <v>8496</v>
      </c>
      <c r="BC81" s="83">
        <f>'Occupational Cost-Mall Expe May'!BO10</f>
        <v>20459.808747963405</v>
      </c>
      <c r="BD81" s="83">
        <f>'Occupational Cost-Mall Expe May'!BP10</f>
        <v>10031.191252036595</v>
      </c>
      <c r="BE81" s="5">
        <f t="shared" si="0"/>
        <v>432313</v>
      </c>
      <c r="BF81" s="5"/>
      <c r="BG81" s="5">
        <f t="shared" si="1"/>
        <v>432313</v>
      </c>
      <c r="BH81" s="66">
        <f>BE81-'TB 17.05.24'!BD64</f>
        <v>-108831</v>
      </c>
      <c r="BO81" t="str">
        <f>VLOOKUP(A81,[2]Sheet1!$A$8:$A$102,1,0)</f>
        <v>450001-006</v>
      </c>
    </row>
    <row r="82" spans="1:67" ht="15" hidden="1" customHeight="1" x14ac:dyDescent="0.35">
      <c r="A82" s="684" t="s">
        <v>150</v>
      </c>
      <c r="B82" s="4" t="s">
        <v>87</v>
      </c>
      <c r="C82" s="4" t="s">
        <v>314</v>
      </c>
      <c r="D82" s="4" t="s">
        <v>288</v>
      </c>
      <c r="E82" s="83">
        <f>'Occupational Cost-Mall Expe May'!Q11</f>
        <v>0</v>
      </c>
      <c r="F82" s="83">
        <f>'Occupational Cost-Mall Expe May'!R11</f>
        <v>70839</v>
      </c>
      <c r="G82" s="83">
        <f>'Occupational Cost-Mall Expe May'!S11</f>
        <v>0</v>
      </c>
      <c r="H82" s="83">
        <f>'Occupational Cost-Mall Expe May'!T11</f>
        <v>94588</v>
      </c>
      <c r="I82" s="83">
        <f>'Occupational Cost-Mall Expe May'!U11</f>
        <v>20646</v>
      </c>
      <c r="J82" s="83">
        <f>'Occupational Cost-Mall Expe May'!V11</f>
        <v>23883</v>
      </c>
      <c r="K82" s="83">
        <f>'Occupational Cost-Mall Expe May'!W11</f>
        <v>33940</v>
      </c>
      <c r="L82" s="83">
        <f>'Occupational Cost-Mall Expe May'!X11</f>
        <v>0</v>
      </c>
      <c r="M82" s="83">
        <f>'Occupational Cost-Mall Expe May'!Y11</f>
        <v>38968</v>
      </c>
      <c r="N82" s="83">
        <f>'Occupational Cost-Mall Expe May'!Z11</f>
        <v>28911</v>
      </c>
      <c r="O82" s="83">
        <f>'Occupational Cost-Mall Expe May'!AA11</f>
        <v>0</v>
      </c>
      <c r="P82" s="83">
        <f>'Occupational Cost-Mall Expe May'!AB11</f>
        <v>0</v>
      </c>
      <c r="Q82" s="83">
        <f>'Occupational Cost-Mall Expe May'!AC11</f>
        <v>0</v>
      </c>
      <c r="R82" s="83">
        <f>'Occupational Cost-Mall Expe May'!AD11</f>
        <v>105864</v>
      </c>
      <c r="S82" s="83">
        <f>'Occupational Cost-Mall Expe May'!AE11</f>
        <v>55624</v>
      </c>
      <c r="T82" s="83">
        <f>'Occupational Cost-Mall Expe May'!AF11</f>
        <v>0</v>
      </c>
      <c r="U82" s="83">
        <f>'Occupational Cost-Mall Expe May'!AG11</f>
        <v>103833</v>
      </c>
      <c r="V82" s="83">
        <f>'Occupational Cost-Mall Expe May'!AH11</f>
        <v>0</v>
      </c>
      <c r="W82" s="83">
        <f>'Occupational Cost-Mall Expe May'!AI11</f>
        <v>115748.7537912578</v>
      </c>
      <c r="X82" s="83">
        <f>'Occupational Cost-Mall Expe May'!AJ11</f>
        <v>60592</v>
      </c>
      <c r="Y82" s="83">
        <f>'Occupational Cost-Mall Expe May'!AK11</f>
        <v>122387.24620874219</v>
      </c>
      <c r="Z82" s="83">
        <f>'Occupational Cost-Mall Expe May'!AL11</f>
        <v>0</v>
      </c>
      <c r="AA82" s="83">
        <f>'Occupational Cost-Mall Expe May'!AM11</f>
        <v>0</v>
      </c>
      <c r="AB82" s="83">
        <f>'Occupational Cost-Mall Expe May'!AN11</f>
        <v>0</v>
      </c>
      <c r="AC82" s="83">
        <f>'Occupational Cost-Mall Expe May'!AO11</f>
        <v>30432</v>
      </c>
      <c r="AD82" s="83">
        <f>'Occupational Cost-Mall Expe May'!AP11</f>
        <v>57998</v>
      </c>
      <c r="AE82" s="83">
        <f>'Occupational Cost-Mall Expe May'!AQ11</f>
        <v>31317</v>
      </c>
      <c r="AF82" s="83">
        <f>'Occupational Cost-Mall Expe May'!AR11</f>
        <v>64523</v>
      </c>
      <c r="AG82" s="83">
        <f>'Occupational Cost-Mall Expe May'!AS11</f>
        <v>31539</v>
      </c>
      <c r="AH82" s="83">
        <f>'Occupational Cost-Mall Expe May'!AT11</f>
        <v>42038</v>
      </c>
      <c r="AI82" s="83">
        <f>'Occupational Cost-Mall Expe May'!AU11</f>
        <v>0</v>
      </c>
      <c r="AJ82" s="83">
        <f>'Occupational Cost-Mall Expe May'!AV11</f>
        <v>0</v>
      </c>
      <c r="AK82" s="83">
        <f>'Occupational Cost-Mall Expe May'!AW11</f>
        <v>0</v>
      </c>
      <c r="AL82" s="83">
        <f>'Occupational Cost-Mall Expe May'!AX11</f>
        <v>0</v>
      </c>
      <c r="AM82" s="83">
        <f>'Occupational Cost-Mall Expe May'!AY11</f>
        <v>0</v>
      </c>
      <c r="AN82" s="83">
        <f>'Occupational Cost-Mall Expe May'!AZ11</f>
        <v>0</v>
      </c>
      <c r="AO82" s="83">
        <f>'Occupational Cost-Mall Expe May'!BA11</f>
        <v>69688</v>
      </c>
      <c r="AP82" s="83">
        <f>'Occupational Cost-Mall Expe May'!BB11</f>
        <v>0</v>
      </c>
      <c r="AQ82" s="83">
        <f>'Occupational Cost-Mall Expe May'!BC11</f>
        <v>0</v>
      </c>
      <c r="AR82" s="83">
        <f>'Occupational Cost-Mall Expe May'!BD11</f>
        <v>154792</v>
      </c>
      <c r="AS82" s="83">
        <f>'Occupational Cost-Mall Expe May'!BE11</f>
        <v>20919</v>
      </c>
      <c r="AT82" s="83">
        <f>'Occupational Cost-Mall Expe May'!BF11</f>
        <v>44380</v>
      </c>
      <c r="AU82" s="83">
        <f>'Occupational Cost-Mall Expe May'!BG11</f>
        <v>0</v>
      </c>
      <c r="AV82" s="83">
        <f>'Occupational Cost-Mall Expe May'!BH11</f>
        <v>45439.218922283479</v>
      </c>
      <c r="AW82" s="83">
        <f>'Occupational Cost-Mall Expe May'!BI11</f>
        <v>23318.781077716521</v>
      </c>
      <c r="AX82" s="83">
        <f>'Occupational Cost-Mall Expe May'!BJ11</f>
        <v>21438.15805471125</v>
      </c>
      <c r="AY82" s="83">
        <f>'Occupational Cost-Mall Expe May'!BK11</f>
        <v>0</v>
      </c>
      <c r="AZ82" s="83">
        <f>'Occupational Cost-Mall Expe May'!BL11</f>
        <v>0</v>
      </c>
      <c r="BA82" s="83">
        <f>'Occupational Cost-Mall Expe May'!BM11</f>
        <v>55807.841945288761</v>
      </c>
      <c r="BB82" s="83">
        <f>'Occupational Cost-Mall Expe May'!BN11</f>
        <v>0</v>
      </c>
      <c r="BC82" s="83">
        <f>'Occupational Cost-Mall Expe May'!BO11</f>
        <v>102372.18398295525</v>
      </c>
      <c r="BD82" s="83">
        <f>'Occupational Cost-Mall Expe May'!BP11</f>
        <v>50191.816017044737</v>
      </c>
      <c r="BE82" s="5">
        <f t="shared" si="0"/>
        <v>1722018</v>
      </c>
      <c r="BF82" s="5"/>
      <c r="BG82" s="5">
        <f t="shared" si="1"/>
        <v>1722018</v>
      </c>
      <c r="BH82" s="66">
        <f>BE82-'TB 17.05.24'!BD65</f>
        <v>10775</v>
      </c>
      <c r="BO82" t="str">
        <f>VLOOKUP(A82,[2]Sheet1!$A$8:$A$102,1,0)</f>
        <v>450001-007</v>
      </c>
    </row>
    <row r="83" spans="1:67" ht="15" hidden="1" customHeight="1" x14ac:dyDescent="0.35">
      <c r="A83" s="684" t="s">
        <v>151</v>
      </c>
      <c r="B83" s="4" t="s">
        <v>152</v>
      </c>
      <c r="C83" s="4" t="s">
        <v>314</v>
      </c>
      <c r="D83" s="4" t="s">
        <v>288</v>
      </c>
      <c r="E83" s="83">
        <f>'Occupational Cost-Mall Expe May'!Q12</f>
        <v>0</v>
      </c>
      <c r="F83" s="83">
        <f>'Occupational Cost-Mall Expe May'!R12</f>
        <v>7922</v>
      </c>
      <c r="G83" s="83">
        <f>'Occupational Cost-Mall Expe May'!S12</f>
        <v>0</v>
      </c>
      <c r="H83" s="83">
        <f>'Occupational Cost-Mall Expe May'!T12</f>
        <v>14129</v>
      </c>
      <c r="I83" s="83">
        <f>'Occupational Cost-Mall Expe May'!U12</f>
        <v>2560</v>
      </c>
      <c r="J83" s="83">
        <f>'Occupational Cost-Mall Expe May'!V12</f>
        <v>0</v>
      </c>
      <c r="K83" s="83">
        <f>'Occupational Cost-Mall Expe May'!W12</f>
        <v>2337</v>
      </c>
      <c r="L83" s="83">
        <f>'Occupational Cost-Mall Expe May'!X12</f>
        <v>0</v>
      </c>
      <c r="M83" s="83">
        <f>'Occupational Cost-Mall Expe May'!Y12</f>
        <v>2684</v>
      </c>
      <c r="N83" s="83">
        <f>'Occupational Cost-Mall Expe May'!Z12</f>
        <v>1991</v>
      </c>
      <c r="O83" s="83">
        <f>'Occupational Cost-Mall Expe May'!AA12</f>
        <v>0</v>
      </c>
      <c r="P83" s="83">
        <f>'Occupational Cost-Mall Expe May'!AB12</f>
        <v>0</v>
      </c>
      <c r="Q83" s="83">
        <f>'Occupational Cost-Mall Expe May'!AC12</f>
        <v>0</v>
      </c>
      <c r="R83" s="83">
        <f>'Occupational Cost-Mall Expe May'!AD12</f>
        <v>6559</v>
      </c>
      <c r="S83" s="83">
        <f>'Occupational Cost-Mall Expe May'!AE12</f>
        <v>3446</v>
      </c>
      <c r="T83" s="83">
        <f>'Occupational Cost-Mall Expe May'!AF12</f>
        <v>0</v>
      </c>
      <c r="U83" s="83">
        <f>'Occupational Cost-Mall Expe May'!AG12</f>
        <v>6433</v>
      </c>
      <c r="V83" s="83">
        <f>'Occupational Cost-Mall Expe May'!AH12</f>
        <v>0</v>
      </c>
      <c r="W83" s="83">
        <f>'Occupational Cost-Mall Expe May'!AI12</f>
        <v>3066.0762711864409</v>
      </c>
      <c r="X83" s="83">
        <f>'Occupational Cost-Mall Expe May'!AJ12</f>
        <v>1605</v>
      </c>
      <c r="Y83" s="83">
        <f>'Occupational Cost-Mall Expe May'!AK12</f>
        <v>3241.9237288135596</v>
      </c>
      <c r="Z83" s="83">
        <f>'Occupational Cost-Mall Expe May'!AL12</f>
        <v>0</v>
      </c>
      <c r="AA83" s="83">
        <f>'Occupational Cost-Mall Expe May'!AM12</f>
        <v>0</v>
      </c>
      <c r="AB83" s="83">
        <f>'Occupational Cost-Mall Expe May'!AN12</f>
        <v>0</v>
      </c>
      <c r="AC83" s="83">
        <f>'Occupational Cost-Mall Expe May'!AO12</f>
        <v>7381</v>
      </c>
      <c r="AD83" s="83">
        <f>'Occupational Cost-Mall Expe May'!AP12</f>
        <v>14067</v>
      </c>
      <c r="AE83" s="83">
        <f>'Occupational Cost-Mall Expe May'!AQ12</f>
        <v>7596</v>
      </c>
      <c r="AF83" s="83">
        <f>'Occupational Cost-Mall Expe May'!AR12</f>
        <v>15648</v>
      </c>
      <c r="AG83" s="83">
        <f>'Occupational Cost-Mall Expe May'!AS12</f>
        <v>4948</v>
      </c>
      <c r="AH83" s="83">
        <f>'Occupational Cost-Mall Expe May'!AT12</f>
        <v>6546</v>
      </c>
      <c r="AI83" s="83">
        <f>'Occupational Cost-Mall Expe May'!AU12</f>
        <v>0</v>
      </c>
      <c r="AJ83" s="83">
        <f>'Occupational Cost-Mall Expe May'!AV12</f>
        <v>0</v>
      </c>
      <c r="AK83" s="83">
        <f>'Occupational Cost-Mall Expe May'!AW12</f>
        <v>0</v>
      </c>
      <c r="AL83" s="83">
        <f>'Occupational Cost-Mall Expe May'!AX12</f>
        <v>0</v>
      </c>
      <c r="AM83" s="83">
        <f>'Occupational Cost-Mall Expe May'!AY12</f>
        <v>0</v>
      </c>
      <c r="AN83" s="83">
        <f>'Occupational Cost-Mall Expe May'!AZ12</f>
        <v>0</v>
      </c>
      <c r="AO83" s="83">
        <f>'Occupational Cost-Mall Expe May'!BA12</f>
        <v>6301</v>
      </c>
      <c r="AP83" s="83">
        <f>'Occupational Cost-Mall Expe May'!BB12</f>
        <v>0</v>
      </c>
      <c r="AQ83" s="83">
        <f>'Occupational Cost-Mall Expe May'!BC12</f>
        <v>0</v>
      </c>
      <c r="AR83" s="83">
        <f>'Occupational Cost-Mall Expe May'!BD12</f>
        <v>22775</v>
      </c>
      <c r="AS83" s="83">
        <f>'Occupational Cost-Mall Expe May'!BE12</f>
        <v>2083</v>
      </c>
      <c r="AT83" s="83">
        <f>'Occupational Cost-Mall Expe May'!BF12</f>
        <v>4419</v>
      </c>
      <c r="AU83" s="83">
        <f>'Occupational Cost-Mall Expe May'!BG12</f>
        <v>0</v>
      </c>
      <c r="AV83" s="83">
        <f>'Occupational Cost-Mall Expe May'!BH12</f>
        <v>4524.2283478570153</v>
      </c>
      <c r="AW83" s="83">
        <f>'Occupational Cost-Mall Expe May'!BI12</f>
        <v>2321.7716521429838</v>
      </c>
      <c r="AX83" s="83">
        <f>'Occupational Cost-Mall Expe May'!BJ12</f>
        <v>1874.7217675941081</v>
      </c>
      <c r="AY83" s="83">
        <f>'Occupational Cost-Mall Expe May'!BK12</f>
        <v>0</v>
      </c>
      <c r="AZ83" s="83">
        <f>'Occupational Cost-Mall Expe May'!BL12</f>
        <v>0</v>
      </c>
      <c r="BA83" s="83">
        <f>'Occupational Cost-Mall Expe May'!BM12</f>
        <v>4880.2782324058926</v>
      </c>
      <c r="BB83" s="83">
        <f>'Occupational Cost-Mall Expe May'!BN12</f>
        <v>0</v>
      </c>
      <c r="BC83" s="83">
        <f>'Occupational Cost-Mall Expe May'!BO12</f>
        <v>12028.550444917908</v>
      </c>
      <c r="BD83" s="83">
        <f>'Occupational Cost-Mall Expe May'!BP12</f>
        <v>5897.4495550820902</v>
      </c>
      <c r="BE83" s="5">
        <f t="shared" si="0"/>
        <v>179265</v>
      </c>
      <c r="BF83" s="5"/>
      <c r="BG83" s="5">
        <f t="shared" si="1"/>
        <v>179265</v>
      </c>
      <c r="BH83" s="66">
        <f>BE83-'TB 17.05.24'!BD66</f>
        <v>-22175</v>
      </c>
      <c r="BO83" t="str">
        <f>VLOOKUP(A83,[2]Sheet1!$A$8:$A$102,1,0)</f>
        <v>450001-008</v>
      </c>
    </row>
    <row r="84" spans="1:67" ht="15" hidden="1" customHeight="1" x14ac:dyDescent="0.35">
      <c r="A84" s="684" t="s">
        <v>153</v>
      </c>
      <c r="B84" s="4" t="s">
        <v>154</v>
      </c>
      <c r="C84" s="4" t="s">
        <v>314</v>
      </c>
      <c r="D84" s="4" t="s">
        <v>288</v>
      </c>
      <c r="E84" s="83">
        <f>'Occupational Cost-Mall Expe May'!Q13</f>
        <v>4260.9799999999996</v>
      </c>
      <c r="F84" s="83">
        <f>'Occupational Cost-Mall Expe May'!R13</f>
        <v>11058.96</v>
      </c>
      <c r="G84" s="83">
        <f>'Occupational Cost-Mall Expe May'!S13</f>
        <v>0</v>
      </c>
      <c r="H84" s="83">
        <f>'Occupational Cost-Mall Expe May'!T13</f>
        <v>11943.96</v>
      </c>
      <c r="I84" s="83">
        <f>'Occupational Cost-Mall Expe May'!U13</f>
        <v>3783.08</v>
      </c>
      <c r="J84" s="83">
        <f>'Occupational Cost-Mall Expe May'!V13</f>
        <v>16196.68</v>
      </c>
      <c r="K84" s="83">
        <f>'Occupational Cost-Mall Expe May'!W13</f>
        <v>23015.9</v>
      </c>
      <c r="L84" s="83">
        <f>'Occupational Cost-Mall Expe May'!X13</f>
        <v>0</v>
      </c>
      <c r="M84" s="83">
        <f>'Occupational Cost-Mall Expe May'!Y13</f>
        <v>26426.1</v>
      </c>
      <c r="N84" s="83">
        <f>'Occupational Cost-Mall Expe May'!Z13</f>
        <v>19605.7</v>
      </c>
      <c r="O84" s="83">
        <f>'Occupational Cost-Mall Expe May'!AA13</f>
        <v>0</v>
      </c>
      <c r="P84" s="83">
        <f>'Occupational Cost-Mall Expe May'!AB13</f>
        <v>0</v>
      </c>
      <c r="Q84" s="83">
        <f>'Occupational Cost-Mall Expe May'!AC13</f>
        <v>0</v>
      </c>
      <c r="R84" s="83">
        <f>'Occupational Cost-Mall Expe May'!AD13</f>
        <v>25054.94</v>
      </c>
      <c r="S84" s="83">
        <f>'Occupational Cost-Mall Expe May'!AE13</f>
        <v>12423.04</v>
      </c>
      <c r="T84" s="83">
        <f>'Occupational Cost-Mall Expe May'!AF13</f>
        <v>0</v>
      </c>
      <c r="U84" s="83">
        <f>'Occupational Cost-Mall Expe May'!AG13</f>
        <v>26231.4</v>
      </c>
      <c r="V84" s="83">
        <f>'Occupational Cost-Mall Expe May'!AH13</f>
        <v>0</v>
      </c>
      <c r="W84" s="83">
        <f>'Occupational Cost-Mall Expe May'!AI13</f>
        <v>445.2323818019625</v>
      </c>
      <c r="X84" s="83">
        <f>'Occupational Cost-Mall Expe May'!AJ13</f>
        <v>23676.7</v>
      </c>
      <c r="Y84" s="83">
        <f>'Occupational Cost-Mall Expe May'!AK13</f>
        <v>470.76761819803744</v>
      </c>
      <c r="Z84" s="83">
        <f>'Occupational Cost-Mall Expe May'!AL13</f>
        <v>7042.24</v>
      </c>
      <c r="AA84" s="83">
        <f>'Occupational Cost-Mall Expe May'!AM13</f>
        <v>12890.32</v>
      </c>
      <c r="AB84" s="83">
        <f>'Occupational Cost-Mall Expe May'!AN13</f>
        <v>0</v>
      </c>
      <c r="AC84" s="83">
        <f>'Occupational Cost-Mall Expe May'!AO13</f>
        <v>6007.38</v>
      </c>
      <c r="AD84" s="83">
        <f>'Occupational Cost-Mall Expe May'!AP13</f>
        <v>11450.72</v>
      </c>
      <c r="AE84" s="83">
        <f>'Occupational Cost-Mall Expe May'!AQ13</f>
        <v>6184.38</v>
      </c>
      <c r="AF84" s="83">
        <f>'Occupational Cost-Mall Expe May'!AR13</f>
        <v>12734.56</v>
      </c>
      <c r="AG84" s="83">
        <f>'Occupational Cost-Mall Expe May'!AS13</f>
        <v>18435.14</v>
      </c>
      <c r="AH84" s="83">
        <f>'Occupational Cost-Mall Expe May'!AT13</f>
        <v>11597.04</v>
      </c>
      <c r="AI84" s="83">
        <f>'Occupational Cost-Mall Expe May'!AU13</f>
        <v>4012</v>
      </c>
      <c r="AJ84" s="83">
        <f>'Occupational Cost-Mall Expe May'!AV13</f>
        <v>4012</v>
      </c>
      <c r="AK84" s="83">
        <f>'Occupational Cost-Mall Expe May'!AW13</f>
        <v>0</v>
      </c>
      <c r="AL84" s="83">
        <f>'Occupational Cost-Mall Expe May'!AX13</f>
        <v>0</v>
      </c>
      <c r="AM84" s="83">
        <f>'Occupational Cost-Mall Expe May'!AY13</f>
        <v>0</v>
      </c>
      <c r="AN84" s="83">
        <f>'Occupational Cost-Mall Expe May'!AZ13</f>
        <v>4012</v>
      </c>
      <c r="AO84" s="83">
        <f>'Occupational Cost-Mall Expe May'!BA13</f>
        <v>76742.48</v>
      </c>
      <c r="AP84" s="83">
        <f>'Occupational Cost-Mall Expe May'!BB13</f>
        <v>4012</v>
      </c>
      <c r="AQ84" s="83">
        <f>'Occupational Cost-Mall Expe May'!BC13</f>
        <v>0</v>
      </c>
      <c r="AR84" s="83">
        <f>'Occupational Cost-Mall Expe May'!BD13</f>
        <v>60373.520000000004</v>
      </c>
      <c r="AS84" s="83">
        <f>'Occupational Cost-Mall Expe May'!BE13</f>
        <v>13461.44</v>
      </c>
      <c r="AT84" s="83">
        <f>'Occupational Cost-Mall Expe May'!BF13</f>
        <v>36546.959999999999</v>
      </c>
      <c r="AU84" s="83">
        <f>'Occupational Cost-Mall Expe May'!BG13</f>
        <v>0</v>
      </c>
      <c r="AV84" s="83">
        <f>'Occupational Cost-Mall Expe May'!BH13</f>
        <v>24772.892761870888</v>
      </c>
      <c r="AW84" s="83">
        <f>'Occupational Cost-Mall Expe May'!BI13</f>
        <v>12713.107238129112</v>
      </c>
      <c r="AX84" s="83">
        <f>'Occupational Cost-Mall Expe May'!BJ13</f>
        <v>0</v>
      </c>
      <c r="AY84" s="83">
        <f>'Occupational Cost-Mall Expe May'!BK13</f>
        <v>0</v>
      </c>
      <c r="AZ84" s="83">
        <f>'Occupational Cost-Mall Expe May'!BL13</f>
        <v>0</v>
      </c>
      <c r="BA84" s="83">
        <f>'Occupational Cost-Mall Expe May'!BM13</f>
        <v>0</v>
      </c>
      <c r="BB84" s="83">
        <f>'Occupational Cost-Mall Expe May'!BN13</f>
        <v>11589.96</v>
      </c>
      <c r="BC84" s="83">
        <f>'Occupational Cost-Mall Expe May'!BO13</f>
        <v>171977.53903997995</v>
      </c>
      <c r="BD84" s="83">
        <f>'Occupational Cost-Mall Expe May'!BP13</f>
        <v>84318.460960020049</v>
      </c>
      <c r="BE84" s="5">
        <f t="shared" si="0"/>
        <v>799479.58</v>
      </c>
      <c r="BF84" s="5"/>
      <c r="BG84" s="5">
        <f t="shared" si="1"/>
        <v>799479.58</v>
      </c>
      <c r="BH84" s="66">
        <f>BE84-'TB 17.05.24'!BD67</f>
        <v>109304.57999999996</v>
      </c>
      <c r="BO84" t="str">
        <f>VLOOKUP(A84,[2]Sheet1!$A$8:$A$102,1,0)</f>
        <v>450001-009</v>
      </c>
    </row>
    <row r="85" spans="1:67" ht="15" hidden="1" customHeight="1" x14ac:dyDescent="0.35">
      <c r="A85" s="3" t="s">
        <v>155</v>
      </c>
      <c r="B85" s="4" t="s">
        <v>156</v>
      </c>
      <c r="C85" s="4" t="s">
        <v>314</v>
      </c>
      <c r="D85" s="4" t="s">
        <v>288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2452</v>
      </c>
      <c r="K85" s="83">
        <v>3059</v>
      </c>
      <c r="L85" s="83">
        <v>0</v>
      </c>
      <c r="M85" s="83">
        <v>3492</v>
      </c>
      <c r="N85" s="83">
        <v>2798</v>
      </c>
      <c r="O85" s="83">
        <v>0</v>
      </c>
      <c r="P85" s="83">
        <v>0</v>
      </c>
      <c r="Q85" s="83">
        <v>0</v>
      </c>
      <c r="R85" s="83">
        <v>0</v>
      </c>
      <c r="S85" s="83">
        <v>0</v>
      </c>
      <c r="T85" s="83">
        <v>0</v>
      </c>
      <c r="U85" s="83">
        <v>0</v>
      </c>
      <c r="V85" s="83">
        <v>0</v>
      </c>
      <c r="W85" s="83">
        <v>1020</v>
      </c>
      <c r="X85" s="83">
        <v>1937</v>
      </c>
      <c r="Y85" s="83">
        <v>1020</v>
      </c>
      <c r="Z85" s="83">
        <v>0</v>
      </c>
      <c r="AA85" s="83">
        <v>0</v>
      </c>
      <c r="AB85" s="83">
        <v>0</v>
      </c>
      <c r="AC85" s="83">
        <v>0</v>
      </c>
      <c r="AD85" s="83">
        <v>0</v>
      </c>
      <c r="AE85" s="83">
        <v>0</v>
      </c>
      <c r="AF85" s="83">
        <v>0</v>
      </c>
      <c r="AG85" s="83">
        <v>0</v>
      </c>
      <c r="AH85" s="83">
        <v>0</v>
      </c>
      <c r="AI85" s="83">
        <v>0</v>
      </c>
      <c r="AJ85" s="83">
        <v>0</v>
      </c>
      <c r="AK85" s="83">
        <v>0</v>
      </c>
      <c r="AL85" s="83">
        <v>0</v>
      </c>
      <c r="AM85" s="83">
        <v>0</v>
      </c>
      <c r="AN85" s="83">
        <v>0</v>
      </c>
      <c r="AO85" s="83">
        <v>24145</v>
      </c>
      <c r="AP85" s="83">
        <v>190</v>
      </c>
      <c r="AQ85" s="83">
        <v>0</v>
      </c>
      <c r="AR85" s="83">
        <v>0</v>
      </c>
      <c r="AS85" s="83">
        <v>445</v>
      </c>
      <c r="AT85" s="83">
        <v>274</v>
      </c>
      <c r="AU85" s="83">
        <v>0</v>
      </c>
      <c r="AV85" s="83">
        <v>208</v>
      </c>
      <c r="AW85" s="83">
        <v>210</v>
      </c>
      <c r="AX85" s="83">
        <v>0</v>
      </c>
      <c r="AY85" s="83">
        <v>0</v>
      </c>
      <c r="AZ85" s="83">
        <v>0</v>
      </c>
      <c r="BA85" s="83">
        <v>0</v>
      </c>
      <c r="BB85" s="83">
        <v>3514</v>
      </c>
      <c r="BC85" s="83">
        <v>12204</v>
      </c>
      <c r="BD85" s="83">
        <v>12204</v>
      </c>
      <c r="BE85" s="5">
        <f t="shared" si="0"/>
        <v>69172</v>
      </c>
      <c r="BF85" s="5"/>
      <c r="BG85" s="5">
        <f t="shared" si="1"/>
        <v>69172</v>
      </c>
      <c r="BH85" s="66">
        <f>BE85-'TB 17.05.24'!BD68</f>
        <v>42617</v>
      </c>
      <c r="BO85" t="str">
        <f>VLOOKUP(A85,[2]Sheet1!$A$8:$A$102,1,0)</f>
        <v>450001-010</v>
      </c>
    </row>
    <row r="86" spans="1:67" ht="15" customHeight="1" x14ac:dyDescent="0.35">
      <c r="A86" s="3" t="s">
        <v>157</v>
      </c>
      <c r="B86" s="4" t="s">
        <v>158</v>
      </c>
      <c r="C86" s="4" t="s">
        <v>314</v>
      </c>
      <c r="D86" s="4" t="s">
        <v>294</v>
      </c>
      <c r="E86" s="83">
        <v>0</v>
      </c>
      <c r="F86" s="83">
        <v>0</v>
      </c>
      <c r="G86" s="83">
        <v>0</v>
      </c>
      <c r="H86" s="83">
        <v>0</v>
      </c>
      <c r="I86" s="83">
        <v>0</v>
      </c>
      <c r="J86" s="83">
        <v>0</v>
      </c>
      <c r="K86" s="83">
        <v>5000</v>
      </c>
      <c r="L86" s="83">
        <v>0</v>
      </c>
      <c r="M86" s="83">
        <v>378530</v>
      </c>
      <c r="N86" s="83">
        <v>0</v>
      </c>
      <c r="O86" s="83">
        <v>22500</v>
      </c>
      <c r="P86" s="83">
        <v>0</v>
      </c>
      <c r="Q86" s="83">
        <v>0</v>
      </c>
      <c r="R86" s="83">
        <v>0</v>
      </c>
      <c r="S86" s="83">
        <v>60000</v>
      </c>
      <c r="T86" s="83">
        <v>0</v>
      </c>
      <c r="U86" s="83">
        <v>22000</v>
      </c>
      <c r="V86" s="83">
        <v>0</v>
      </c>
      <c r="W86" s="83">
        <v>9166</v>
      </c>
      <c r="X86" s="83">
        <v>9167</v>
      </c>
      <c r="Y86" s="83">
        <v>9167</v>
      </c>
      <c r="Z86" s="83">
        <v>6000</v>
      </c>
      <c r="AA86" s="83">
        <v>0</v>
      </c>
      <c r="AB86" s="83">
        <v>0</v>
      </c>
      <c r="AC86" s="83">
        <v>129000</v>
      </c>
      <c r="AD86" s="83">
        <v>3000</v>
      </c>
      <c r="AE86" s="83">
        <v>3000</v>
      </c>
      <c r="AF86" s="83">
        <v>27000</v>
      </c>
      <c r="AG86" s="83">
        <v>0</v>
      </c>
      <c r="AH86" s="83">
        <v>0</v>
      </c>
      <c r="AI86" s="83">
        <v>0</v>
      </c>
      <c r="AJ86" s="83">
        <v>0</v>
      </c>
      <c r="AK86" s="83">
        <v>0</v>
      </c>
      <c r="AL86" s="83">
        <v>0</v>
      </c>
      <c r="AM86" s="83">
        <v>0</v>
      </c>
      <c r="AN86" s="83">
        <v>10000</v>
      </c>
      <c r="AO86" s="83">
        <v>40403</v>
      </c>
      <c r="AP86" s="83">
        <v>0</v>
      </c>
      <c r="AQ86" s="83">
        <v>0</v>
      </c>
      <c r="AR86" s="83">
        <v>0</v>
      </c>
      <c r="AS86" s="83">
        <v>0</v>
      </c>
      <c r="AT86" s="83">
        <v>0</v>
      </c>
      <c r="AU86" s="83">
        <v>0</v>
      </c>
      <c r="AV86" s="83">
        <v>30000</v>
      </c>
      <c r="AW86" s="83">
        <v>0</v>
      </c>
      <c r="AX86" s="83">
        <v>0</v>
      </c>
      <c r="AY86" s="83">
        <v>0</v>
      </c>
      <c r="AZ86" s="83">
        <v>0</v>
      </c>
      <c r="BA86" s="83">
        <v>0</v>
      </c>
      <c r="BB86" s="83">
        <v>0</v>
      </c>
      <c r="BC86" s="83">
        <v>0</v>
      </c>
      <c r="BD86" s="83">
        <v>0</v>
      </c>
      <c r="BE86" s="5">
        <f t="shared" si="0"/>
        <v>763933</v>
      </c>
      <c r="BF86" s="5"/>
      <c r="BG86" s="5">
        <f t="shared" si="1"/>
        <v>763933</v>
      </c>
      <c r="BH86" s="66">
        <f>BE86-'TB 17.05.24'!BD69</f>
        <v>204982</v>
      </c>
      <c r="BO86" t="str">
        <f>VLOOKUP(A86,[2]Sheet1!$A$8:$A$102,1,0)</f>
        <v>450002-001</v>
      </c>
    </row>
    <row r="87" spans="1:67" ht="15" hidden="1" customHeight="1" x14ac:dyDescent="0.35">
      <c r="A87" s="3" t="s">
        <v>1091</v>
      </c>
      <c r="B87" s="4" t="s">
        <v>1092</v>
      </c>
      <c r="C87" s="4" t="s">
        <v>314</v>
      </c>
      <c r="D87" s="4" t="s">
        <v>322</v>
      </c>
      <c r="E87" s="83">
        <v>0</v>
      </c>
      <c r="F87" s="83">
        <v>0</v>
      </c>
      <c r="G87" s="83">
        <v>0</v>
      </c>
      <c r="H87" s="83">
        <v>0</v>
      </c>
      <c r="I87" s="83">
        <v>0</v>
      </c>
      <c r="J87" s="83">
        <v>0</v>
      </c>
      <c r="K87" s="83">
        <v>0</v>
      </c>
      <c r="L87" s="83">
        <v>0</v>
      </c>
      <c r="M87" s="83">
        <v>0</v>
      </c>
      <c r="N87" s="83">
        <v>3600</v>
      </c>
      <c r="O87" s="83">
        <v>0</v>
      </c>
      <c r="P87" s="83">
        <v>0</v>
      </c>
      <c r="Q87" s="83">
        <v>0</v>
      </c>
      <c r="R87" s="83">
        <v>0</v>
      </c>
      <c r="S87" s="83">
        <v>0</v>
      </c>
      <c r="T87" s="83">
        <v>0</v>
      </c>
      <c r="U87" s="83">
        <v>0</v>
      </c>
      <c r="V87" s="83">
        <v>0</v>
      </c>
      <c r="W87" s="83">
        <v>1482</v>
      </c>
      <c r="X87" s="83">
        <v>247</v>
      </c>
      <c r="Y87" s="83">
        <v>0</v>
      </c>
      <c r="Z87" s="83">
        <v>30100</v>
      </c>
      <c r="AA87" s="83">
        <v>0</v>
      </c>
      <c r="AB87" s="83">
        <v>0</v>
      </c>
      <c r="AC87" s="83">
        <v>18000</v>
      </c>
      <c r="AD87" s="83">
        <v>17000</v>
      </c>
      <c r="AE87" s="83">
        <v>0</v>
      </c>
      <c r="AF87" s="83">
        <v>0</v>
      </c>
      <c r="AG87" s="83">
        <v>0</v>
      </c>
      <c r="AH87" s="83">
        <v>0</v>
      </c>
      <c r="AI87" s="83">
        <v>0</v>
      </c>
      <c r="AJ87" s="83">
        <v>0</v>
      </c>
      <c r="AK87" s="83">
        <v>0</v>
      </c>
      <c r="AL87" s="83">
        <v>0</v>
      </c>
      <c r="AM87" s="83">
        <v>0</v>
      </c>
      <c r="AN87" s="83">
        <v>0</v>
      </c>
      <c r="AO87" s="83">
        <v>0</v>
      </c>
      <c r="AP87" s="83">
        <v>0</v>
      </c>
      <c r="AQ87" s="83">
        <v>0</v>
      </c>
      <c r="AR87" s="83">
        <v>1500</v>
      </c>
      <c r="AS87" s="83">
        <v>0</v>
      </c>
      <c r="AT87" s="83">
        <v>0</v>
      </c>
      <c r="AU87" s="83">
        <v>0</v>
      </c>
      <c r="AV87" s="83">
        <v>0</v>
      </c>
      <c r="AW87" s="83">
        <v>0</v>
      </c>
      <c r="AX87" s="83">
        <v>0</v>
      </c>
      <c r="AY87" s="83">
        <v>0</v>
      </c>
      <c r="AZ87" s="83">
        <v>0</v>
      </c>
      <c r="BA87" s="83">
        <v>0</v>
      </c>
      <c r="BB87" s="83">
        <v>0</v>
      </c>
      <c r="BC87" s="83">
        <v>0</v>
      </c>
      <c r="BD87" s="83">
        <v>0</v>
      </c>
      <c r="BE87" s="5">
        <f t="shared" si="0"/>
        <v>71929</v>
      </c>
      <c r="BF87" s="5"/>
      <c r="BG87" s="5"/>
      <c r="BH87" s="66"/>
      <c r="BO87" t="str">
        <f>VLOOKUP(A87,[2]Sheet1!$A$8:$A$102,1,0)</f>
        <v>450002-002</v>
      </c>
    </row>
    <row r="88" spans="1:67" ht="15" hidden="1" customHeight="1" x14ac:dyDescent="0.35">
      <c r="A88" s="3" t="s">
        <v>159</v>
      </c>
      <c r="B88" s="4" t="s">
        <v>160</v>
      </c>
      <c r="C88" s="4" t="s">
        <v>314</v>
      </c>
      <c r="D88" s="4" t="s">
        <v>323</v>
      </c>
      <c r="E88" s="83">
        <v>2434</v>
      </c>
      <c r="F88" s="83">
        <v>0</v>
      </c>
      <c r="G88" s="83">
        <v>0</v>
      </c>
      <c r="H88" s="83">
        <v>19136</v>
      </c>
      <c r="I88" s="83">
        <v>0</v>
      </c>
      <c r="J88" s="83">
        <v>13100</v>
      </c>
      <c r="K88" s="83">
        <v>25188</v>
      </c>
      <c r="L88" s="83">
        <v>0</v>
      </c>
      <c r="M88" s="83">
        <v>6460</v>
      </c>
      <c r="N88" s="83">
        <v>35700</v>
      </c>
      <c r="O88" s="83">
        <v>0</v>
      </c>
      <c r="P88" s="83">
        <v>0</v>
      </c>
      <c r="Q88" s="83">
        <v>0</v>
      </c>
      <c r="R88" s="83">
        <v>0</v>
      </c>
      <c r="S88" s="83">
        <v>0</v>
      </c>
      <c r="T88" s="83">
        <v>0</v>
      </c>
      <c r="U88" s="83">
        <v>0</v>
      </c>
      <c r="V88" s="83">
        <v>0</v>
      </c>
      <c r="W88" s="83">
        <v>2985</v>
      </c>
      <c r="X88" s="83">
        <v>15230</v>
      </c>
      <c r="Y88" s="83">
        <v>2000</v>
      </c>
      <c r="Z88" s="83">
        <v>0</v>
      </c>
      <c r="AA88" s="83">
        <v>7500</v>
      </c>
      <c r="AB88" s="83">
        <v>0</v>
      </c>
      <c r="AC88" s="83">
        <v>5450</v>
      </c>
      <c r="AD88" s="83">
        <v>1000</v>
      </c>
      <c r="AE88" s="83">
        <v>0</v>
      </c>
      <c r="AF88" s="83">
        <v>29962</v>
      </c>
      <c r="AG88" s="83">
        <v>0</v>
      </c>
      <c r="AH88" s="83">
        <v>0</v>
      </c>
      <c r="AI88" s="83">
        <f>0+((0+3060)/7)</f>
        <v>437.14285714285717</v>
      </c>
      <c r="AJ88" s="83">
        <f>10463+((0+3060)/7)</f>
        <v>10900.142857142857</v>
      </c>
      <c r="AK88" s="83">
        <v>0</v>
      </c>
      <c r="AL88" s="83">
        <f>3060*0</f>
        <v>0</v>
      </c>
      <c r="AM88" s="83">
        <f>((0+3060)/7)*0</f>
        <v>0</v>
      </c>
      <c r="AN88" s="83">
        <f>5000+((0+3060)/7)</f>
        <v>5437.1428571428569</v>
      </c>
      <c r="AO88" s="83">
        <f>0+((0+3060)/7)</f>
        <v>437.14285714285717</v>
      </c>
      <c r="AP88" s="83">
        <f>0+((0+3060)/7)</f>
        <v>437.14285714285717</v>
      </c>
      <c r="AQ88" s="83">
        <f>0+((0+3060)/7)</f>
        <v>437.14285714285717</v>
      </c>
      <c r="AR88" s="83">
        <f>16582+((0+3060)/7)</f>
        <v>17019.142857142859</v>
      </c>
      <c r="AS88" s="83">
        <v>0</v>
      </c>
      <c r="AT88" s="83">
        <v>6676</v>
      </c>
      <c r="AU88" s="83">
        <v>0</v>
      </c>
      <c r="AV88" s="83">
        <v>5774</v>
      </c>
      <c r="AW88" s="83">
        <v>5774</v>
      </c>
      <c r="AX88" s="83">
        <v>0</v>
      </c>
      <c r="AY88" s="83">
        <v>0</v>
      </c>
      <c r="AZ88" s="83">
        <v>0</v>
      </c>
      <c r="BA88" s="83">
        <v>0</v>
      </c>
      <c r="BB88" s="83">
        <v>0</v>
      </c>
      <c r="BC88" s="83">
        <v>0</v>
      </c>
      <c r="BD88" s="83">
        <v>0</v>
      </c>
      <c r="BE88" s="5">
        <f t="shared" si="0"/>
        <v>219474.00000000009</v>
      </c>
      <c r="BF88" s="5"/>
      <c r="BG88" s="5">
        <f t="shared" si="1"/>
        <v>219474.00000000009</v>
      </c>
      <c r="BH88" s="66">
        <f>BE88-'TB 17.05.24'!BD70</f>
        <v>56107.000000000087</v>
      </c>
      <c r="BO88" t="str">
        <f>VLOOKUP(A88,[2]Sheet1!$A$8:$A$102,1,0)</f>
        <v>450002-003</v>
      </c>
    </row>
    <row r="89" spans="1:67" ht="15" hidden="1" customHeight="1" x14ac:dyDescent="0.35">
      <c r="A89" s="3" t="s">
        <v>548</v>
      </c>
      <c r="B89" s="4" t="s">
        <v>549</v>
      </c>
      <c r="C89" s="4" t="s">
        <v>314</v>
      </c>
      <c r="D89" s="4" t="s">
        <v>297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18263</v>
      </c>
      <c r="K89" s="83">
        <v>18263</v>
      </c>
      <c r="L89" s="83">
        <v>0</v>
      </c>
      <c r="M89" s="83">
        <v>18263</v>
      </c>
      <c r="N89" s="83">
        <v>18264</v>
      </c>
      <c r="O89" s="83">
        <v>0</v>
      </c>
      <c r="P89" s="83">
        <v>0</v>
      </c>
      <c r="Q89" s="83">
        <v>0</v>
      </c>
      <c r="R89" s="83">
        <v>4654</v>
      </c>
      <c r="S89" s="83">
        <v>76698</v>
      </c>
      <c r="T89" s="83">
        <v>0</v>
      </c>
      <c r="U89" s="83">
        <v>86145</v>
      </c>
      <c r="V89" s="83">
        <v>0</v>
      </c>
      <c r="W89" s="83">
        <v>64336</v>
      </c>
      <c r="X89" s="83">
        <v>128672</v>
      </c>
      <c r="Y89" s="83">
        <v>64336</v>
      </c>
      <c r="Z89" s="83">
        <v>54046</v>
      </c>
      <c r="AA89" s="83">
        <v>0</v>
      </c>
      <c r="AB89" s="83">
        <v>0</v>
      </c>
      <c r="AC89" s="83">
        <v>20336</v>
      </c>
      <c r="AD89" s="83">
        <v>20336</v>
      </c>
      <c r="AE89" s="83">
        <v>20336</v>
      </c>
      <c r="AF89" s="83">
        <v>20336</v>
      </c>
      <c r="AG89" s="83">
        <v>0</v>
      </c>
      <c r="AH89" s="83">
        <v>75483</v>
      </c>
      <c r="AI89" s="83">
        <v>0</v>
      </c>
      <c r="AJ89" s="83">
        <v>0</v>
      </c>
      <c r="AK89" s="83">
        <v>0</v>
      </c>
      <c r="AL89" s="83">
        <v>0</v>
      </c>
      <c r="AM89" s="83">
        <v>0</v>
      </c>
      <c r="AN89" s="83">
        <v>0</v>
      </c>
      <c r="AO89" s="83">
        <v>0</v>
      </c>
      <c r="AP89" s="83">
        <v>2129</v>
      </c>
      <c r="AQ89" s="83">
        <v>2129</v>
      </c>
      <c r="AR89" s="83">
        <v>0</v>
      </c>
      <c r="AS89" s="83">
        <v>76697</v>
      </c>
      <c r="AT89" s="83">
        <v>76740</v>
      </c>
      <c r="AU89" s="83">
        <v>0</v>
      </c>
      <c r="AV89" s="83">
        <v>38370</v>
      </c>
      <c r="AW89" s="83">
        <v>38370</v>
      </c>
      <c r="AX89" s="83">
        <v>35164</v>
      </c>
      <c r="AY89" s="83">
        <v>0</v>
      </c>
      <c r="AZ89" s="83">
        <v>0</v>
      </c>
      <c r="BA89" s="83">
        <v>35164</v>
      </c>
      <c r="BB89" s="83">
        <v>0</v>
      </c>
      <c r="BC89" s="83">
        <v>35164</v>
      </c>
      <c r="BD89" s="83">
        <v>35164</v>
      </c>
      <c r="BE89" s="5">
        <f t="shared" si="0"/>
        <v>1083858</v>
      </c>
      <c r="BF89" s="5"/>
      <c r="BG89" s="5">
        <f t="shared" si="1"/>
        <v>1083858</v>
      </c>
      <c r="BH89" s="66">
        <f>BE89-'TB 17.05.24'!BD71</f>
        <v>35480</v>
      </c>
      <c r="BO89" t="str">
        <f>VLOOKUP(A89,[2]Sheet1!$A$8:$A$102,1,0)</f>
        <v>450002-005</v>
      </c>
    </row>
    <row r="90" spans="1:67" ht="15" hidden="1" customHeight="1" x14ac:dyDescent="0.35">
      <c r="A90" s="3" t="s">
        <v>484</v>
      </c>
      <c r="B90" s="4" t="s">
        <v>485</v>
      </c>
      <c r="C90" s="4" t="s">
        <v>314</v>
      </c>
      <c r="D90" s="4" t="s">
        <v>297</v>
      </c>
      <c r="E90" s="83">
        <v>0</v>
      </c>
      <c r="F90" s="83">
        <v>0</v>
      </c>
      <c r="G90" s="83">
        <v>0</v>
      </c>
      <c r="H90" s="83">
        <v>31889</v>
      </c>
      <c r="I90" s="83">
        <v>0</v>
      </c>
      <c r="J90" s="83">
        <v>0</v>
      </c>
      <c r="K90" s="83">
        <v>0</v>
      </c>
      <c r="L90" s="83">
        <v>0</v>
      </c>
      <c r="M90" s="83">
        <v>0</v>
      </c>
      <c r="N90" s="83">
        <v>38129</v>
      </c>
      <c r="O90" s="83">
        <v>0</v>
      </c>
      <c r="P90" s="83">
        <v>0</v>
      </c>
      <c r="Q90" s="83">
        <v>0</v>
      </c>
      <c r="R90" s="83">
        <v>0</v>
      </c>
      <c r="S90" s="83">
        <v>0</v>
      </c>
      <c r="T90" s="83">
        <v>0</v>
      </c>
      <c r="U90" s="83">
        <v>41039</v>
      </c>
      <c r="V90" s="83">
        <v>0</v>
      </c>
      <c r="W90" s="83">
        <v>0</v>
      </c>
      <c r="X90" s="83">
        <v>0</v>
      </c>
      <c r="Y90" s="83">
        <v>33778</v>
      </c>
      <c r="Z90" s="83">
        <v>0</v>
      </c>
      <c r="AA90" s="83">
        <v>0</v>
      </c>
      <c r="AB90" s="83">
        <v>0</v>
      </c>
      <c r="AC90" s="83">
        <v>17822</v>
      </c>
      <c r="AD90" s="83">
        <v>0</v>
      </c>
      <c r="AE90" s="83">
        <v>0</v>
      </c>
      <c r="AF90" s="83">
        <v>0</v>
      </c>
      <c r="AG90" s="83">
        <v>0</v>
      </c>
      <c r="AH90" s="83">
        <v>7264</v>
      </c>
      <c r="AI90" s="83">
        <v>0</v>
      </c>
      <c r="AJ90" s="83">
        <v>0</v>
      </c>
      <c r="AK90" s="83">
        <v>0</v>
      </c>
      <c r="AL90" s="83">
        <v>0</v>
      </c>
      <c r="AM90" s="83">
        <v>0</v>
      </c>
      <c r="AN90" s="83">
        <v>0</v>
      </c>
      <c r="AO90" s="83">
        <v>0</v>
      </c>
      <c r="AP90" s="83">
        <v>0</v>
      </c>
      <c r="AQ90" s="83">
        <v>0</v>
      </c>
      <c r="AR90" s="83">
        <v>75255</v>
      </c>
      <c r="AS90" s="83">
        <v>0</v>
      </c>
      <c r="AT90" s="83">
        <v>0</v>
      </c>
      <c r="AU90" s="83">
        <v>0</v>
      </c>
      <c r="AV90" s="83">
        <v>0</v>
      </c>
      <c r="AW90" s="83">
        <v>22735</v>
      </c>
      <c r="AX90" s="83">
        <v>0</v>
      </c>
      <c r="AY90" s="83">
        <v>0</v>
      </c>
      <c r="AZ90" s="83">
        <v>0</v>
      </c>
      <c r="BA90" s="83">
        <v>0</v>
      </c>
      <c r="BB90" s="83">
        <v>0</v>
      </c>
      <c r="BC90" s="83">
        <v>65338</v>
      </c>
      <c r="BD90" s="83">
        <v>7263</v>
      </c>
      <c r="BE90" s="5">
        <f t="shared" si="0"/>
        <v>340512</v>
      </c>
      <c r="BF90" s="5"/>
      <c r="BG90" s="5">
        <f t="shared" si="1"/>
        <v>340512</v>
      </c>
      <c r="BH90" s="66">
        <f>BE90-'TB 17.05.24'!BD72</f>
        <v>-36979</v>
      </c>
      <c r="BO90" t="str">
        <f>VLOOKUP(A90,[2]Sheet1!$A$8:$A$102,1,0)</f>
        <v>450002-006</v>
      </c>
    </row>
    <row r="91" spans="1:67" ht="15" hidden="1" customHeight="1" x14ac:dyDescent="0.35">
      <c r="A91" s="3" t="s">
        <v>479</v>
      </c>
      <c r="B91" s="4" t="s">
        <v>480</v>
      </c>
      <c r="C91" s="4" t="s">
        <v>314</v>
      </c>
      <c r="D91" s="4" t="s">
        <v>297</v>
      </c>
      <c r="E91" s="83">
        <v>0</v>
      </c>
      <c r="F91" s="83">
        <v>0</v>
      </c>
      <c r="G91" s="83">
        <v>0</v>
      </c>
      <c r="H91" s="83">
        <v>0</v>
      </c>
      <c r="I91" s="83">
        <v>0</v>
      </c>
      <c r="J91" s="83">
        <v>0</v>
      </c>
      <c r="K91" s="83">
        <v>0</v>
      </c>
      <c r="L91" s="83">
        <v>0</v>
      </c>
      <c r="M91" s="83">
        <v>0</v>
      </c>
      <c r="N91" s="83">
        <v>0</v>
      </c>
      <c r="O91" s="83">
        <v>0</v>
      </c>
      <c r="P91" s="83">
        <v>0</v>
      </c>
      <c r="Q91" s="83">
        <v>0</v>
      </c>
      <c r="R91" s="83">
        <f>420415/2</f>
        <v>210207.5</v>
      </c>
      <c r="S91" s="83">
        <v>0</v>
      </c>
      <c r="T91" s="83">
        <v>0</v>
      </c>
      <c r="U91" s="83">
        <v>0</v>
      </c>
      <c r="V91" s="83">
        <v>0</v>
      </c>
      <c r="W91" s="83">
        <v>0</v>
      </c>
      <c r="X91" s="83">
        <v>0</v>
      </c>
      <c r="Y91" s="83">
        <v>0</v>
      </c>
      <c r="Z91" s="83">
        <v>0</v>
      </c>
      <c r="AA91" s="83">
        <v>0</v>
      </c>
      <c r="AB91" s="83">
        <v>0</v>
      </c>
      <c r="AC91" s="83">
        <v>0</v>
      </c>
      <c r="AD91" s="83">
        <v>0</v>
      </c>
      <c r="AE91" s="83">
        <v>0</v>
      </c>
      <c r="AF91" s="83">
        <v>0</v>
      </c>
      <c r="AG91" s="83">
        <v>0</v>
      </c>
      <c r="AH91" s="83">
        <v>0</v>
      </c>
      <c r="AI91" s="83">
        <v>0</v>
      </c>
      <c r="AJ91" s="83">
        <v>0</v>
      </c>
      <c r="AK91" s="83">
        <v>0</v>
      </c>
      <c r="AL91" s="83">
        <v>0</v>
      </c>
      <c r="AM91" s="83">
        <v>0</v>
      </c>
      <c r="AN91" s="83">
        <v>0</v>
      </c>
      <c r="AO91" s="83">
        <v>0</v>
      </c>
      <c r="AP91" s="83">
        <v>0</v>
      </c>
      <c r="AQ91" s="83">
        <v>0</v>
      </c>
      <c r="AR91" s="83">
        <v>0</v>
      </c>
      <c r="AS91" s="83">
        <v>0</v>
      </c>
      <c r="AT91" s="83">
        <v>0</v>
      </c>
      <c r="AU91" s="83">
        <v>0</v>
      </c>
      <c r="AV91" s="83">
        <v>0</v>
      </c>
      <c r="AW91" s="83">
        <v>0</v>
      </c>
      <c r="AX91" s="83">
        <v>0</v>
      </c>
      <c r="AY91" s="83">
        <v>0</v>
      </c>
      <c r="AZ91" s="83">
        <v>0</v>
      </c>
      <c r="BA91" s="83">
        <v>0</v>
      </c>
      <c r="BB91" s="83">
        <v>0</v>
      </c>
      <c r="BC91" s="83">
        <v>0</v>
      </c>
      <c r="BD91" s="83">
        <v>0</v>
      </c>
      <c r="BE91" s="5">
        <f t="shared" si="0"/>
        <v>210207.5</v>
      </c>
      <c r="BF91" s="5"/>
      <c r="BG91" s="5"/>
      <c r="BH91" s="66"/>
      <c r="BO91" t="str">
        <f>VLOOKUP(A91,[2]Sheet1!$A$8:$A$102,1,0)</f>
        <v>450002-008</v>
      </c>
    </row>
    <row r="92" spans="1:67" ht="15" hidden="1" customHeight="1" x14ac:dyDescent="0.35">
      <c r="A92" s="3" t="s">
        <v>161</v>
      </c>
      <c r="B92" s="4" t="s">
        <v>162</v>
      </c>
      <c r="C92" s="4" t="s">
        <v>314</v>
      </c>
      <c r="D92" s="4" t="s">
        <v>323</v>
      </c>
      <c r="E92" s="83">
        <v>0</v>
      </c>
      <c r="F92" s="83">
        <v>0</v>
      </c>
      <c r="G92" s="83">
        <v>0</v>
      </c>
      <c r="H92" s="83">
        <v>0</v>
      </c>
      <c r="I92" s="83">
        <v>0</v>
      </c>
      <c r="J92" s="83">
        <v>16970</v>
      </c>
      <c r="K92" s="83">
        <v>0</v>
      </c>
      <c r="L92" s="83">
        <v>0</v>
      </c>
      <c r="M92" s="83">
        <v>0</v>
      </c>
      <c r="N92" s="83">
        <v>0</v>
      </c>
      <c r="O92" s="83">
        <v>0</v>
      </c>
      <c r="P92" s="83">
        <v>0</v>
      </c>
      <c r="Q92" s="83">
        <v>0</v>
      </c>
      <c r="R92" s="83">
        <v>150</v>
      </c>
      <c r="S92" s="83">
        <v>0</v>
      </c>
      <c r="T92" s="83">
        <v>0</v>
      </c>
      <c r="U92" s="83">
        <v>-81786</v>
      </c>
      <c r="V92" s="83">
        <v>0</v>
      </c>
      <c r="W92" s="83">
        <v>0</v>
      </c>
      <c r="X92" s="83">
        <v>135</v>
      </c>
      <c r="Y92" s="83">
        <v>0</v>
      </c>
      <c r="Z92" s="83">
        <v>0</v>
      </c>
      <c r="AA92" s="83">
        <v>0</v>
      </c>
      <c r="AB92" s="83">
        <v>0</v>
      </c>
      <c r="AC92" s="83">
        <v>36</v>
      </c>
      <c r="AD92" s="83">
        <v>0</v>
      </c>
      <c r="AE92" s="83">
        <v>0</v>
      </c>
      <c r="AF92" s="83">
        <v>13406</v>
      </c>
      <c r="AG92" s="83">
        <v>0</v>
      </c>
      <c r="AH92" s="83">
        <v>0</v>
      </c>
      <c r="AI92" s="83">
        <v>0</v>
      </c>
      <c r="AJ92" s="83">
        <v>0</v>
      </c>
      <c r="AK92" s="83">
        <v>0</v>
      </c>
      <c r="AL92" s="83">
        <v>0</v>
      </c>
      <c r="AM92" s="83">
        <v>0</v>
      </c>
      <c r="AN92" s="83">
        <v>0</v>
      </c>
      <c r="AO92" s="83">
        <v>0</v>
      </c>
      <c r="AP92" s="83">
        <v>0</v>
      </c>
      <c r="AQ92" s="83">
        <v>0</v>
      </c>
      <c r="AR92" s="83">
        <v>0</v>
      </c>
      <c r="AS92" s="83">
        <v>6870</v>
      </c>
      <c r="AT92" s="83">
        <v>10357</v>
      </c>
      <c r="AU92" s="83">
        <v>0</v>
      </c>
      <c r="AV92" s="83">
        <v>957</v>
      </c>
      <c r="AW92" s="83">
        <v>957</v>
      </c>
      <c r="AX92" s="83">
        <v>0</v>
      </c>
      <c r="AY92" s="83">
        <v>0</v>
      </c>
      <c r="AZ92" s="83">
        <v>0</v>
      </c>
      <c r="BA92" s="83">
        <v>2770</v>
      </c>
      <c r="BB92" s="83">
        <v>1512</v>
      </c>
      <c r="BC92" s="83">
        <v>3292</v>
      </c>
      <c r="BD92" s="83">
        <v>0</v>
      </c>
      <c r="BE92" s="5">
        <f t="shared" si="0"/>
        <v>-24374</v>
      </c>
      <c r="BF92" s="5"/>
      <c r="BG92" s="5">
        <f t="shared" si="1"/>
        <v>-24374</v>
      </c>
      <c r="BH92" s="66">
        <f>BE92-'TB 17.05.24'!BD73</f>
        <v>-283440</v>
      </c>
      <c r="BO92" t="str">
        <f>VLOOKUP(A92,[2]Sheet1!$A$8:$A$102,1,0)</f>
        <v>450002-009</v>
      </c>
    </row>
    <row r="93" spans="1:67" ht="15" hidden="1" customHeight="1" x14ac:dyDescent="0.35">
      <c r="A93" s="3" t="s">
        <v>163</v>
      </c>
      <c r="B93" s="4" t="s">
        <v>164</v>
      </c>
      <c r="C93" s="4" t="s">
        <v>314</v>
      </c>
      <c r="D93" s="4" t="s">
        <v>319</v>
      </c>
      <c r="E93" s="83">
        <v>0</v>
      </c>
      <c r="F93" s="83">
        <v>0</v>
      </c>
      <c r="G93" s="83">
        <v>0</v>
      </c>
      <c r="H93" s="83">
        <v>0</v>
      </c>
      <c r="I93" s="83">
        <v>0</v>
      </c>
      <c r="J93" s="83">
        <v>0</v>
      </c>
      <c r="K93" s="83">
        <v>0</v>
      </c>
      <c r="L93" s="83">
        <v>0</v>
      </c>
      <c r="M93" s="83">
        <v>33300</v>
      </c>
      <c r="N93" s="83">
        <v>19760</v>
      </c>
      <c r="O93" s="83">
        <v>0</v>
      </c>
      <c r="P93" s="83">
        <v>0</v>
      </c>
      <c r="Q93" s="83">
        <v>0</v>
      </c>
      <c r="R93" s="83">
        <v>1300</v>
      </c>
      <c r="S93" s="83">
        <v>22946</v>
      </c>
      <c r="T93" s="83">
        <v>0</v>
      </c>
      <c r="U93" s="83">
        <v>0</v>
      </c>
      <c r="V93" s="83">
        <v>0</v>
      </c>
      <c r="W93" s="83">
        <v>0</v>
      </c>
      <c r="X93" s="83">
        <v>0</v>
      </c>
      <c r="Y93" s="83">
        <v>0</v>
      </c>
      <c r="Z93" s="83">
        <v>8800</v>
      </c>
      <c r="AA93" s="83">
        <v>900</v>
      </c>
      <c r="AB93" s="83">
        <v>0</v>
      </c>
      <c r="AC93" s="83">
        <v>0</v>
      </c>
      <c r="AD93" s="83">
        <v>6000</v>
      </c>
      <c r="AE93" s="83">
        <v>0</v>
      </c>
      <c r="AF93" s="83">
        <v>2400</v>
      </c>
      <c r="AG93" s="83">
        <v>11800</v>
      </c>
      <c r="AH93" s="83">
        <v>4400</v>
      </c>
      <c r="AI93" s="83">
        <v>0</v>
      </c>
      <c r="AJ93" s="83">
        <v>0</v>
      </c>
      <c r="AK93" s="83">
        <v>0</v>
      </c>
      <c r="AL93" s="83">
        <v>0</v>
      </c>
      <c r="AM93" s="83">
        <v>0</v>
      </c>
      <c r="AN93" s="83">
        <v>0</v>
      </c>
      <c r="AO93" s="83">
        <v>0</v>
      </c>
      <c r="AP93" s="83">
        <v>0</v>
      </c>
      <c r="AQ93" s="83">
        <v>0</v>
      </c>
      <c r="AR93" s="83">
        <v>4235</v>
      </c>
      <c r="AS93" s="83">
        <v>59904</v>
      </c>
      <c r="AT93" s="83">
        <v>0</v>
      </c>
      <c r="AU93" s="83">
        <v>0</v>
      </c>
      <c r="AV93" s="83">
        <v>0</v>
      </c>
      <c r="AW93" s="83">
        <v>0</v>
      </c>
      <c r="AX93" s="83">
        <v>0</v>
      </c>
      <c r="AY93" s="83">
        <v>0</v>
      </c>
      <c r="AZ93" s="83">
        <v>0</v>
      </c>
      <c r="BA93" s="83">
        <v>0</v>
      </c>
      <c r="BB93" s="83">
        <v>0</v>
      </c>
      <c r="BC93" s="83">
        <v>0</v>
      </c>
      <c r="BD93" s="83">
        <v>0</v>
      </c>
      <c r="BE93" s="83">
        <f t="shared" si="0"/>
        <v>175745</v>
      </c>
      <c r="BF93" s="5"/>
      <c r="BG93" s="5">
        <f t="shared" si="1"/>
        <v>175745</v>
      </c>
      <c r="BH93" s="66">
        <f>BE93-'TB 17.05.24'!BD74</f>
        <v>53526</v>
      </c>
      <c r="BO93" t="str">
        <f>VLOOKUP(A93,[2]Sheet1!$A$8:$A$102,1,0)</f>
        <v>450002-012</v>
      </c>
    </row>
    <row r="94" spans="1:67" s="79" customFormat="1" ht="15" hidden="1" customHeight="1" x14ac:dyDescent="0.35">
      <c r="A94" s="315" t="s">
        <v>975</v>
      </c>
      <c r="B94" s="325" t="s">
        <v>976</v>
      </c>
      <c r="C94" s="325" t="s">
        <v>314</v>
      </c>
      <c r="D94" s="325" t="s">
        <v>298</v>
      </c>
      <c r="E94" s="346">
        <v>3191.3900000000003</v>
      </c>
      <c r="F94" s="346">
        <v>4687.840000000002</v>
      </c>
      <c r="G94" s="346">
        <v>0</v>
      </c>
      <c r="H94" s="346">
        <v>10039.750000000007</v>
      </c>
      <c r="I94" s="346">
        <v>2277.88</v>
      </c>
      <c r="J94" s="346">
        <v>14309.079999999998</v>
      </c>
      <c r="K94" s="346">
        <v>18954.509999999991</v>
      </c>
      <c r="L94" s="346">
        <v>0</v>
      </c>
      <c r="M94" s="346">
        <v>18391.190000000002</v>
      </c>
      <c r="N94" s="346">
        <v>17398.890000000003</v>
      </c>
      <c r="O94" s="346">
        <f>248981*0</f>
        <v>0</v>
      </c>
      <c r="P94" s="346">
        <v>0</v>
      </c>
      <c r="Q94" s="346">
        <v>0</v>
      </c>
      <c r="R94" s="346">
        <f>15451.54+1026.64</f>
        <v>16478.18</v>
      </c>
      <c r="S94" s="346">
        <v>10514.07</v>
      </c>
      <c r="T94" s="346">
        <f>1026.64*0</f>
        <v>0</v>
      </c>
      <c r="U94" s="346">
        <v>13193.469999999994</v>
      </c>
      <c r="V94" s="346">
        <v>0</v>
      </c>
      <c r="W94" s="346">
        <v>5892.5899999999992</v>
      </c>
      <c r="X94" s="346">
        <v>5266.6799999999985</v>
      </c>
      <c r="Y94" s="346">
        <v>11311.56</v>
      </c>
      <c r="Z94" s="346">
        <v>4899.9799999999996</v>
      </c>
      <c r="AA94" s="346">
        <v>5574.8400000000101</v>
      </c>
      <c r="AB94" s="346">
        <v>0</v>
      </c>
      <c r="AC94" s="346">
        <v>19216.800000000007</v>
      </c>
      <c r="AD94" s="346">
        <v>12536.979999999996</v>
      </c>
      <c r="AE94" s="346">
        <v>2110.21</v>
      </c>
      <c r="AF94" s="346">
        <v>4999.5600000000013</v>
      </c>
      <c r="AG94" s="346">
        <v>2510.5099999999993</v>
      </c>
      <c r="AH94" s="346">
        <v>4468.2</v>
      </c>
      <c r="AI94" s="346">
        <v>546.20000000000005</v>
      </c>
      <c r="AJ94" s="346">
        <v>1731.8799999999997</v>
      </c>
      <c r="AK94" s="346">
        <v>0</v>
      </c>
      <c r="AL94" s="346">
        <v>0</v>
      </c>
      <c r="AM94" s="346">
        <v>0</v>
      </c>
      <c r="AN94" s="346">
        <v>1172.98</v>
      </c>
      <c r="AO94" s="346">
        <v>2112.83</v>
      </c>
      <c r="AP94" s="346">
        <v>554.31000000000006</v>
      </c>
      <c r="AQ94" s="346">
        <v>0</v>
      </c>
      <c r="AR94" s="346">
        <v>5658.3300000000008</v>
      </c>
      <c r="AS94" s="346">
        <v>6714.1200000000008</v>
      </c>
      <c r="AT94" s="346">
        <v>1669.9700000000003</v>
      </c>
      <c r="AU94" s="346">
        <v>0</v>
      </c>
      <c r="AV94" s="346">
        <v>7987.480000000005</v>
      </c>
      <c r="AW94" s="346">
        <v>6848.0300000000007</v>
      </c>
      <c r="AX94" s="346">
        <v>1080.4700000000003</v>
      </c>
      <c r="AY94" s="346">
        <v>0</v>
      </c>
      <c r="AZ94" s="346">
        <v>0</v>
      </c>
      <c r="BA94" s="346">
        <v>1712.2100000000003</v>
      </c>
      <c r="BB94" s="346">
        <v>240.92</v>
      </c>
      <c r="BC94" s="346">
        <v>2573.9300000000003</v>
      </c>
      <c r="BD94" s="346">
        <v>154.05000000000001</v>
      </c>
      <c r="BE94" s="346">
        <f t="shared" si="0"/>
        <v>248981.87</v>
      </c>
      <c r="BF94" s="346"/>
      <c r="BG94" s="346">
        <f t="shared" si="1"/>
        <v>248981.87</v>
      </c>
      <c r="BH94" s="522"/>
      <c r="BO94" s="79" t="e">
        <f>VLOOKUP(A94,[2]Sheet1!$A$8:$A$102,1,0)</f>
        <v>#N/A</v>
      </c>
    </row>
    <row r="95" spans="1:67" s="79" customFormat="1" ht="15" hidden="1" customHeight="1" x14ac:dyDescent="0.35">
      <c r="A95" s="315" t="s">
        <v>977</v>
      </c>
      <c r="B95" s="325" t="s">
        <v>978</v>
      </c>
      <c r="C95" s="325" t="s">
        <v>314</v>
      </c>
      <c r="D95" s="325" t="s">
        <v>298</v>
      </c>
      <c r="E95" s="346">
        <v>57043.340000000004</v>
      </c>
      <c r="F95" s="346">
        <v>115931.18999999999</v>
      </c>
      <c r="G95" s="346">
        <v>0</v>
      </c>
      <c r="H95" s="346">
        <v>45897.840000000004</v>
      </c>
      <c r="I95" s="346">
        <v>150273.01999999987</v>
      </c>
      <c r="J95" s="346">
        <v>76891.07989958227</v>
      </c>
      <c r="K95" s="346">
        <v>181003.25898216257</v>
      </c>
      <c r="L95" s="346">
        <v>0</v>
      </c>
      <c r="M95" s="346">
        <v>92390.335002479522</v>
      </c>
      <c r="N95" s="346">
        <v>105083.10999502179</v>
      </c>
      <c r="O95" s="346">
        <f>3120172*0</f>
        <v>0</v>
      </c>
      <c r="P95" s="346">
        <v>0</v>
      </c>
      <c r="Q95" s="346">
        <v>0</v>
      </c>
      <c r="R95" s="346">
        <v>138590.47</v>
      </c>
      <c r="S95" s="346">
        <v>49454.390000000021</v>
      </c>
      <c r="T95" s="346">
        <v>0</v>
      </c>
      <c r="U95" s="346">
        <v>147988.67000000007</v>
      </c>
      <c r="V95" s="346">
        <v>0</v>
      </c>
      <c r="W95" s="346">
        <v>16143.76</v>
      </c>
      <c r="X95" s="346">
        <v>50302.489999999991</v>
      </c>
      <c r="Y95" s="346">
        <v>46371.29</v>
      </c>
      <c r="Z95" s="346">
        <v>96407.588203063031</v>
      </c>
      <c r="AA95" s="346">
        <v>174990.35629680392</v>
      </c>
      <c r="AB95" s="346">
        <v>0</v>
      </c>
      <c r="AC95" s="346">
        <f>266211.733996735+589.636999487876</f>
        <v>266801.37099622289</v>
      </c>
      <c r="AD95" s="346">
        <v>280809.35501261719</v>
      </c>
      <c r="AE95" s="346">
        <v>14921.69619500875</v>
      </c>
      <c r="AF95" s="346">
        <v>89067.242996520989</v>
      </c>
      <c r="AG95" s="346">
        <v>59221.284398257725</v>
      </c>
      <c r="AH95" s="346">
        <v>291854.12919622473</v>
      </c>
      <c r="AI95" s="346">
        <v>14685.28</v>
      </c>
      <c r="AJ95" s="346">
        <v>7951.1099999999988</v>
      </c>
      <c r="AK95" s="346">
        <v>0</v>
      </c>
      <c r="AL95" s="346">
        <v>0</v>
      </c>
      <c r="AM95" s="346">
        <v>0</v>
      </c>
      <c r="AN95" s="346">
        <v>8036.8099999999995</v>
      </c>
      <c r="AO95" s="346">
        <v>53729.739999999983</v>
      </c>
      <c r="AP95" s="346">
        <v>393.83</v>
      </c>
      <c r="AQ95" s="346">
        <v>0</v>
      </c>
      <c r="AR95" s="346">
        <v>64996.649999999994</v>
      </c>
      <c r="AS95" s="346">
        <v>88551.54099792958</v>
      </c>
      <c r="AT95" s="346">
        <v>127876.60999999996</v>
      </c>
      <c r="AU95" s="346">
        <v>0</v>
      </c>
      <c r="AV95" s="346">
        <v>43795.97</v>
      </c>
      <c r="AW95" s="346">
        <v>77996.854005694404</v>
      </c>
      <c r="AX95" s="346">
        <v>8417.1700000000019</v>
      </c>
      <c r="AY95" s="346">
        <v>0</v>
      </c>
      <c r="AZ95" s="346">
        <v>0</v>
      </c>
      <c r="BA95" s="346">
        <v>24134.9</v>
      </c>
      <c r="BB95" s="346">
        <v>4001.5099999999984</v>
      </c>
      <c r="BC95" s="346">
        <v>45754.610000000015</v>
      </c>
      <c r="BD95" s="346">
        <v>2412.5</v>
      </c>
      <c r="BE95" s="346">
        <f t="shared" si="0"/>
        <v>3120172.3521775878</v>
      </c>
      <c r="BF95" s="346"/>
      <c r="BG95" s="346">
        <f t="shared" si="1"/>
        <v>3120172.3521775878</v>
      </c>
      <c r="BH95" s="522"/>
      <c r="BO95" s="79" t="e">
        <f>VLOOKUP(A95,[2]Sheet1!$A$8:$A$102,1,0)</f>
        <v>#N/A</v>
      </c>
    </row>
    <row r="96" spans="1:67" ht="15" hidden="1" customHeight="1" x14ac:dyDescent="0.35">
      <c r="A96" s="3" t="s">
        <v>165</v>
      </c>
      <c r="B96" s="4" t="s">
        <v>166</v>
      </c>
      <c r="C96" s="4" t="s">
        <v>314</v>
      </c>
      <c r="D96" s="4" t="s">
        <v>1059</v>
      </c>
      <c r="E96" s="83">
        <v>20733</v>
      </c>
      <c r="F96" s="83">
        <v>30306</v>
      </c>
      <c r="G96" s="83">
        <v>0</v>
      </c>
      <c r="H96" s="83">
        <v>78009</v>
      </c>
      <c r="I96" s="83">
        <v>7444</v>
      </c>
      <c r="J96" s="83">
        <f>6746+(216358/4)</f>
        <v>60835.5</v>
      </c>
      <c r="K96" s="83">
        <f>1337+(216358/4)</f>
        <v>55426.5</v>
      </c>
      <c r="L96" s="83">
        <f>(216358/4)*0</f>
        <v>0</v>
      </c>
      <c r="M96" s="83">
        <f>700+(216358/4)</f>
        <v>54789.5</v>
      </c>
      <c r="N96" s="83">
        <f>1187+(216358/4)</f>
        <v>55276.5</v>
      </c>
      <c r="O96" s="83">
        <v>0</v>
      </c>
      <c r="P96" s="83">
        <v>0</v>
      </c>
      <c r="Q96" s="83">
        <v>0</v>
      </c>
      <c r="R96" s="83">
        <f>63374+8318</f>
        <v>71692</v>
      </c>
      <c r="S96" s="83">
        <v>14218</v>
      </c>
      <c r="T96" s="83">
        <f>8318*0</f>
        <v>0</v>
      </c>
      <c r="U96" s="83">
        <v>7358</v>
      </c>
      <c r="V96" s="83">
        <f>(92694/3)*0</f>
        <v>0</v>
      </c>
      <c r="W96" s="83">
        <f>5470+(92694/3)</f>
        <v>36368</v>
      </c>
      <c r="X96" s="83">
        <f>64980+(92694/3)</f>
        <v>95878</v>
      </c>
      <c r="Y96" s="83">
        <f>839+(92694/3)</f>
        <v>31737</v>
      </c>
      <c r="Z96" s="83">
        <f>18978+(1160/8)</f>
        <v>19123</v>
      </c>
      <c r="AA96" s="83">
        <f>37308+(1160/8)</f>
        <v>37453</v>
      </c>
      <c r="AB96" s="83">
        <f>(1160/8)*0</f>
        <v>0</v>
      </c>
      <c r="AC96" s="83">
        <f>20111+(1160/8)</f>
        <v>20256</v>
      </c>
      <c r="AD96" s="83">
        <f>99705+(1160/8)</f>
        <v>99850</v>
      </c>
      <c r="AE96" s="83">
        <f>13773+(1160/8)</f>
        <v>13918</v>
      </c>
      <c r="AF96" s="83">
        <f>16627+(1160/8)</f>
        <v>16772</v>
      </c>
      <c r="AG96" s="83">
        <f>15688+(1160/8)</f>
        <v>15833</v>
      </c>
      <c r="AH96" s="83">
        <f>12057+(1160/8)</f>
        <v>12202</v>
      </c>
      <c r="AI96" s="83">
        <f>9674+((331951+1412)/7)</f>
        <v>57297.285714285717</v>
      </c>
      <c r="AJ96" s="83">
        <f>25+((331951+1412)/7)</f>
        <v>47648.285714285717</v>
      </c>
      <c r="AK96" s="83">
        <v>0</v>
      </c>
      <c r="AL96" s="83">
        <f>1412*0</f>
        <v>0</v>
      </c>
      <c r="AM96" s="83">
        <f>((331951+1412)/7)*0</f>
        <v>0</v>
      </c>
      <c r="AN96" s="83">
        <f>4438+((331951+1412)/7)</f>
        <v>52061.285714285717</v>
      </c>
      <c r="AO96" s="83">
        <f>6807+((331951+1412)/7)</f>
        <v>54430.285714285717</v>
      </c>
      <c r="AP96" s="83">
        <f>380+((331951+1412)/7)</f>
        <v>48003.285714285717</v>
      </c>
      <c r="AQ96" s="83">
        <f>5251+((331951+1412)/7)</f>
        <v>52874.285714285717</v>
      </c>
      <c r="AR96" s="83">
        <f>17563+((331951+1412)/7)</f>
        <v>65186.285714285717</v>
      </c>
      <c r="AS96" s="83">
        <v>3426</v>
      </c>
      <c r="AT96" s="83">
        <v>22883</v>
      </c>
      <c r="AU96" s="83">
        <v>0</v>
      </c>
      <c r="AV96" s="83">
        <v>15818</v>
      </c>
      <c r="AW96" s="83">
        <v>15818</v>
      </c>
      <c r="AX96" s="83">
        <v>16350</v>
      </c>
      <c r="AY96" s="83">
        <v>0</v>
      </c>
      <c r="AZ96" s="83">
        <v>0</v>
      </c>
      <c r="BA96" s="83">
        <v>52008</v>
      </c>
      <c r="BB96" s="83">
        <v>45406</v>
      </c>
      <c r="BC96" s="83">
        <v>80321</v>
      </c>
      <c r="BD96" s="83">
        <v>27032</v>
      </c>
      <c r="BE96" s="5">
        <f t="shared" si="0"/>
        <v>1512040.9999999998</v>
      </c>
      <c r="BF96" s="5"/>
      <c r="BG96" s="5">
        <f t="shared" si="1"/>
        <v>1512040.9999999998</v>
      </c>
      <c r="BH96" s="66">
        <f>BE96-'TB 17.05.24'!BD75</f>
        <v>-123801.00000000023</v>
      </c>
      <c r="BO96" t="str">
        <f>VLOOKUP(A96,[2]Sheet1!$A$8:$A$102,1,0)</f>
        <v>450002-015</v>
      </c>
    </row>
    <row r="97" spans="1:67" ht="15" hidden="1" customHeight="1" x14ac:dyDescent="0.35">
      <c r="A97" s="3" t="s">
        <v>167</v>
      </c>
      <c r="B97" s="4" t="s">
        <v>168</v>
      </c>
      <c r="C97" s="4" t="s">
        <v>314</v>
      </c>
      <c r="D97" s="4" t="s">
        <v>322</v>
      </c>
      <c r="E97" s="83">
        <v>0</v>
      </c>
      <c r="F97" s="83">
        <v>0</v>
      </c>
      <c r="G97" s="83">
        <v>0</v>
      </c>
      <c r="H97" s="83">
        <v>0</v>
      </c>
      <c r="I97" s="83">
        <v>0</v>
      </c>
      <c r="J97" s="83">
        <v>6195</v>
      </c>
      <c r="K97" s="83">
        <v>9394</v>
      </c>
      <c r="L97" s="83">
        <v>0</v>
      </c>
      <c r="M97" s="83">
        <v>6990</v>
      </c>
      <c r="N97" s="83">
        <v>8744</v>
      </c>
      <c r="O97" s="83">
        <v>0</v>
      </c>
      <c r="P97" s="83">
        <v>0</v>
      </c>
      <c r="Q97" s="83">
        <v>0</v>
      </c>
      <c r="R97" s="83">
        <v>0</v>
      </c>
      <c r="S97" s="83">
        <v>0</v>
      </c>
      <c r="T97" s="83">
        <v>0</v>
      </c>
      <c r="U97" s="83">
        <v>0</v>
      </c>
      <c r="V97" s="83">
        <v>0</v>
      </c>
      <c r="W97" s="83">
        <v>0</v>
      </c>
      <c r="X97" s="83">
        <v>0</v>
      </c>
      <c r="Y97" s="83">
        <v>0</v>
      </c>
      <c r="Z97" s="83">
        <v>2844</v>
      </c>
      <c r="AA97" s="83">
        <v>0</v>
      </c>
      <c r="AB97" s="83">
        <v>0</v>
      </c>
      <c r="AC97" s="83">
        <v>0</v>
      </c>
      <c r="AD97" s="83">
        <v>0</v>
      </c>
      <c r="AE97" s="83">
        <v>3874</v>
      </c>
      <c r="AF97" s="83">
        <v>29682</v>
      </c>
      <c r="AG97" s="83">
        <v>0</v>
      </c>
      <c r="AH97" s="83">
        <v>0</v>
      </c>
      <c r="AI97" s="83">
        <v>2718</v>
      </c>
      <c r="AJ97" s="83">
        <v>1729</v>
      </c>
      <c r="AK97" s="83">
        <v>0</v>
      </c>
      <c r="AL97" s="83">
        <v>0</v>
      </c>
      <c r="AM97" s="83">
        <v>0</v>
      </c>
      <c r="AN97" s="83">
        <v>468</v>
      </c>
      <c r="AO97" s="83">
        <v>17067</v>
      </c>
      <c r="AP97" s="83">
        <v>0</v>
      </c>
      <c r="AQ97" s="83">
        <v>0</v>
      </c>
      <c r="AR97" s="83">
        <v>38966</v>
      </c>
      <c r="AS97" s="83">
        <v>3962</v>
      </c>
      <c r="AT97" s="83">
        <v>5172</v>
      </c>
      <c r="AU97" s="83">
        <v>0</v>
      </c>
      <c r="AV97" s="83">
        <v>3240</v>
      </c>
      <c r="AW97" s="83">
        <v>3240</v>
      </c>
      <c r="AX97" s="83">
        <v>0</v>
      </c>
      <c r="AY97" s="83">
        <v>0</v>
      </c>
      <c r="AZ97" s="83">
        <v>0</v>
      </c>
      <c r="BA97" s="83">
        <v>0</v>
      </c>
      <c r="BB97" s="83">
        <v>0</v>
      </c>
      <c r="BC97" s="83">
        <v>120000</v>
      </c>
      <c r="BD97" s="83">
        <v>0</v>
      </c>
      <c r="BE97" s="5">
        <f t="shared" si="0"/>
        <v>264285</v>
      </c>
      <c r="BF97" s="5"/>
      <c r="BG97" s="5">
        <f t="shared" si="1"/>
        <v>264285</v>
      </c>
      <c r="BH97" s="66">
        <f>BE97-'TB 17.05.24'!BD76</f>
        <v>147078</v>
      </c>
      <c r="BO97" t="str">
        <f>VLOOKUP(A97,[2]Sheet1!$A$8:$A$102,1,0)</f>
        <v>450002-016</v>
      </c>
    </row>
    <row r="98" spans="1:67" ht="15" hidden="1" customHeight="1" x14ac:dyDescent="0.35">
      <c r="A98" s="3" t="s">
        <v>169</v>
      </c>
      <c r="B98" s="4" t="s">
        <v>170</v>
      </c>
      <c r="C98" s="4" t="s">
        <v>314</v>
      </c>
      <c r="D98" s="4" t="s">
        <v>1059</v>
      </c>
      <c r="E98" s="83">
        <v>4045</v>
      </c>
      <c r="F98" s="83">
        <v>25056</v>
      </c>
      <c r="G98" s="83">
        <v>0</v>
      </c>
      <c r="H98" s="83">
        <v>5946</v>
      </c>
      <c r="I98" s="83">
        <v>56420</v>
      </c>
      <c r="J98" s="83">
        <f>14296+(55211/4)</f>
        <v>28098.75</v>
      </c>
      <c r="K98" s="83">
        <f>0+(55211/4)</f>
        <v>13802.75</v>
      </c>
      <c r="L98" s="83">
        <f>(55211/4)*0</f>
        <v>0</v>
      </c>
      <c r="M98" s="83">
        <f>0+(55211/4)</f>
        <v>13802.75</v>
      </c>
      <c r="N98" s="83">
        <f>0+(55211/4)</f>
        <v>13802.75</v>
      </c>
      <c r="O98" s="83">
        <v>0</v>
      </c>
      <c r="P98" s="83">
        <v>0</v>
      </c>
      <c r="Q98" s="83">
        <v>0</v>
      </c>
      <c r="R98" s="83">
        <v>16636</v>
      </c>
      <c r="S98" s="83">
        <v>4248</v>
      </c>
      <c r="T98" s="83">
        <v>0</v>
      </c>
      <c r="U98" s="83">
        <v>7075</v>
      </c>
      <c r="V98" s="83">
        <f>(51385/3)*0</f>
        <v>0</v>
      </c>
      <c r="W98" s="83">
        <f>0+(51385/3)</f>
        <v>17128.333333333332</v>
      </c>
      <c r="X98" s="83">
        <f>0+(51385/3)</f>
        <v>17128.333333333332</v>
      </c>
      <c r="Y98" s="83">
        <f>0+(51385/3)</f>
        <v>17128.333333333332</v>
      </c>
      <c r="Z98" s="83">
        <f>26011+(850/8)</f>
        <v>26117.25</v>
      </c>
      <c r="AA98" s="83">
        <f>25069+(850/8)</f>
        <v>25175.25</v>
      </c>
      <c r="AB98" s="83">
        <f>(850/8)*0</f>
        <v>0</v>
      </c>
      <c r="AC98" s="83">
        <f>10026+(850/8)</f>
        <v>10132.25</v>
      </c>
      <c r="AD98" s="83">
        <f>44946+(850/8)</f>
        <v>45052.25</v>
      </c>
      <c r="AE98" s="83">
        <f>24050+(850/8)</f>
        <v>24156.25</v>
      </c>
      <c r="AF98" s="83">
        <f>13010+(850/8)</f>
        <v>13116.25</v>
      </c>
      <c r="AG98" s="83">
        <f>30390+(850/8)</f>
        <v>30496.25</v>
      </c>
      <c r="AH98" s="83">
        <f>103436+(850/8)</f>
        <v>103542.25</v>
      </c>
      <c r="AI98" s="83">
        <f>0+((212371+698)/7)</f>
        <v>30438.428571428572</v>
      </c>
      <c r="AJ98" s="83">
        <f>0+((212371+698)/7)</f>
        <v>30438.428571428572</v>
      </c>
      <c r="AK98" s="83">
        <v>0</v>
      </c>
      <c r="AL98" s="83">
        <f>698*0</f>
        <v>0</v>
      </c>
      <c r="AM98" s="83">
        <f>((212371+698)/7)*0</f>
        <v>0</v>
      </c>
      <c r="AN98" s="83">
        <f>0+((212371+698)/7)</f>
        <v>30438.428571428572</v>
      </c>
      <c r="AO98" s="83">
        <f>0+((212371+698)/7)</f>
        <v>30438.428571428572</v>
      </c>
      <c r="AP98" s="83">
        <f>47770+((212371+698)/7)</f>
        <v>78208.42857142858</v>
      </c>
      <c r="AQ98" s="83">
        <f>0+((212371+698)/7)</f>
        <v>30438.428571428572</v>
      </c>
      <c r="AR98" s="83">
        <f>15910+((212371+698)/7)</f>
        <v>46348.428571428572</v>
      </c>
      <c r="AS98" s="83">
        <v>28984</v>
      </c>
      <c r="AT98" s="83">
        <v>18092</v>
      </c>
      <c r="AU98" s="83">
        <v>0</v>
      </c>
      <c r="AV98" s="83">
        <v>8394</v>
      </c>
      <c r="AW98" s="83">
        <v>8394</v>
      </c>
      <c r="AX98" s="83">
        <v>29496</v>
      </c>
      <c r="AY98" s="83">
        <v>0</v>
      </c>
      <c r="AZ98" s="83">
        <v>0</v>
      </c>
      <c r="BA98" s="83">
        <v>24617</v>
      </c>
      <c r="BB98" s="83">
        <v>51653</v>
      </c>
      <c r="BC98" s="83">
        <v>18129</v>
      </c>
      <c r="BD98" s="83">
        <v>21090</v>
      </c>
      <c r="BE98" s="5">
        <f t="shared" si="0"/>
        <v>1003703.9999999998</v>
      </c>
      <c r="BF98" s="5"/>
      <c r="BG98" s="5">
        <f t="shared" si="1"/>
        <v>1003703.9999999998</v>
      </c>
      <c r="BH98" s="66">
        <f>BE98-'TB 17.05.24'!BD77</f>
        <v>-252280.00000000023</v>
      </c>
      <c r="BO98" t="str">
        <f>VLOOKUP(A98,[2]Sheet1!$A$8:$A$102,1,0)</f>
        <v>450002-018</v>
      </c>
    </row>
    <row r="99" spans="1:67" ht="15" hidden="1" customHeight="1" x14ac:dyDescent="0.35">
      <c r="A99" s="3" t="s">
        <v>171</v>
      </c>
      <c r="B99" s="4" t="s">
        <v>172</v>
      </c>
      <c r="C99" s="4" t="s">
        <v>314</v>
      </c>
      <c r="D99" s="4" t="s">
        <v>303</v>
      </c>
      <c r="E99" s="83">
        <v>1990</v>
      </c>
      <c r="F99" s="83">
        <v>1592</v>
      </c>
      <c r="G99" s="83">
        <v>0</v>
      </c>
      <c r="H99" s="83">
        <v>995</v>
      </c>
      <c r="I99" s="83">
        <v>0</v>
      </c>
      <c r="J99" s="83">
        <v>8812</v>
      </c>
      <c r="K99" s="83">
        <v>3611</v>
      </c>
      <c r="L99" s="83">
        <v>0</v>
      </c>
      <c r="M99" s="83">
        <v>3100</v>
      </c>
      <c r="N99" s="83">
        <v>0</v>
      </c>
      <c r="O99" s="83">
        <v>0</v>
      </c>
      <c r="P99" s="83">
        <v>0</v>
      </c>
      <c r="Q99" s="83">
        <v>0</v>
      </c>
      <c r="R99" s="83">
        <v>0</v>
      </c>
      <c r="S99" s="83">
        <v>1776</v>
      </c>
      <c r="T99" s="83">
        <v>0</v>
      </c>
      <c r="U99" s="83">
        <v>0</v>
      </c>
      <c r="V99" s="83">
        <v>0</v>
      </c>
      <c r="W99" s="83">
        <v>88628</v>
      </c>
      <c r="X99" s="83">
        <v>0</v>
      </c>
      <c r="Y99" s="83">
        <v>88628</v>
      </c>
      <c r="Z99" s="83">
        <v>11361</v>
      </c>
      <c r="AA99" s="83">
        <v>0</v>
      </c>
      <c r="AB99" s="83">
        <v>0</v>
      </c>
      <c r="AC99" s="83">
        <v>0</v>
      </c>
      <c r="AD99" s="83">
        <v>98932</v>
      </c>
      <c r="AE99" s="83">
        <v>0</v>
      </c>
      <c r="AF99" s="83">
        <v>0</v>
      </c>
      <c r="AG99" s="83">
        <v>0</v>
      </c>
      <c r="AH99" s="83">
        <v>0</v>
      </c>
      <c r="AI99" s="83">
        <v>0</v>
      </c>
      <c r="AJ99" s="83">
        <v>0</v>
      </c>
      <c r="AK99" s="83">
        <v>0</v>
      </c>
      <c r="AL99" s="83">
        <v>0</v>
      </c>
      <c r="AM99" s="83">
        <v>0</v>
      </c>
      <c r="AN99" s="83">
        <v>0</v>
      </c>
      <c r="AO99" s="83">
        <v>0</v>
      </c>
      <c r="AP99" s="83">
        <v>0</v>
      </c>
      <c r="AQ99" s="83">
        <v>0</v>
      </c>
      <c r="AR99" s="83">
        <v>0</v>
      </c>
      <c r="AS99" s="83">
        <v>44007</v>
      </c>
      <c r="AT99" s="83">
        <v>0</v>
      </c>
      <c r="AU99" s="83">
        <v>0</v>
      </c>
      <c r="AV99" s="83">
        <v>-12077</v>
      </c>
      <c r="AW99" s="83">
        <v>214527</v>
      </c>
      <c r="AX99" s="83">
        <v>0</v>
      </c>
      <c r="AY99" s="83">
        <v>0</v>
      </c>
      <c r="AZ99" s="83">
        <v>0</v>
      </c>
      <c r="BA99" s="83">
        <v>0</v>
      </c>
      <c r="BB99" s="83">
        <v>0</v>
      </c>
      <c r="BC99" s="83">
        <v>0</v>
      </c>
      <c r="BD99" s="83">
        <v>0</v>
      </c>
      <c r="BE99" s="5">
        <f t="shared" si="0"/>
        <v>555882</v>
      </c>
      <c r="BF99" s="5"/>
      <c r="BG99" s="5">
        <f t="shared" si="1"/>
        <v>555882</v>
      </c>
      <c r="BH99" s="66">
        <f>BE99-'TB 17.05.24'!BD78</f>
        <v>279877</v>
      </c>
      <c r="BO99" t="str">
        <f>VLOOKUP(A99,[2]Sheet1!$A$8:$A$102,1,0)</f>
        <v>450002-019</v>
      </c>
    </row>
    <row r="100" spans="1:67" ht="15" hidden="1" customHeight="1" x14ac:dyDescent="0.35">
      <c r="A100" s="3" t="s">
        <v>173</v>
      </c>
      <c r="B100" s="4" t="s">
        <v>174</v>
      </c>
      <c r="C100" s="4" t="s">
        <v>314</v>
      </c>
      <c r="D100" s="4" t="s">
        <v>1059</v>
      </c>
      <c r="E100" s="83">
        <v>0</v>
      </c>
      <c r="F100" s="83">
        <v>0</v>
      </c>
      <c r="G100" s="83">
        <v>0</v>
      </c>
      <c r="H100" s="83">
        <v>0</v>
      </c>
      <c r="I100" s="83">
        <v>0</v>
      </c>
      <c r="J100" s="83">
        <v>0</v>
      </c>
      <c r="K100" s="83">
        <v>0</v>
      </c>
      <c r="L100" s="83">
        <v>0</v>
      </c>
      <c r="M100" s="83">
        <v>0</v>
      </c>
      <c r="N100" s="83">
        <v>0</v>
      </c>
      <c r="O100" s="83">
        <v>0</v>
      </c>
      <c r="P100" s="83">
        <v>0</v>
      </c>
      <c r="Q100" s="83">
        <v>0</v>
      </c>
      <c r="R100" s="83">
        <v>0</v>
      </c>
      <c r="S100" s="83">
        <v>0</v>
      </c>
      <c r="T100" s="83">
        <v>0</v>
      </c>
      <c r="U100" s="83">
        <v>0</v>
      </c>
      <c r="V100" s="83">
        <v>0</v>
      </c>
      <c r="W100" s="83">
        <v>0</v>
      </c>
      <c r="X100" s="83">
        <v>0</v>
      </c>
      <c r="Y100" s="83">
        <v>0</v>
      </c>
      <c r="Z100" s="83">
        <v>0</v>
      </c>
      <c r="AA100" s="83">
        <v>0</v>
      </c>
      <c r="AB100" s="83">
        <v>0</v>
      </c>
      <c r="AC100" s="83">
        <v>4734</v>
      </c>
      <c r="AD100" s="83">
        <v>0</v>
      </c>
      <c r="AE100" s="83">
        <v>0</v>
      </c>
      <c r="AF100" s="83">
        <v>0</v>
      </c>
      <c r="AG100" s="83">
        <v>0</v>
      </c>
      <c r="AH100" s="83">
        <v>0</v>
      </c>
      <c r="AI100" s="83">
        <v>0</v>
      </c>
      <c r="AJ100" s="83">
        <v>0</v>
      </c>
      <c r="AK100" s="83">
        <v>0</v>
      </c>
      <c r="AL100" s="83">
        <v>0</v>
      </c>
      <c r="AM100" s="83">
        <v>0</v>
      </c>
      <c r="AN100" s="83">
        <v>600</v>
      </c>
      <c r="AO100" s="83">
        <v>0</v>
      </c>
      <c r="AP100" s="83">
        <v>0</v>
      </c>
      <c r="AQ100" s="83">
        <v>0</v>
      </c>
      <c r="AR100" s="83">
        <v>0</v>
      </c>
      <c r="AS100" s="83">
        <v>0</v>
      </c>
      <c r="AT100" s="83">
        <v>0</v>
      </c>
      <c r="AU100" s="83">
        <v>0</v>
      </c>
      <c r="AV100" s="83">
        <v>0</v>
      </c>
      <c r="AW100" s="83">
        <v>0</v>
      </c>
      <c r="AX100" s="83">
        <v>0</v>
      </c>
      <c r="AY100" s="83">
        <v>0</v>
      </c>
      <c r="AZ100" s="83">
        <v>0</v>
      </c>
      <c r="BA100" s="83">
        <v>0</v>
      </c>
      <c r="BB100" s="83">
        <v>0</v>
      </c>
      <c r="BC100" s="83">
        <v>0</v>
      </c>
      <c r="BD100" s="83">
        <v>0</v>
      </c>
      <c r="BE100" s="5">
        <f t="shared" si="0"/>
        <v>5334</v>
      </c>
      <c r="BF100" s="5">
        <f>16903</f>
        <v>16903</v>
      </c>
      <c r="BG100" s="5">
        <f t="shared" si="1"/>
        <v>22237</v>
      </c>
      <c r="BH100" s="66">
        <f>BE100-'TB 17.05.24'!BD79</f>
        <v>-11569</v>
      </c>
      <c r="BO100" t="str">
        <f>VLOOKUP(A100,[2]Sheet1!$A$8:$A$102,1,0)</f>
        <v>450002-020</v>
      </c>
    </row>
    <row r="101" spans="1:67" ht="15" hidden="1" customHeight="1" x14ac:dyDescent="0.35">
      <c r="A101" s="3" t="s">
        <v>175</v>
      </c>
      <c r="B101" s="4" t="s">
        <v>176</v>
      </c>
      <c r="C101" s="4" t="s">
        <v>314</v>
      </c>
      <c r="D101" s="4" t="s">
        <v>1059</v>
      </c>
      <c r="E101" s="83">
        <v>0</v>
      </c>
      <c r="F101" s="83">
        <v>0</v>
      </c>
      <c r="G101" s="83">
        <v>0</v>
      </c>
      <c r="H101" s="83">
        <v>0</v>
      </c>
      <c r="I101" s="83">
        <v>0</v>
      </c>
      <c r="J101" s="83">
        <v>0</v>
      </c>
      <c r="K101" s="83">
        <v>0</v>
      </c>
      <c r="L101" s="83">
        <v>0</v>
      </c>
      <c r="M101" s="83">
        <v>0</v>
      </c>
      <c r="N101" s="83">
        <v>0</v>
      </c>
      <c r="O101" s="83">
        <v>0</v>
      </c>
      <c r="P101" s="83">
        <v>0</v>
      </c>
      <c r="Q101" s="83">
        <v>0</v>
      </c>
      <c r="R101" s="83">
        <v>0</v>
      </c>
      <c r="S101" s="83">
        <v>0</v>
      </c>
      <c r="T101" s="83">
        <v>0</v>
      </c>
      <c r="U101" s="83">
        <v>0</v>
      </c>
      <c r="V101" s="83">
        <v>0</v>
      </c>
      <c r="W101" s="83">
        <v>0</v>
      </c>
      <c r="X101" s="83">
        <v>0</v>
      </c>
      <c r="Y101" s="83">
        <v>0</v>
      </c>
      <c r="Z101" s="83">
        <v>0</v>
      </c>
      <c r="AA101" s="83">
        <v>0</v>
      </c>
      <c r="AB101" s="83">
        <v>0</v>
      </c>
      <c r="AC101" s="83">
        <v>0</v>
      </c>
      <c r="AD101" s="83">
        <v>0</v>
      </c>
      <c r="AE101" s="83">
        <v>0</v>
      </c>
      <c r="AF101" s="83">
        <v>6160</v>
      </c>
      <c r="AG101" s="83">
        <v>0</v>
      </c>
      <c r="AH101" s="83">
        <v>0</v>
      </c>
      <c r="AI101" s="83">
        <v>0</v>
      </c>
      <c r="AJ101" s="83">
        <v>0</v>
      </c>
      <c r="AK101" s="83">
        <v>0</v>
      </c>
      <c r="AL101" s="83">
        <v>0</v>
      </c>
      <c r="AM101" s="83">
        <v>0</v>
      </c>
      <c r="AN101" s="83">
        <v>0</v>
      </c>
      <c r="AO101" s="83">
        <v>0</v>
      </c>
      <c r="AP101" s="83">
        <v>0</v>
      </c>
      <c r="AQ101" s="83">
        <v>0</v>
      </c>
      <c r="AR101" s="83">
        <v>0</v>
      </c>
      <c r="AS101" s="83">
        <v>0</v>
      </c>
      <c r="AT101" s="83">
        <v>0</v>
      </c>
      <c r="AU101" s="83">
        <v>0</v>
      </c>
      <c r="AV101" s="83">
        <v>0</v>
      </c>
      <c r="AW101" s="83">
        <v>0</v>
      </c>
      <c r="AX101" s="83">
        <v>0</v>
      </c>
      <c r="AY101" s="83">
        <v>0</v>
      </c>
      <c r="AZ101" s="83">
        <v>0</v>
      </c>
      <c r="BA101" s="83">
        <v>0</v>
      </c>
      <c r="BB101" s="83">
        <v>0</v>
      </c>
      <c r="BC101" s="83">
        <v>0</v>
      </c>
      <c r="BD101" s="83">
        <v>0</v>
      </c>
      <c r="BE101" s="5">
        <f t="shared" si="0"/>
        <v>6160</v>
      </c>
      <c r="BF101" s="5">
        <f>12000</f>
        <v>12000</v>
      </c>
      <c r="BG101" s="5">
        <f t="shared" si="1"/>
        <v>18160</v>
      </c>
      <c r="BH101" s="66">
        <f>BE101-'TB 17.05.24'!BD80</f>
        <v>-5840</v>
      </c>
      <c r="BO101" t="str">
        <f>VLOOKUP(A101,[2]Sheet1!$A$8:$A$102,1,0)</f>
        <v>450002-022</v>
      </c>
    </row>
    <row r="102" spans="1:67" ht="15" hidden="1" customHeight="1" x14ac:dyDescent="0.35">
      <c r="A102" s="3" t="s">
        <v>177</v>
      </c>
      <c r="B102" s="4" t="s">
        <v>178</v>
      </c>
      <c r="C102" s="4" t="s">
        <v>314</v>
      </c>
      <c r="D102" s="4" t="s">
        <v>1059</v>
      </c>
      <c r="E102" s="83">
        <v>494</v>
      </c>
      <c r="F102" s="83">
        <v>1044</v>
      </c>
      <c r="G102" s="83">
        <v>0</v>
      </c>
      <c r="H102" s="83">
        <v>900</v>
      </c>
      <c r="I102" s="83">
        <v>0</v>
      </c>
      <c r="J102" s="83">
        <v>0</v>
      </c>
      <c r="K102" s="83">
        <v>0</v>
      </c>
      <c r="L102" s="83">
        <v>0</v>
      </c>
      <c r="M102" s="83">
        <v>0</v>
      </c>
      <c r="N102" s="83">
        <v>0</v>
      </c>
      <c r="O102" s="83">
        <v>0</v>
      </c>
      <c r="P102" s="83">
        <v>0</v>
      </c>
      <c r="Q102" s="83">
        <v>0</v>
      </c>
      <c r="R102" s="83">
        <v>0</v>
      </c>
      <c r="S102" s="83">
        <v>90</v>
      </c>
      <c r="T102" s="83">
        <v>0</v>
      </c>
      <c r="U102" s="83">
        <v>14</v>
      </c>
      <c r="V102" s="83">
        <f>(900/3)*0</f>
        <v>0</v>
      </c>
      <c r="W102" s="83">
        <f>0+(900/3)</f>
        <v>300</v>
      </c>
      <c r="X102" s="83">
        <f>0+(900/3)</f>
        <v>300</v>
      </c>
      <c r="Y102" s="83">
        <f>0+(900/3)</f>
        <v>300</v>
      </c>
      <c r="Z102" s="83">
        <v>0</v>
      </c>
      <c r="AA102" s="83">
        <v>0</v>
      </c>
      <c r="AB102" s="83">
        <v>0</v>
      </c>
      <c r="AC102" s="83">
        <v>0</v>
      </c>
      <c r="AD102" s="83">
        <v>500</v>
      </c>
      <c r="AE102" s="83">
        <v>0</v>
      </c>
      <c r="AF102" s="83">
        <v>115</v>
      </c>
      <c r="AG102" s="83">
        <v>0</v>
      </c>
      <c r="AH102" s="83">
        <v>0</v>
      </c>
      <c r="AI102" s="83">
        <v>22</v>
      </c>
      <c r="AJ102" s="83">
        <v>300</v>
      </c>
      <c r="AK102" s="83">
        <v>0</v>
      </c>
      <c r="AL102" s="83">
        <v>0</v>
      </c>
      <c r="AM102" s="83">
        <v>0</v>
      </c>
      <c r="AN102" s="83">
        <v>0</v>
      </c>
      <c r="AO102" s="83">
        <v>0</v>
      </c>
      <c r="AP102" s="83">
        <v>0</v>
      </c>
      <c r="AQ102" s="83">
        <v>0</v>
      </c>
      <c r="AR102" s="83">
        <v>180</v>
      </c>
      <c r="AS102" s="83">
        <v>80</v>
      </c>
      <c r="AT102" s="83">
        <v>0</v>
      </c>
      <c r="AU102" s="83">
        <v>0</v>
      </c>
      <c r="AV102" s="83">
        <v>0</v>
      </c>
      <c r="AW102" s="83">
        <v>0</v>
      </c>
      <c r="AX102" s="83">
        <v>922</v>
      </c>
      <c r="AY102" s="83">
        <v>0</v>
      </c>
      <c r="AZ102" s="83">
        <v>0</v>
      </c>
      <c r="BA102" s="83">
        <v>0</v>
      </c>
      <c r="BB102" s="83">
        <v>224</v>
      </c>
      <c r="BC102" s="83">
        <v>150</v>
      </c>
      <c r="BD102" s="83">
        <v>124</v>
      </c>
      <c r="BE102" s="5">
        <f t="shared" si="0"/>
        <v>6059</v>
      </c>
      <c r="BF102" s="5">
        <f>900+1725+500+281+450+2250+300+4495+3016+2473</f>
        <v>16390</v>
      </c>
      <c r="BG102" s="5">
        <f t="shared" si="1"/>
        <v>22449</v>
      </c>
      <c r="BH102" s="66">
        <f>BE102-'TB 17.05.24'!BD81</f>
        <v>-10331</v>
      </c>
      <c r="BO102" t="str">
        <f>VLOOKUP(A102,[2]Sheet1!$A$8:$A$102,1,0)</f>
        <v>450002-023</v>
      </c>
    </row>
    <row r="103" spans="1:67" ht="15" hidden="1" customHeight="1" x14ac:dyDescent="0.35">
      <c r="A103" s="3" t="s">
        <v>179</v>
      </c>
      <c r="B103" s="4" t="s">
        <v>180</v>
      </c>
      <c r="C103" s="4" t="s">
        <v>314</v>
      </c>
      <c r="D103" s="4" t="s">
        <v>322</v>
      </c>
      <c r="E103" s="83">
        <v>0</v>
      </c>
      <c r="F103" s="83">
        <v>0</v>
      </c>
      <c r="G103" s="83">
        <v>0</v>
      </c>
      <c r="H103" s="83">
        <v>0</v>
      </c>
      <c r="I103" s="83">
        <v>0</v>
      </c>
      <c r="J103" s="83">
        <v>0</v>
      </c>
      <c r="K103" s="83">
        <v>0</v>
      </c>
      <c r="L103" s="83">
        <v>0</v>
      </c>
      <c r="M103" s="83">
        <v>3600</v>
      </c>
      <c r="N103" s="83">
        <v>0</v>
      </c>
      <c r="O103" s="83">
        <v>0</v>
      </c>
      <c r="P103" s="83">
        <v>0</v>
      </c>
      <c r="Q103" s="83">
        <v>0</v>
      </c>
      <c r="R103" s="83">
        <v>353</v>
      </c>
      <c r="S103" s="83">
        <v>0</v>
      </c>
      <c r="T103" s="83">
        <v>0</v>
      </c>
      <c r="U103" s="83">
        <v>0</v>
      </c>
      <c r="V103" s="83">
        <v>0</v>
      </c>
      <c r="W103" s="83">
        <v>0</v>
      </c>
      <c r="X103" s="83">
        <v>0</v>
      </c>
      <c r="Y103" s="83">
        <v>0</v>
      </c>
      <c r="Z103" s="83">
        <v>0</v>
      </c>
      <c r="AA103" s="83">
        <v>0</v>
      </c>
      <c r="AB103" s="83">
        <v>0</v>
      </c>
      <c r="AC103" s="83">
        <v>0</v>
      </c>
      <c r="AD103" s="83">
        <v>0</v>
      </c>
      <c r="AE103" s="83">
        <v>0</v>
      </c>
      <c r="AF103" s="83">
        <v>0</v>
      </c>
      <c r="AG103" s="83">
        <v>0</v>
      </c>
      <c r="AH103" s="83">
        <v>0</v>
      </c>
      <c r="AI103" s="83">
        <v>0</v>
      </c>
      <c r="AJ103" s="83">
        <v>0</v>
      </c>
      <c r="AK103" s="83">
        <v>0</v>
      </c>
      <c r="AL103" s="83">
        <v>0</v>
      </c>
      <c r="AM103" s="83">
        <v>0</v>
      </c>
      <c r="AN103" s="83">
        <v>0</v>
      </c>
      <c r="AO103" s="83">
        <v>0</v>
      </c>
      <c r="AP103" s="83">
        <v>0</v>
      </c>
      <c r="AQ103" s="83">
        <v>0</v>
      </c>
      <c r="AR103" s="83">
        <v>0</v>
      </c>
      <c r="AS103" s="83">
        <v>602</v>
      </c>
      <c r="AT103" s="83">
        <v>480</v>
      </c>
      <c r="AU103" s="83">
        <v>0</v>
      </c>
      <c r="AV103" s="83">
        <v>0</v>
      </c>
      <c r="AW103" s="83">
        <v>0</v>
      </c>
      <c r="AX103" s="83">
        <v>0</v>
      </c>
      <c r="AY103" s="83">
        <v>0</v>
      </c>
      <c r="AZ103" s="83">
        <v>0</v>
      </c>
      <c r="BA103" s="83">
        <v>0</v>
      </c>
      <c r="BB103" s="83">
        <v>0</v>
      </c>
      <c r="BC103" s="83">
        <v>0</v>
      </c>
      <c r="BD103" s="83">
        <v>0</v>
      </c>
      <c r="BE103" s="5">
        <f t="shared" si="0"/>
        <v>5035</v>
      </c>
      <c r="BF103" s="5"/>
      <c r="BG103" s="5">
        <f t="shared" si="1"/>
        <v>5035</v>
      </c>
      <c r="BH103" s="66">
        <f>BE103-'TB 17.05.24'!BD82</f>
        <v>399</v>
      </c>
      <c r="BO103" t="str">
        <f>VLOOKUP(A103,[2]Sheet1!$A$8:$A$102,1,0)</f>
        <v>450002-024</v>
      </c>
    </row>
    <row r="104" spans="1:67" ht="15" hidden="1" customHeight="1" x14ac:dyDescent="0.35">
      <c r="A104" s="3" t="s">
        <v>181</v>
      </c>
      <c r="B104" s="4" t="s">
        <v>182</v>
      </c>
      <c r="C104" s="4" t="s">
        <v>314</v>
      </c>
      <c r="D104" s="4" t="s">
        <v>290</v>
      </c>
      <c r="E104" s="83">
        <v>1872</v>
      </c>
      <c r="F104" s="83">
        <v>1872</v>
      </c>
      <c r="G104" s="83">
        <v>0</v>
      </c>
      <c r="H104" s="83">
        <v>1872</v>
      </c>
      <c r="I104" s="83">
        <v>1874</v>
      </c>
      <c r="J104" s="83">
        <v>7000</v>
      </c>
      <c r="K104" s="83">
        <v>0</v>
      </c>
      <c r="L104" s="83">
        <v>0</v>
      </c>
      <c r="M104" s="83">
        <v>4351</v>
      </c>
      <c r="N104" s="83">
        <v>4500</v>
      </c>
      <c r="O104" s="83">
        <v>0</v>
      </c>
      <c r="P104" s="83">
        <v>0</v>
      </c>
      <c r="Q104" s="83">
        <v>0</v>
      </c>
      <c r="R104" s="83">
        <v>0</v>
      </c>
      <c r="S104" s="83">
        <v>0</v>
      </c>
      <c r="T104" s="83">
        <v>0</v>
      </c>
      <c r="U104" s="83">
        <v>0</v>
      </c>
      <c r="V104" s="83">
        <v>0</v>
      </c>
      <c r="W104" s="83">
        <v>1366</v>
      </c>
      <c r="X104" s="83">
        <v>1366</v>
      </c>
      <c r="Y104" s="83">
        <v>1368</v>
      </c>
      <c r="Z104" s="83">
        <v>0</v>
      </c>
      <c r="AA104" s="83">
        <v>0</v>
      </c>
      <c r="AB104" s="83">
        <v>0</v>
      </c>
      <c r="AC104" s="83">
        <v>0</v>
      </c>
      <c r="AD104" s="83">
        <v>3561</v>
      </c>
      <c r="AE104" s="83">
        <v>0</v>
      </c>
      <c r="AF104" s="83">
        <v>0</v>
      </c>
      <c r="AG104" s="83">
        <v>0</v>
      </c>
      <c r="AH104" s="83">
        <v>0</v>
      </c>
      <c r="AI104" s="83">
        <v>5000</v>
      </c>
      <c r="AJ104" s="83">
        <v>5000</v>
      </c>
      <c r="AK104" s="83">
        <v>0</v>
      </c>
      <c r="AL104" s="83">
        <v>0</v>
      </c>
      <c r="AM104" s="83">
        <v>0</v>
      </c>
      <c r="AN104" s="83">
        <v>8538</v>
      </c>
      <c r="AO104" s="83">
        <v>2500</v>
      </c>
      <c r="AP104" s="83">
        <v>5000</v>
      </c>
      <c r="AQ104" s="83">
        <v>0</v>
      </c>
      <c r="AR104" s="83">
        <v>8548</v>
      </c>
      <c r="AS104" s="83">
        <v>0</v>
      </c>
      <c r="AT104" s="83">
        <v>18490</v>
      </c>
      <c r="AU104" s="83">
        <v>0</v>
      </c>
      <c r="AV104" s="83">
        <v>0</v>
      </c>
      <c r="AW104" s="83">
        <v>0</v>
      </c>
      <c r="AX104" s="83">
        <v>0</v>
      </c>
      <c r="AY104" s="83">
        <v>0</v>
      </c>
      <c r="AZ104" s="83">
        <v>0</v>
      </c>
      <c r="BA104" s="83">
        <v>0</v>
      </c>
      <c r="BB104" s="83">
        <v>0</v>
      </c>
      <c r="BC104" s="83">
        <v>0</v>
      </c>
      <c r="BD104" s="83">
        <v>0</v>
      </c>
      <c r="BE104" s="83">
        <f t="shared" ref="BE104:BE118" si="3">SUM(E104:BD104)</f>
        <v>84078</v>
      </c>
      <c r="BF104" s="5"/>
      <c r="BG104" s="5">
        <f t="shared" ref="BG104:BG117" si="4">BE104+BF104</f>
        <v>84078</v>
      </c>
      <c r="BH104" s="66">
        <f>BE104-'TB 17.05.24'!BD83</f>
        <v>28468</v>
      </c>
      <c r="BO104" t="str">
        <f>VLOOKUP(A104,[2]Sheet1!$A$8:$A$102,1,0)</f>
        <v>450002-025</v>
      </c>
    </row>
    <row r="105" spans="1:67" ht="15" hidden="1" customHeight="1" x14ac:dyDescent="0.35">
      <c r="A105" s="3" t="s">
        <v>183</v>
      </c>
      <c r="B105" s="4" t="s">
        <v>184</v>
      </c>
      <c r="C105" s="4" t="s">
        <v>314</v>
      </c>
      <c r="D105" s="4" t="s">
        <v>290</v>
      </c>
      <c r="E105" s="83">
        <v>0</v>
      </c>
      <c r="F105" s="83">
        <v>0</v>
      </c>
      <c r="G105" s="83">
        <v>0</v>
      </c>
      <c r="H105" s="83">
        <v>0</v>
      </c>
      <c r="I105" s="83">
        <v>0</v>
      </c>
      <c r="J105" s="83">
        <v>2700</v>
      </c>
      <c r="K105" s="83">
        <v>2700</v>
      </c>
      <c r="L105" s="83">
        <v>0</v>
      </c>
      <c r="M105" s="83">
        <v>2700</v>
      </c>
      <c r="N105" s="83">
        <v>2700</v>
      </c>
      <c r="O105" s="83">
        <v>0</v>
      </c>
      <c r="P105" s="83">
        <v>0</v>
      </c>
      <c r="Q105" s="83">
        <v>0</v>
      </c>
      <c r="R105" s="83">
        <v>0</v>
      </c>
      <c r="S105" s="83">
        <v>0</v>
      </c>
      <c r="T105" s="83">
        <v>0</v>
      </c>
      <c r="U105" s="83">
        <v>0</v>
      </c>
      <c r="V105" s="83">
        <v>0</v>
      </c>
      <c r="W105" s="83">
        <v>0</v>
      </c>
      <c r="X105" s="83">
        <v>0</v>
      </c>
      <c r="Y105" s="83">
        <v>0</v>
      </c>
      <c r="Z105" s="83">
        <v>0</v>
      </c>
      <c r="AA105" s="83">
        <v>0</v>
      </c>
      <c r="AB105" s="83">
        <v>0</v>
      </c>
      <c r="AC105" s="83">
        <v>0</v>
      </c>
      <c r="AD105" s="83">
        <v>0</v>
      </c>
      <c r="AE105" s="83">
        <v>0</v>
      </c>
      <c r="AF105" s="83">
        <v>0</v>
      </c>
      <c r="AG105" s="83">
        <v>0</v>
      </c>
      <c r="AH105" s="83">
        <v>0</v>
      </c>
      <c r="AI105" s="83">
        <v>0</v>
      </c>
      <c r="AJ105" s="83">
        <v>0</v>
      </c>
      <c r="AK105" s="83">
        <v>0</v>
      </c>
      <c r="AL105" s="83">
        <v>0</v>
      </c>
      <c r="AM105" s="83">
        <v>0</v>
      </c>
      <c r="AN105" s="83">
        <v>0</v>
      </c>
      <c r="AO105" s="83">
        <v>0</v>
      </c>
      <c r="AP105" s="83">
        <v>0</v>
      </c>
      <c r="AQ105" s="83">
        <v>0</v>
      </c>
      <c r="AR105" s="83">
        <v>0</v>
      </c>
      <c r="AS105" s="83">
        <v>0</v>
      </c>
      <c r="AT105" s="83">
        <v>0</v>
      </c>
      <c r="AU105" s="83">
        <v>0</v>
      </c>
      <c r="AV105" s="83">
        <v>0</v>
      </c>
      <c r="AW105" s="83">
        <v>0</v>
      </c>
      <c r="AX105" s="83">
        <v>0</v>
      </c>
      <c r="AY105" s="83">
        <v>0</v>
      </c>
      <c r="AZ105" s="83">
        <v>0</v>
      </c>
      <c r="BA105" s="83">
        <v>0</v>
      </c>
      <c r="BB105" s="83">
        <v>0</v>
      </c>
      <c r="BC105" s="83">
        <v>0</v>
      </c>
      <c r="BD105" s="83">
        <v>0</v>
      </c>
      <c r="BE105" s="83">
        <f t="shared" si="3"/>
        <v>10800</v>
      </c>
      <c r="BF105" s="5"/>
      <c r="BG105" s="5">
        <f t="shared" si="4"/>
        <v>10800</v>
      </c>
      <c r="BH105" s="66">
        <f>BE105-'TB 17.05.24'!BD84</f>
        <v>0</v>
      </c>
      <c r="BO105" t="str">
        <f>VLOOKUP(A105,[2]Sheet1!$A$8:$A$102,1,0)</f>
        <v>450002-026</v>
      </c>
    </row>
    <row r="106" spans="1:67" ht="15" hidden="1" customHeight="1" x14ac:dyDescent="0.35">
      <c r="A106" s="3" t="s">
        <v>185</v>
      </c>
      <c r="B106" s="4" t="s">
        <v>186</v>
      </c>
      <c r="C106" s="4" t="s">
        <v>314</v>
      </c>
      <c r="D106" s="4" t="s">
        <v>290</v>
      </c>
      <c r="E106" s="83">
        <v>17575</v>
      </c>
      <c r="F106" s="83">
        <v>17575</v>
      </c>
      <c r="G106" s="83">
        <v>0</v>
      </c>
      <c r="H106" s="83">
        <v>17575</v>
      </c>
      <c r="I106" s="83">
        <v>17575</v>
      </c>
      <c r="J106" s="83">
        <v>48499</v>
      </c>
      <c r="K106" s="83">
        <v>50999</v>
      </c>
      <c r="L106" s="83">
        <v>0</v>
      </c>
      <c r="M106" s="83">
        <v>53499</v>
      </c>
      <c r="N106" s="83">
        <v>53498</v>
      </c>
      <c r="O106" s="83">
        <v>0</v>
      </c>
      <c r="P106" s="83">
        <v>0</v>
      </c>
      <c r="Q106" s="83">
        <v>0</v>
      </c>
      <c r="R106" s="83">
        <v>0</v>
      </c>
      <c r="S106" s="83">
        <v>0</v>
      </c>
      <c r="T106" s="83">
        <v>0</v>
      </c>
      <c r="U106" s="83">
        <v>0</v>
      </c>
      <c r="V106" s="83">
        <v>0</v>
      </c>
      <c r="W106" s="83">
        <v>19333</v>
      </c>
      <c r="X106" s="83">
        <v>19332</v>
      </c>
      <c r="Y106" s="83">
        <v>19335</v>
      </c>
      <c r="Z106" s="83">
        <v>0</v>
      </c>
      <c r="AA106" s="83">
        <v>0</v>
      </c>
      <c r="AB106" s="83">
        <v>0</v>
      </c>
      <c r="AC106" s="83">
        <v>0</v>
      </c>
      <c r="AD106" s="83">
        <v>40000</v>
      </c>
      <c r="AE106" s="83">
        <v>0</v>
      </c>
      <c r="AF106" s="83">
        <v>0</v>
      </c>
      <c r="AG106" s="83">
        <v>0</v>
      </c>
      <c r="AH106" s="83">
        <v>0</v>
      </c>
      <c r="AI106" s="83">
        <v>41390</v>
      </c>
      <c r="AJ106" s="83">
        <v>38890</v>
      </c>
      <c r="AK106" s="83">
        <v>0</v>
      </c>
      <c r="AL106" s="83">
        <v>0</v>
      </c>
      <c r="AM106" s="83">
        <v>0</v>
      </c>
      <c r="AN106" s="83">
        <v>43890</v>
      </c>
      <c r="AO106" s="83">
        <v>38890</v>
      </c>
      <c r="AP106" s="83">
        <v>38890</v>
      </c>
      <c r="AQ106" s="83">
        <v>38890</v>
      </c>
      <c r="AR106" s="83">
        <v>38891</v>
      </c>
      <c r="AS106" s="83">
        <v>10324</v>
      </c>
      <c r="AT106" s="83">
        <v>45324</v>
      </c>
      <c r="AU106" s="83">
        <v>0</v>
      </c>
      <c r="AV106" s="83">
        <v>33912</v>
      </c>
      <c r="AW106" s="83">
        <v>33912</v>
      </c>
      <c r="AX106" s="83">
        <v>94300</v>
      </c>
      <c r="AY106" s="83">
        <v>0</v>
      </c>
      <c r="AZ106" s="83">
        <v>0</v>
      </c>
      <c r="BA106" s="83">
        <v>152245</v>
      </c>
      <c r="BB106" s="83">
        <v>94300</v>
      </c>
      <c r="BC106" s="83">
        <v>152245</v>
      </c>
      <c r="BD106" s="83">
        <v>113745</v>
      </c>
      <c r="BE106" s="83">
        <f t="shared" si="3"/>
        <v>1384833</v>
      </c>
      <c r="BF106" s="5"/>
      <c r="BG106" s="5">
        <f t="shared" si="4"/>
        <v>1384833</v>
      </c>
      <c r="BH106" s="66">
        <f>BE106-'TB 17.05.24'!BD85</f>
        <v>-272410</v>
      </c>
      <c r="BO106" t="str">
        <f>VLOOKUP(A106,[2]Sheet1!$A$8:$A$102,1,0)</f>
        <v>450002-027</v>
      </c>
    </row>
    <row r="107" spans="1:67" ht="15" hidden="1" customHeight="1" x14ac:dyDescent="0.35">
      <c r="A107" s="3" t="s">
        <v>187</v>
      </c>
      <c r="B107" s="4" t="s">
        <v>188</v>
      </c>
      <c r="C107" s="4" t="s">
        <v>314</v>
      </c>
      <c r="D107" s="4" t="s">
        <v>955</v>
      </c>
      <c r="E107" s="83">
        <v>49133</v>
      </c>
      <c r="F107" s="83">
        <v>59795</v>
      </c>
      <c r="G107" s="83">
        <v>0</v>
      </c>
      <c r="H107" s="83">
        <v>77201</v>
      </c>
      <c r="I107" s="83">
        <v>36312</v>
      </c>
      <c r="J107" s="83">
        <v>33684</v>
      </c>
      <c r="K107" s="83">
        <v>33756</v>
      </c>
      <c r="L107" s="83">
        <v>0</v>
      </c>
      <c r="M107" s="83">
        <v>52386</v>
      </c>
      <c r="N107" s="83">
        <v>63972</v>
      </c>
      <c r="O107" s="83">
        <v>0</v>
      </c>
      <c r="P107" s="83">
        <v>0</v>
      </c>
      <c r="Q107" s="83">
        <v>0</v>
      </c>
      <c r="R107" s="83">
        <v>43861</v>
      </c>
      <c r="S107" s="83">
        <v>35113</v>
      </c>
      <c r="T107" s="83">
        <v>0</v>
      </c>
      <c r="U107" s="83">
        <v>73310</v>
      </c>
      <c r="V107" s="83">
        <v>0</v>
      </c>
      <c r="W107" s="83">
        <v>52773</v>
      </c>
      <c r="X107" s="83">
        <v>89330</v>
      </c>
      <c r="Y107" s="83">
        <v>65149</v>
      </c>
      <c r="Z107" s="83">
        <v>26638</v>
      </c>
      <c r="AA107" s="83">
        <v>36229</v>
      </c>
      <c r="AB107" s="83">
        <v>0</v>
      </c>
      <c r="AC107" s="83">
        <v>63986</v>
      </c>
      <c r="AD107" s="83">
        <v>94074</v>
      </c>
      <c r="AE107" s="83">
        <v>1182</v>
      </c>
      <c r="AF107" s="83">
        <v>65381</v>
      </c>
      <c r="AG107" s="83">
        <v>26814</v>
      </c>
      <c r="AH107" s="83">
        <v>27260</v>
      </c>
      <c r="AI107" s="83">
        <v>0</v>
      </c>
      <c r="AJ107" s="83">
        <v>129696</v>
      </c>
      <c r="AK107" s="83">
        <v>0</v>
      </c>
      <c r="AL107" s="83">
        <v>0</v>
      </c>
      <c r="AM107" s="83">
        <v>0</v>
      </c>
      <c r="AN107" s="83">
        <v>16676</v>
      </c>
      <c r="AO107" s="83">
        <v>241442</v>
      </c>
      <c r="AP107" s="83">
        <v>2007</v>
      </c>
      <c r="AQ107" s="83">
        <v>4509</v>
      </c>
      <c r="AR107" s="83">
        <v>30974</v>
      </c>
      <c r="AS107" s="83">
        <v>44307</v>
      </c>
      <c r="AT107" s="83">
        <v>64075</v>
      </c>
      <c r="AU107" s="83">
        <v>0</v>
      </c>
      <c r="AV107" s="83">
        <v>42259</v>
      </c>
      <c r="AW107" s="83">
        <v>59374</v>
      </c>
      <c r="AX107" s="83">
        <v>68222</v>
      </c>
      <c r="AY107" s="83">
        <v>0</v>
      </c>
      <c r="AZ107" s="83">
        <v>0</v>
      </c>
      <c r="BA107" s="83">
        <v>102302</v>
      </c>
      <c r="BB107" s="83">
        <v>52163</v>
      </c>
      <c r="BC107" s="83">
        <v>83590</v>
      </c>
      <c r="BD107" s="83">
        <v>59440</v>
      </c>
      <c r="BE107" s="83">
        <f t="shared" si="3"/>
        <v>2108375</v>
      </c>
      <c r="BF107" s="5"/>
      <c r="BG107" s="5">
        <f t="shared" si="4"/>
        <v>2108375</v>
      </c>
      <c r="BH107" s="66">
        <f>BE107-'TB 17.05.24'!BD86</f>
        <v>302492.28000000003</v>
      </c>
      <c r="BO107" t="str">
        <f>VLOOKUP(A107,[2]Sheet1!$A$8:$A$102,1,0)</f>
        <v>450002-028</v>
      </c>
    </row>
    <row r="108" spans="1:67" ht="15" hidden="1" customHeight="1" x14ac:dyDescent="0.35">
      <c r="A108" s="3" t="s">
        <v>1093</v>
      </c>
      <c r="B108" s="4" t="s">
        <v>1094</v>
      </c>
      <c r="C108" s="4" t="s">
        <v>314</v>
      </c>
      <c r="D108" s="4" t="s">
        <v>322</v>
      </c>
      <c r="E108" s="83">
        <v>0</v>
      </c>
      <c r="F108" s="83">
        <v>0</v>
      </c>
      <c r="G108" s="83">
        <v>0</v>
      </c>
      <c r="H108" s="83">
        <v>0</v>
      </c>
      <c r="I108" s="83">
        <v>0</v>
      </c>
      <c r="J108" s="83">
        <v>0</v>
      </c>
      <c r="K108" s="83">
        <v>0</v>
      </c>
      <c r="L108" s="83">
        <v>0</v>
      </c>
      <c r="M108" s="83">
        <v>0</v>
      </c>
      <c r="N108" s="83">
        <v>0</v>
      </c>
      <c r="O108" s="83">
        <v>0</v>
      </c>
      <c r="P108" s="83">
        <v>0</v>
      </c>
      <c r="Q108" s="83">
        <v>0</v>
      </c>
      <c r="R108" s="83">
        <v>0</v>
      </c>
      <c r="S108" s="83">
        <v>0</v>
      </c>
      <c r="T108" s="83">
        <v>0</v>
      </c>
      <c r="U108" s="83">
        <v>0</v>
      </c>
      <c r="V108" s="83">
        <v>0</v>
      </c>
      <c r="W108" s="83">
        <v>0</v>
      </c>
      <c r="X108" s="83">
        <v>0</v>
      </c>
      <c r="Y108" s="83">
        <v>0</v>
      </c>
      <c r="Z108" s="83">
        <v>0</v>
      </c>
      <c r="AA108" s="83">
        <v>0</v>
      </c>
      <c r="AB108" s="83">
        <v>0</v>
      </c>
      <c r="AC108" s="83">
        <v>0</v>
      </c>
      <c r="AD108" s="83">
        <v>0</v>
      </c>
      <c r="AE108" s="83">
        <v>0</v>
      </c>
      <c r="AF108" s="83">
        <v>0</v>
      </c>
      <c r="AG108" s="83">
        <v>0</v>
      </c>
      <c r="AH108" s="83">
        <v>0</v>
      </c>
      <c r="AI108" s="83">
        <v>0</v>
      </c>
      <c r="AJ108" s="83">
        <v>0</v>
      </c>
      <c r="AK108" s="83">
        <v>0</v>
      </c>
      <c r="AL108" s="83">
        <v>0</v>
      </c>
      <c r="AM108" s="83">
        <v>0</v>
      </c>
      <c r="AN108" s="83">
        <v>0</v>
      </c>
      <c r="AO108" s="83">
        <v>0</v>
      </c>
      <c r="AP108" s="83">
        <v>0</v>
      </c>
      <c r="AQ108" s="83">
        <v>0</v>
      </c>
      <c r="AR108" s="83">
        <v>0</v>
      </c>
      <c r="AS108" s="83">
        <v>0</v>
      </c>
      <c r="AT108" s="83">
        <v>0</v>
      </c>
      <c r="AU108" s="83">
        <v>0</v>
      </c>
      <c r="AV108" s="83">
        <v>0</v>
      </c>
      <c r="AW108" s="83">
        <v>0</v>
      </c>
      <c r="AX108" s="83">
        <v>0</v>
      </c>
      <c r="AY108" s="83">
        <v>0</v>
      </c>
      <c r="AZ108" s="83">
        <v>0</v>
      </c>
      <c r="BA108" s="83">
        <v>0</v>
      </c>
      <c r="BB108" s="83">
        <v>0</v>
      </c>
      <c r="BC108" s="83">
        <v>0</v>
      </c>
      <c r="BD108" s="83">
        <v>0</v>
      </c>
      <c r="BE108" s="346">
        <f t="shared" si="3"/>
        <v>0</v>
      </c>
      <c r="BF108" s="5"/>
      <c r="BG108" s="5"/>
      <c r="BH108" s="66"/>
      <c r="BO108" t="e">
        <f>VLOOKUP(A108,[2]Sheet1!$A$8:$A$102,1,0)</f>
        <v>#N/A</v>
      </c>
    </row>
    <row r="109" spans="1:67" ht="15" hidden="1" customHeight="1" x14ac:dyDescent="0.35">
      <c r="A109" s="3" t="s">
        <v>189</v>
      </c>
      <c r="B109" s="4" t="s">
        <v>190</v>
      </c>
      <c r="C109" s="4" t="s">
        <v>314</v>
      </c>
      <c r="D109" s="4" t="s">
        <v>985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  <c r="R109" s="83">
        <v>0</v>
      </c>
      <c r="S109" s="83">
        <v>0</v>
      </c>
      <c r="T109" s="83">
        <v>0</v>
      </c>
      <c r="U109" s="83">
        <v>0</v>
      </c>
      <c r="V109" s="83">
        <v>0</v>
      </c>
      <c r="W109" s="83">
        <v>0</v>
      </c>
      <c r="X109" s="83">
        <v>0</v>
      </c>
      <c r="Y109" s="83">
        <v>0</v>
      </c>
      <c r="Z109" s="83">
        <v>0</v>
      </c>
      <c r="AA109" s="83">
        <v>0</v>
      </c>
      <c r="AB109" s="83">
        <v>0</v>
      </c>
      <c r="AC109" s="83">
        <v>0</v>
      </c>
      <c r="AD109" s="83">
        <v>0</v>
      </c>
      <c r="AE109" s="83">
        <v>0</v>
      </c>
      <c r="AF109" s="83">
        <v>0</v>
      </c>
      <c r="AG109" s="83">
        <v>0</v>
      </c>
      <c r="AH109" s="83">
        <v>0</v>
      </c>
      <c r="AI109" s="83">
        <v>0</v>
      </c>
      <c r="AJ109" s="83">
        <v>0</v>
      </c>
      <c r="AK109" s="83">
        <v>0</v>
      </c>
      <c r="AL109" s="83">
        <v>0</v>
      </c>
      <c r="AM109" s="83">
        <v>0</v>
      </c>
      <c r="AN109" s="83">
        <v>0</v>
      </c>
      <c r="AO109" s="83">
        <v>0</v>
      </c>
      <c r="AP109" s="83">
        <v>0</v>
      </c>
      <c r="AQ109" s="83">
        <v>0</v>
      </c>
      <c r="AR109" s="83">
        <v>0</v>
      </c>
      <c r="AS109" s="83">
        <v>0</v>
      </c>
      <c r="AT109" s="83">
        <v>0</v>
      </c>
      <c r="AU109" s="83">
        <v>0</v>
      </c>
      <c r="AV109" s="83">
        <v>0</v>
      </c>
      <c r="AW109" s="83">
        <v>0</v>
      </c>
      <c r="AX109" s="83">
        <v>0</v>
      </c>
      <c r="AY109" s="83">
        <v>0</v>
      </c>
      <c r="AZ109" s="83">
        <v>0</v>
      </c>
      <c r="BA109" s="83">
        <v>0</v>
      </c>
      <c r="BB109" s="83">
        <v>0</v>
      </c>
      <c r="BC109" s="83">
        <v>0</v>
      </c>
      <c r="BD109" s="83">
        <v>0</v>
      </c>
      <c r="BE109" s="5">
        <f t="shared" si="3"/>
        <v>0</v>
      </c>
      <c r="BF109" s="5">
        <f>54802+131736+148860+32871+61756+102191+76022+140096+150226+131764+42454+147011+16770+45359+92536+80754+124351+119358+147260+343644+27900+210495+71682+49663+6604+3658+7355+5433+62563+263+88073+140868+67138+41250+93154+92671+67867+353872+76776+216451+25077</f>
        <v>3898634</v>
      </c>
      <c r="BG109" s="5">
        <f t="shared" si="4"/>
        <v>3898634</v>
      </c>
      <c r="BH109" s="66">
        <f>BE109-'TB 17.05.24'!BD87</f>
        <v>-3893201</v>
      </c>
      <c r="BO109" t="str">
        <f>VLOOKUP(A109,[2]Sheet1!$A$8:$A$102,1,0)</f>
        <v>451000-002</v>
      </c>
    </row>
    <row r="110" spans="1:67" ht="15" hidden="1" customHeight="1" x14ac:dyDescent="0.35">
      <c r="A110" s="3" t="s">
        <v>191</v>
      </c>
      <c r="B110" s="4" t="s">
        <v>192</v>
      </c>
      <c r="C110" s="4" t="s">
        <v>314</v>
      </c>
      <c r="D110" s="4" t="s">
        <v>985</v>
      </c>
      <c r="E110" s="83">
        <v>0</v>
      </c>
      <c r="F110" s="83">
        <v>0</v>
      </c>
      <c r="G110" s="83">
        <v>0</v>
      </c>
      <c r="H110" s="83">
        <v>0</v>
      </c>
      <c r="I110" s="83">
        <v>0</v>
      </c>
      <c r="J110" s="83">
        <v>0</v>
      </c>
      <c r="K110" s="83">
        <v>0</v>
      </c>
      <c r="L110" s="83">
        <v>0</v>
      </c>
      <c r="M110" s="83">
        <v>0</v>
      </c>
      <c r="N110" s="83">
        <v>0</v>
      </c>
      <c r="O110" s="83">
        <v>0</v>
      </c>
      <c r="P110" s="83">
        <v>0</v>
      </c>
      <c r="Q110" s="83">
        <v>0</v>
      </c>
      <c r="R110" s="83">
        <v>0</v>
      </c>
      <c r="S110" s="83">
        <v>0</v>
      </c>
      <c r="T110" s="83">
        <v>0</v>
      </c>
      <c r="U110" s="83">
        <v>0</v>
      </c>
      <c r="V110" s="83">
        <v>0</v>
      </c>
      <c r="W110" s="83">
        <v>0</v>
      </c>
      <c r="X110" s="83">
        <v>0</v>
      </c>
      <c r="Y110" s="83">
        <v>0</v>
      </c>
      <c r="Z110" s="83">
        <v>0</v>
      </c>
      <c r="AA110" s="83">
        <v>0</v>
      </c>
      <c r="AB110" s="83">
        <v>0</v>
      </c>
      <c r="AC110" s="83">
        <v>0</v>
      </c>
      <c r="AD110" s="83">
        <v>0</v>
      </c>
      <c r="AE110" s="83">
        <v>0</v>
      </c>
      <c r="AF110" s="83">
        <v>0</v>
      </c>
      <c r="AG110" s="83">
        <v>0</v>
      </c>
      <c r="AH110" s="83">
        <v>0</v>
      </c>
      <c r="AI110" s="83">
        <v>0</v>
      </c>
      <c r="AJ110" s="83">
        <v>0</v>
      </c>
      <c r="AK110" s="83">
        <v>0</v>
      </c>
      <c r="AL110" s="83">
        <v>0</v>
      </c>
      <c r="AM110" s="83">
        <v>0</v>
      </c>
      <c r="AN110" s="83">
        <v>0</v>
      </c>
      <c r="AO110" s="83">
        <v>0</v>
      </c>
      <c r="AP110" s="83">
        <v>0</v>
      </c>
      <c r="AQ110" s="83">
        <v>0</v>
      </c>
      <c r="AR110" s="83">
        <v>0</v>
      </c>
      <c r="AS110" s="83">
        <v>0</v>
      </c>
      <c r="AT110" s="83">
        <v>0</v>
      </c>
      <c r="AU110" s="83">
        <v>0</v>
      </c>
      <c r="AV110" s="83">
        <v>0</v>
      </c>
      <c r="AW110" s="83">
        <v>0</v>
      </c>
      <c r="AX110" s="83">
        <v>0</v>
      </c>
      <c r="AY110" s="83">
        <v>0</v>
      </c>
      <c r="AZ110" s="83">
        <v>0</v>
      </c>
      <c r="BA110" s="83">
        <v>0</v>
      </c>
      <c r="BB110" s="83">
        <v>0</v>
      </c>
      <c r="BC110" s="83">
        <v>0</v>
      </c>
      <c r="BD110" s="83">
        <v>0</v>
      </c>
      <c r="BE110" s="5">
        <f t="shared" si="3"/>
        <v>0</v>
      </c>
      <c r="BF110" s="5">
        <f>42297+24614+217035+25474+1973+49806+341358+3942+159041+82989+11095+145945+41332+12086+30307+105596+2949+213506+134694+11224+16605+105763+56813+11266+6975+5571+5355+101936+12259+19683+111974+139345+10561+86134+72405+156791+61610+287352+309106+75093</f>
        <v>3309860</v>
      </c>
      <c r="BG110" s="5">
        <f t="shared" si="4"/>
        <v>3309860</v>
      </c>
      <c r="BH110" s="66">
        <f>BE110-'TB 17.05.24'!BD88</f>
        <v>-3297601</v>
      </c>
      <c r="BO110" t="str">
        <f>VLOOKUP(A110,[2]Sheet1!$A$8:$A$102,1,0)</f>
        <v>451000-003</v>
      </c>
    </row>
    <row r="111" spans="1:67" ht="15" hidden="1" customHeight="1" x14ac:dyDescent="0.35">
      <c r="A111" s="3" t="s">
        <v>193</v>
      </c>
      <c r="B111" s="4" t="s">
        <v>194</v>
      </c>
      <c r="C111" s="4" t="s">
        <v>314</v>
      </c>
      <c r="D111" s="4" t="s">
        <v>985</v>
      </c>
      <c r="E111" s="83">
        <f>'REV &amp; COGS'!C50</f>
        <v>336832.35</v>
      </c>
      <c r="F111" s="83">
        <f>'REV &amp; COGS'!D50</f>
        <v>665079.76</v>
      </c>
      <c r="G111" s="83">
        <v>0</v>
      </c>
      <c r="H111" s="83">
        <f>'REV &amp; COGS'!F50</f>
        <v>800741.09000000008</v>
      </c>
      <c r="I111" s="83">
        <f>'REV &amp; COGS'!G50</f>
        <v>459170.31000000006</v>
      </c>
      <c r="J111" s="83">
        <f>'REV &amp; COGS'!H50</f>
        <v>625348.4927468932</v>
      </c>
      <c r="K111" s="83">
        <f>'REV &amp; COGS'!I50</f>
        <v>722860.75481504318</v>
      </c>
      <c r="L111" s="83">
        <v>0</v>
      </c>
      <c r="M111" s="83">
        <f>'REV &amp; COGS'!K50</f>
        <v>545976.67619269399</v>
      </c>
      <c r="N111" s="83">
        <f>'REV &amp; COGS'!L50</f>
        <v>1012767.9653703698</v>
      </c>
      <c r="O111" s="83">
        <v>0</v>
      </c>
      <c r="P111" s="83">
        <v>0</v>
      </c>
      <c r="Q111" s="83">
        <v>0</v>
      </c>
      <c r="R111" s="83">
        <f>'REV &amp; COGS'!O50</f>
        <v>846244.44000000018</v>
      </c>
      <c r="S111" s="83">
        <f>'REV &amp; COGS'!P50</f>
        <v>361901.7900000001</v>
      </c>
      <c r="T111" s="83">
        <v>0</v>
      </c>
      <c r="U111" s="83">
        <f>'REV &amp; COGS'!R50</f>
        <v>819613.35999999987</v>
      </c>
      <c r="V111" s="83">
        <v>0</v>
      </c>
      <c r="W111" s="83">
        <f>'REV &amp; COGS'!T50</f>
        <v>351612</v>
      </c>
      <c r="X111" s="83">
        <f>'REV &amp; COGS'!U50</f>
        <v>522957.89999999997</v>
      </c>
      <c r="Y111" s="83">
        <f>'REV &amp; COGS'!V50</f>
        <v>687720.28</v>
      </c>
      <c r="Z111" s="83">
        <f>'REV &amp; COGS'!W50</f>
        <v>405649.41999999993</v>
      </c>
      <c r="AA111" s="83">
        <f>'REV &amp; COGS'!X50</f>
        <v>595127.6</v>
      </c>
      <c r="AB111" s="83">
        <v>0</v>
      </c>
      <c r="AC111" s="83">
        <f>'REV &amp; COGS'!Z50</f>
        <v>697563.59</v>
      </c>
      <c r="AD111" s="83">
        <f>'REV &amp; COGS'!AA50</f>
        <v>1413930.9920194491</v>
      </c>
      <c r="AE111" s="83">
        <f>'REV &amp; COGS'!AB50</f>
        <v>183301.56000000006</v>
      </c>
      <c r="AF111" s="83">
        <f>'REV &amp; COGS'!AC50</f>
        <v>561310.95710405405</v>
      </c>
      <c r="AG111" s="83">
        <f>'REV &amp; COGS'!AD50</f>
        <v>591046.25</v>
      </c>
      <c r="AH111" s="83">
        <f>'REV &amp; COGS'!AE50</f>
        <v>577243.1</v>
      </c>
      <c r="AI111" s="83">
        <f>'REV &amp; COGS'!AF50</f>
        <v>430538.73500000004</v>
      </c>
      <c r="AJ111" s="83">
        <f>'REV &amp; COGS'!AG50</f>
        <v>925738.09999999986</v>
      </c>
      <c r="AK111" s="83">
        <v>0</v>
      </c>
      <c r="AL111" s="83">
        <v>0</v>
      </c>
      <c r="AM111" s="83">
        <v>0</v>
      </c>
      <c r="AN111" s="83">
        <f>'REV &amp; COGS'!AK50</f>
        <v>952594.1399999999</v>
      </c>
      <c r="AO111" s="83">
        <f>'REV &amp; COGS'!AL50</f>
        <v>1395896.7560107326</v>
      </c>
      <c r="AP111" s="83">
        <f>'REV &amp; COGS'!AM50</f>
        <v>530999.31500000006</v>
      </c>
      <c r="AQ111" s="83">
        <f>'REV &amp; COGS'!AN50</f>
        <v>64653.560000000012</v>
      </c>
      <c r="AR111" s="83">
        <f>'REV &amp; COGS'!AO50</f>
        <v>1401890</v>
      </c>
      <c r="AS111" s="83">
        <f>'REV &amp; COGS'!AP50</f>
        <v>505684.60459999996</v>
      </c>
      <c r="AT111" s="83">
        <f>'REV &amp; COGS'!AQ50</f>
        <v>439877.30000000016</v>
      </c>
      <c r="AU111" s="83">
        <v>0</v>
      </c>
      <c r="AV111" s="83">
        <f>'REV &amp; COGS'!AS50</f>
        <v>289034.44609244243</v>
      </c>
      <c r="AW111" s="83">
        <f>'REV &amp; COGS'!AT50</f>
        <v>492668.72390755761</v>
      </c>
      <c r="AX111" s="83">
        <f>'REV &amp; COGS'!AU50</f>
        <v>259941.69658143545</v>
      </c>
      <c r="AY111" s="83">
        <v>0</v>
      </c>
      <c r="AZ111" s="83">
        <v>0</v>
      </c>
      <c r="BA111" s="83">
        <f>'REV &amp; COGS'!AX50</f>
        <v>1408725.152374929</v>
      </c>
      <c r="BB111" s="83">
        <f>'REV &amp; COGS'!AY50</f>
        <v>373657.15447666694</v>
      </c>
      <c r="BC111" s="83">
        <f>'REV &amp; COGS'!AZ50</f>
        <v>1198144.8149999995</v>
      </c>
      <c r="BD111" s="83">
        <f>'REV &amp; COGS'!BA50</f>
        <v>265076.5638221096</v>
      </c>
      <c r="BE111" s="5">
        <f t="shared" si="3"/>
        <v>24719121.701114375</v>
      </c>
      <c r="BF111" s="5">
        <f>-'REV &amp; COGS'!C17:C17+33454+126638-'REV &amp; COGS'!D17+216969-'REV &amp; COGS'!F17+9871-'REV &amp; COGS'!G17-75268-'REV &amp; COGS'!H17-209515-'REV &amp; COGS'!I17-113756-89159-86372-'REV &amp; COGS'!L17+18144-43822-'REV &amp; COGS'!O17+17660-'REV &amp; COGS'!P17+2201+138896-'REV &amp; COGS'!R17-83233-97774-'REV &amp; COGS'!T17-242074-'REV &amp; COGS'!U17-131651-'REV &amp; COGS'!V17+72733-'REV &amp; COGS'!W17+157205-'REV &amp; COGS'!X17+306194+44488-'REV &amp; COGS'!Z17-100239-'REV &amp; COGS'!AA17-54540-'REV &amp; COGS'!AB17-163174-'REV &amp; COGS'!AC17+21795-'REV &amp; COGS'!AD17+74606-'REV &amp; COGS'!AE17-72366-'REV &amp; COGS'!AF17-85796-'REV &amp; COGS'!AG17+14643-782271+580-493772-'REV &amp; COGS'!AL17-268472-'REV &amp; COGS'!AM17-144896-'REV &amp; COGS'!AO17-105151-'REV &amp; COGS'!AP17-89265-'REV &amp; COGS'!AQ17+138321-'REV &amp; COGS'!AS17-117925-'REV &amp; COGS'!AT17+60314-'REV &amp; COGS'!AU17+335423-'REV &amp; COGS'!AX17+228903-'REV &amp; COGS'!AY17+155237-'REV &amp; COGS'!AZ17-91073-'REV &amp; COGS'!BA17-22452139</f>
        <v>-45468627.360036813</v>
      </c>
      <c r="BG111" s="5">
        <f t="shared" si="4"/>
        <v>-20749505.658922438</v>
      </c>
      <c r="BH111" s="66">
        <f>BE111-'TB 17.05.24'!BD89</f>
        <v>17469012.071114376</v>
      </c>
      <c r="BO111" t="str">
        <f>VLOOKUP(A111,[2]Sheet1!$A$8:$A$102,1,0)</f>
        <v>451000-004</v>
      </c>
    </row>
    <row r="112" spans="1:67" ht="15" hidden="1" customHeight="1" x14ac:dyDescent="0.35">
      <c r="A112" s="3" t="s">
        <v>195</v>
      </c>
      <c r="B112" s="4" t="s">
        <v>196</v>
      </c>
      <c r="C112" s="4" t="s">
        <v>314</v>
      </c>
      <c r="D112" s="4" t="s">
        <v>255</v>
      </c>
      <c r="E112" s="83">
        <v>0</v>
      </c>
      <c r="F112" s="83">
        <v>0</v>
      </c>
      <c r="G112" s="83">
        <v>0</v>
      </c>
      <c r="H112" s="83">
        <v>0</v>
      </c>
      <c r="I112" s="83">
        <v>0</v>
      </c>
      <c r="J112" s="83">
        <v>0</v>
      </c>
      <c r="K112" s="83">
        <v>0</v>
      </c>
      <c r="L112" s="83">
        <v>0</v>
      </c>
      <c r="M112" s="83">
        <v>0</v>
      </c>
      <c r="N112" s="83">
        <v>0</v>
      </c>
      <c r="O112" s="83">
        <v>0</v>
      </c>
      <c r="P112" s="83">
        <v>0</v>
      </c>
      <c r="Q112" s="83">
        <v>0</v>
      </c>
      <c r="R112" s="83">
        <v>0</v>
      </c>
      <c r="S112" s="83">
        <v>0</v>
      </c>
      <c r="T112" s="83">
        <v>0</v>
      </c>
      <c r="U112" s="83">
        <v>0</v>
      </c>
      <c r="V112" s="83">
        <v>0</v>
      </c>
      <c r="W112" s="83">
        <v>0</v>
      </c>
      <c r="X112" s="83">
        <v>0</v>
      </c>
      <c r="Y112" s="83">
        <v>0</v>
      </c>
      <c r="Z112" s="83">
        <v>0</v>
      </c>
      <c r="AA112" s="83">
        <v>0</v>
      </c>
      <c r="AB112" s="83">
        <v>0</v>
      </c>
      <c r="AC112" s="83">
        <v>0</v>
      </c>
      <c r="AD112" s="83">
        <v>0</v>
      </c>
      <c r="AE112" s="83">
        <v>0</v>
      </c>
      <c r="AF112" s="83">
        <v>0</v>
      </c>
      <c r="AG112" s="83">
        <v>0</v>
      </c>
      <c r="AH112" s="83">
        <v>0</v>
      </c>
      <c r="AI112" s="83">
        <v>0</v>
      </c>
      <c r="AJ112" s="83">
        <v>0</v>
      </c>
      <c r="AK112" s="83">
        <v>0</v>
      </c>
      <c r="AL112" s="83">
        <v>0</v>
      </c>
      <c r="AM112" s="83">
        <v>0</v>
      </c>
      <c r="AN112" s="83">
        <v>0</v>
      </c>
      <c r="AO112" s="83">
        <v>0</v>
      </c>
      <c r="AP112" s="83">
        <v>0</v>
      </c>
      <c r="AQ112" s="83">
        <v>0</v>
      </c>
      <c r="AR112" s="83">
        <v>0</v>
      </c>
      <c r="AS112" s="83">
        <v>0</v>
      </c>
      <c r="AT112" s="83">
        <v>0</v>
      </c>
      <c r="AU112" s="83">
        <v>0</v>
      </c>
      <c r="AV112" s="83">
        <v>0</v>
      </c>
      <c r="AW112" s="83">
        <v>0</v>
      </c>
      <c r="AX112" s="83">
        <v>0</v>
      </c>
      <c r="AY112" s="83">
        <v>0</v>
      </c>
      <c r="AZ112" s="83">
        <v>0</v>
      </c>
      <c r="BA112" s="83">
        <v>0</v>
      </c>
      <c r="BB112" s="83">
        <v>0</v>
      </c>
      <c r="BC112" s="83">
        <v>0</v>
      </c>
      <c r="BD112" s="83">
        <v>0</v>
      </c>
      <c r="BE112" s="5">
        <f t="shared" si="3"/>
        <v>0</v>
      </c>
      <c r="BF112" s="5">
        <f>19415-20516+16682+13830+29386+240+59990-90795+1152-14189+14861+33096+49661-20958-25873-39071+253731+5511+2436+25226+3480+172167+19+7360-3256-25240-17537+13500-55006+5254-17157-27808+9206-48772+32778-16812+65354+7530+215636+199111</f>
        <v>833622</v>
      </c>
      <c r="BG112" s="5">
        <f t="shared" si="4"/>
        <v>833622</v>
      </c>
      <c r="BH112" s="66">
        <f>BE112-'TB 17.05.24'!BD90</f>
        <v>-1997289</v>
      </c>
      <c r="BI112" s="66">
        <f>BH112+BG112</f>
        <v>-1163667</v>
      </c>
      <c r="BO112" t="str">
        <f>VLOOKUP(A112,[2]Sheet1!$A$8:$A$102,1,0)</f>
        <v>451000-005</v>
      </c>
    </row>
    <row r="113" spans="1:67" ht="15" hidden="1" customHeight="1" x14ac:dyDescent="0.35">
      <c r="A113" s="3" t="s">
        <v>197</v>
      </c>
      <c r="B113" s="4" t="s">
        <v>198</v>
      </c>
      <c r="C113" s="4" t="s">
        <v>314</v>
      </c>
      <c r="D113" s="4" t="s">
        <v>255</v>
      </c>
      <c r="E113" s="83">
        <v>0</v>
      </c>
      <c r="F113" s="83">
        <v>0</v>
      </c>
      <c r="G113" s="83">
        <v>0</v>
      </c>
      <c r="H113" s="83">
        <v>0</v>
      </c>
      <c r="I113" s="83">
        <v>0</v>
      </c>
      <c r="J113" s="83">
        <v>0</v>
      </c>
      <c r="K113" s="83">
        <v>0</v>
      </c>
      <c r="L113" s="83">
        <v>0</v>
      </c>
      <c r="M113" s="83">
        <v>0</v>
      </c>
      <c r="N113" s="83">
        <v>0</v>
      </c>
      <c r="O113" s="83">
        <v>0</v>
      </c>
      <c r="P113" s="83">
        <v>0</v>
      </c>
      <c r="Q113" s="83">
        <v>0</v>
      </c>
      <c r="R113" s="83">
        <v>0</v>
      </c>
      <c r="S113" s="83">
        <v>0</v>
      </c>
      <c r="T113" s="83">
        <v>0</v>
      </c>
      <c r="U113" s="83">
        <v>0</v>
      </c>
      <c r="V113" s="83">
        <v>0</v>
      </c>
      <c r="W113" s="83">
        <v>0</v>
      </c>
      <c r="X113" s="83">
        <v>0</v>
      </c>
      <c r="Y113" s="83">
        <v>0</v>
      </c>
      <c r="Z113" s="83">
        <v>0</v>
      </c>
      <c r="AA113" s="83">
        <v>0</v>
      </c>
      <c r="AB113" s="83">
        <v>0</v>
      </c>
      <c r="AC113" s="83">
        <v>0</v>
      </c>
      <c r="AD113" s="83">
        <v>0</v>
      </c>
      <c r="AE113" s="83">
        <v>0</v>
      </c>
      <c r="AF113" s="83">
        <v>0</v>
      </c>
      <c r="AG113" s="83">
        <v>0</v>
      </c>
      <c r="AH113" s="83">
        <v>0</v>
      </c>
      <c r="AI113" s="83">
        <v>0</v>
      </c>
      <c r="AJ113" s="83">
        <v>0</v>
      </c>
      <c r="AK113" s="83">
        <v>0</v>
      </c>
      <c r="AL113" s="83">
        <v>0</v>
      </c>
      <c r="AM113" s="83">
        <v>0</v>
      </c>
      <c r="AN113" s="83">
        <v>0</v>
      </c>
      <c r="AO113" s="83">
        <v>0</v>
      </c>
      <c r="AP113" s="83">
        <v>0</v>
      </c>
      <c r="AQ113" s="83">
        <v>0</v>
      </c>
      <c r="AR113" s="83">
        <v>0</v>
      </c>
      <c r="AS113" s="83">
        <v>0</v>
      </c>
      <c r="AT113" s="83">
        <v>0</v>
      </c>
      <c r="AU113" s="83">
        <v>0</v>
      </c>
      <c r="AV113" s="83">
        <v>0</v>
      </c>
      <c r="AW113" s="83">
        <v>0</v>
      </c>
      <c r="AX113" s="83">
        <v>0</v>
      </c>
      <c r="AY113" s="83">
        <v>0</v>
      </c>
      <c r="AZ113" s="83">
        <v>0</v>
      </c>
      <c r="BA113" s="83">
        <v>0</v>
      </c>
      <c r="BB113" s="83">
        <v>0</v>
      </c>
      <c r="BC113" s="83">
        <v>0</v>
      </c>
      <c r="BD113" s="83">
        <v>0</v>
      </c>
      <c r="BE113" s="5">
        <f t="shared" si="3"/>
        <v>0</v>
      </c>
      <c r="BF113" s="5">
        <f>562+12583+3235+2256+1200+4611+4856+6396+12022+1413+689+7261+7338+4135+2625+8181+1412+59575+5739+3311+3311+7877+23058+30750</f>
        <v>214396</v>
      </c>
      <c r="BG113" s="5">
        <f t="shared" si="4"/>
        <v>214396</v>
      </c>
      <c r="BH113" s="66">
        <f>BE113-'TB 17.05.24'!BD91</f>
        <v>-214396</v>
      </c>
      <c r="BO113" t="str">
        <f>VLOOKUP(A113,[2]Sheet1!$A$8:$A$102,1,0)</f>
        <v>451000-006</v>
      </c>
    </row>
    <row r="114" spans="1:67" ht="15" hidden="1" customHeight="1" x14ac:dyDescent="0.35">
      <c r="A114" s="3" t="s">
        <v>199</v>
      </c>
      <c r="B114" s="4" t="s">
        <v>200</v>
      </c>
      <c r="C114" s="4" t="s">
        <v>314</v>
      </c>
      <c r="D114" s="4" t="s">
        <v>985</v>
      </c>
      <c r="E114" s="83">
        <v>0</v>
      </c>
      <c r="F114" s="83">
        <v>0</v>
      </c>
      <c r="G114" s="83">
        <v>0</v>
      </c>
      <c r="H114" s="83">
        <v>0</v>
      </c>
      <c r="I114" s="83">
        <v>0</v>
      </c>
      <c r="J114" s="83">
        <v>0</v>
      </c>
      <c r="K114" s="83">
        <v>0</v>
      </c>
      <c r="L114" s="83">
        <v>0</v>
      </c>
      <c r="M114" s="83">
        <v>0</v>
      </c>
      <c r="N114" s="83">
        <v>0</v>
      </c>
      <c r="O114" s="83">
        <v>0</v>
      </c>
      <c r="P114" s="83">
        <v>0</v>
      </c>
      <c r="Q114" s="83">
        <v>0</v>
      </c>
      <c r="R114" s="83">
        <v>0</v>
      </c>
      <c r="S114" s="83">
        <v>0</v>
      </c>
      <c r="T114" s="83">
        <v>0</v>
      </c>
      <c r="U114" s="83">
        <v>0</v>
      </c>
      <c r="V114" s="83">
        <v>0</v>
      </c>
      <c r="W114" s="83">
        <v>0</v>
      </c>
      <c r="X114" s="83">
        <v>0</v>
      </c>
      <c r="Y114" s="83">
        <v>0</v>
      </c>
      <c r="Z114" s="83">
        <v>0</v>
      </c>
      <c r="AA114" s="83">
        <v>0</v>
      </c>
      <c r="AB114" s="83">
        <v>0</v>
      </c>
      <c r="AC114" s="83">
        <v>0</v>
      </c>
      <c r="AD114" s="83">
        <v>0</v>
      </c>
      <c r="AE114" s="83">
        <v>0</v>
      </c>
      <c r="AF114" s="83">
        <v>0</v>
      </c>
      <c r="AG114" s="83">
        <v>0</v>
      </c>
      <c r="AH114" s="83">
        <v>0</v>
      </c>
      <c r="AI114" s="83">
        <v>0</v>
      </c>
      <c r="AJ114" s="83">
        <v>0</v>
      </c>
      <c r="AK114" s="83">
        <v>0</v>
      </c>
      <c r="AL114" s="83">
        <v>0</v>
      </c>
      <c r="AM114" s="83">
        <v>0</v>
      </c>
      <c r="AN114" s="83">
        <v>0</v>
      </c>
      <c r="AO114" s="83">
        <v>0</v>
      </c>
      <c r="AP114" s="83">
        <v>0</v>
      </c>
      <c r="AQ114" s="83">
        <v>0</v>
      </c>
      <c r="AR114" s="83">
        <v>0</v>
      </c>
      <c r="AS114" s="83">
        <v>0</v>
      </c>
      <c r="AT114" s="83">
        <v>0</v>
      </c>
      <c r="AU114" s="83">
        <v>0</v>
      </c>
      <c r="AV114" s="83">
        <v>0</v>
      </c>
      <c r="AW114" s="83">
        <v>0</v>
      </c>
      <c r="AX114" s="83">
        <v>0</v>
      </c>
      <c r="AY114" s="83">
        <v>0</v>
      </c>
      <c r="AZ114" s="83">
        <v>0</v>
      </c>
      <c r="BA114" s="83">
        <v>0</v>
      </c>
      <c r="BB114" s="83">
        <v>0</v>
      </c>
      <c r="BC114" s="83">
        <v>0</v>
      </c>
      <c r="BD114" s="83">
        <v>0</v>
      </c>
      <c r="BE114" s="5">
        <f t="shared" si="3"/>
        <v>0</v>
      </c>
      <c r="BF114" s="5">
        <f>22541+258053+303783+257186+363239+783369+1690+189000+196515+8820+65676+92640+87588+41850+246050+136327+399226+8384+337233+357505+34522+50755+113783+36299+28434+229798+299619+48058+100992+100341.5+94426.5+46482+386852+32768+359642+125809</f>
        <v>6245256</v>
      </c>
      <c r="BG114" s="5">
        <f t="shared" si="4"/>
        <v>6245256</v>
      </c>
      <c r="BH114" s="66">
        <f>BE114-'TB 17.05.24'!BD92</f>
        <v>-6216822</v>
      </c>
      <c r="BO114" t="str">
        <f>VLOOKUP(A114,[2]Sheet1!$A$8:$A$102,1,0)</f>
        <v>451000-007</v>
      </c>
    </row>
    <row r="115" spans="1:67" ht="15" hidden="1" customHeight="1" x14ac:dyDescent="0.35">
      <c r="A115" s="3" t="s">
        <v>201</v>
      </c>
      <c r="B115" s="4" t="s">
        <v>202</v>
      </c>
      <c r="C115" s="4" t="s">
        <v>314</v>
      </c>
      <c r="D115" s="4" t="s">
        <v>985</v>
      </c>
      <c r="E115" s="83">
        <v>0</v>
      </c>
      <c r="F115" s="83">
        <v>0</v>
      </c>
      <c r="G115" s="83">
        <v>0</v>
      </c>
      <c r="H115" s="83">
        <v>0</v>
      </c>
      <c r="I115" s="83">
        <v>0</v>
      </c>
      <c r="J115" s="83">
        <v>0</v>
      </c>
      <c r="K115" s="83">
        <v>0</v>
      </c>
      <c r="L115" s="83">
        <v>0</v>
      </c>
      <c r="M115" s="83">
        <v>0</v>
      </c>
      <c r="N115" s="83">
        <v>0</v>
      </c>
      <c r="O115" s="83">
        <v>0</v>
      </c>
      <c r="P115" s="83">
        <v>0</v>
      </c>
      <c r="Q115" s="83">
        <v>0</v>
      </c>
      <c r="R115" s="83">
        <v>0</v>
      </c>
      <c r="S115" s="83">
        <v>0</v>
      </c>
      <c r="T115" s="83">
        <v>0</v>
      </c>
      <c r="U115" s="83">
        <v>0</v>
      </c>
      <c r="V115" s="83">
        <v>0</v>
      </c>
      <c r="W115" s="83">
        <v>0</v>
      </c>
      <c r="X115" s="83">
        <v>0</v>
      </c>
      <c r="Y115" s="83">
        <v>0</v>
      </c>
      <c r="Z115" s="83">
        <v>0</v>
      </c>
      <c r="AA115" s="83">
        <v>0</v>
      </c>
      <c r="AB115" s="83">
        <v>0</v>
      </c>
      <c r="AC115" s="83">
        <v>0</v>
      </c>
      <c r="AD115" s="83">
        <v>0</v>
      </c>
      <c r="AE115" s="83">
        <v>0</v>
      </c>
      <c r="AF115" s="83">
        <v>0</v>
      </c>
      <c r="AG115" s="83">
        <v>0</v>
      </c>
      <c r="AH115" s="83">
        <v>0</v>
      </c>
      <c r="AI115" s="83">
        <v>0</v>
      </c>
      <c r="AJ115" s="83">
        <v>0</v>
      </c>
      <c r="AK115" s="83">
        <v>0</v>
      </c>
      <c r="AL115" s="83">
        <v>0</v>
      </c>
      <c r="AM115" s="83">
        <v>0</v>
      </c>
      <c r="AN115" s="83">
        <v>0</v>
      </c>
      <c r="AO115" s="83">
        <v>0</v>
      </c>
      <c r="AP115" s="83">
        <v>0</v>
      </c>
      <c r="AQ115" s="83">
        <v>0</v>
      </c>
      <c r="AR115" s="83">
        <v>0</v>
      </c>
      <c r="AS115" s="83">
        <v>0</v>
      </c>
      <c r="AT115" s="83">
        <v>0</v>
      </c>
      <c r="AU115" s="83">
        <v>0</v>
      </c>
      <c r="AV115" s="83">
        <v>0</v>
      </c>
      <c r="AW115" s="83">
        <v>0</v>
      </c>
      <c r="AX115" s="83">
        <v>0</v>
      </c>
      <c r="AY115" s="83">
        <v>0</v>
      </c>
      <c r="AZ115" s="83">
        <v>0</v>
      </c>
      <c r="BA115" s="83">
        <v>0</v>
      </c>
      <c r="BB115" s="83">
        <v>0</v>
      </c>
      <c r="BC115" s="83">
        <v>0</v>
      </c>
      <c r="BD115" s="83">
        <v>0</v>
      </c>
      <c r="BE115" s="5">
        <f t="shared" si="3"/>
        <v>0</v>
      </c>
      <c r="BF115" s="5">
        <f>1045+32645+3871+8718+2720+3402+640+1930+1280+2330+608+6975+4725+4725+1730+3210+5873</f>
        <v>86427</v>
      </c>
      <c r="BG115" s="5">
        <f t="shared" si="4"/>
        <v>86427</v>
      </c>
      <c r="BH115" s="66">
        <f>BE115-'TB 17.05.24'!BD93</f>
        <v>-86427</v>
      </c>
      <c r="BO115" t="str">
        <f>VLOOKUP(A115,[2]Sheet1!$A$8:$A$102,1,0)</f>
        <v>451000-008</v>
      </c>
    </row>
    <row r="116" spans="1:67" ht="15" hidden="1" customHeight="1" x14ac:dyDescent="0.35">
      <c r="A116" s="3" t="s">
        <v>203</v>
      </c>
      <c r="B116" s="4" t="s">
        <v>204</v>
      </c>
      <c r="C116" s="4" t="s">
        <v>314</v>
      </c>
      <c r="D116" s="4" t="s">
        <v>256</v>
      </c>
      <c r="E116" s="83">
        <f>'REV &amp; COGS'!C52</f>
        <v>0</v>
      </c>
      <c r="F116" s="83">
        <f>'REV &amp; COGS'!D52</f>
        <v>0</v>
      </c>
      <c r="G116" s="83">
        <v>0</v>
      </c>
      <c r="H116" s="83">
        <f>'REV &amp; COGS'!F52</f>
        <v>0</v>
      </c>
      <c r="I116" s="83">
        <f>'REV &amp; COGS'!G52</f>
        <v>0</v>
      </c>
      <c r="J116" s="83">
        <f>'REV &amp; COGS'!H52</f>
        <v>119686.59348</v>
      </c>
      <c r="K116" s="83">
        <f>'REV &amp; COGS'!I52</f>
        <v>191339.45308000001</v>
      </c>
      <c r="L116" s="83">
        <v>0</v>
      </c>
      <c r="M116" s="83">
        <f>'REV &amp; COGS'!K52</f>
        <v>589064.52765111765</v>
      </c>
      <c r="N116" s="83">
        <f>'REV &amp; COGS'!L52</f>
        <v>128109.81836</v>
      </c>
      <c r="O116" s="83">
        <v>0</v>
      </c>
      <c r="P116" s="83">
        <v>0</v>
      </c>
      <c r="Q116" s="83">
        <v>0</v>
      </c>
      <c r="R116" s="83">
        <f>'REV &amp; COGS'!O52</f>
        <v>0</v>
      </c>
      <c r="S116" s="83">
        <f>'REV &amp; COGS'!P52</f>
        <v>428380.52559219045</v>
      </c>
      <c r="T116" s="83">
        <v>0</v>
      </c>
      <c r="U116" s="83">
        <f>'REV &amp; COGS'!R52</f>
        <v>214982.92316190479</v>
      </c>
      <c r="V116" s="83">
        <v>0</v>
      </c>
      <c r="W116" s="83">
        <f>'REV &amp; COGS'!T52</f>
        <v>153841</v>
      </c>
      <c r="X116" s="83">
        <f>'REV &amp; COGS'!U52</f>
        <v>96694.5</v>
      </c>
      <c r="Y116" s="83">
        <f>'REV &amp; COGS'!V52</f>
        <v>87154</v>
      </c>
      <c r="Z116" s="83">
        <f>'REV &amp; COGS'!W52</f>
        <v>29672.949999999997</v>
      </c>
      <c r="AA116" s="83">
        <f>'REV &amp; COGS'!X52</f>
        <v>0</v>
      </c>
      <c r="AB116" s="83">
        <v>0</v>
      </c>
      <c r="AC116" s="83">
        <f>'REV &amp; COGS'!Z52</f>
        <v>379387</v>
      </c>
      <c r="AD116" s="83">
        <f>'REV &amp; COGS'!AA52</f>
        <v>157154.5</v>
      </c>
      <c r="AE116" s="83">
        <f>'REV &amp; COGS'!AB52</f>
        <v>0</v>
      </c>
      <c r="AF116" s="83">
        <f>'REV &amp; COGS'!AC52</f>
        <v>66569.520000000048</v>
      </c>
      <c r="AG116" s="83">
        <f>'REV &amp; COGS'!AD52</f>
        <v>0</v>
      </c>
      <c r="AH116" s="83">
        <f>'REV &amp; COGS'!AE52</f>
        <v>172162.65550888891</v>
      </c>
      <c r="AI116" s="83">
        <f>'REV &amp; COGS'!AF52</f>
        <v>84689.026999999987</v>
      </c>
      <c r="AJ116" s="83">
        <f>'REV &amp; COGS'!AG52</f>
        <v>184499.2267</v>
      </c>
      <c r="AK116" s="83">
        <v>0</v>
      </c>
      <c r="AL116" s="83">
        <v>0</v>
      </c>
      <c r="AM116" s="83">
        <v>0</v>
      </c>
      <c r="AN116" s="83">
        <f>'REV &amp; COGS'!AK52</f>
        <v>649664.85239999986</v>
      </c>
      <c r="AO116" s="83">
        <f>'REV &amp; COGS'!AL52</f>
        <v>310455.70299999998</v>
      </c>
      <c r="AP116" s="83">
        <f>'REV &amp; COGS'!AM52</f>
        <v>0</v>
      </c>
      <c r="AQ116" s="83">
        <f>'REV &amp; COGS'!AN52</f>
        <v>0</v>
      </c>
      <c r="AR116" s="83">
        <f>'REV &amp; COGS'!AO52</f>
        <v>325807.81090000016</v>
      </c>
      <c r="AS116" s="83">
        <f>'REV &amp; COGS'!AP52</f>
        <v>85369.13125115924</v>
      </c>
      <c r="AT116" s="83">
        <f>'REV &amp; COGS'!AQ52</f>
        <v>73287.775699835329</v>
      </c>
      <c r="AU116" s="83">
        <v>0</v>
      </c>
      <c r="AV116" s="83">
        <f>'REV &amp; COGS'!AS52</f>
        <v>466994.07908773486</v>
      </c>
      <c r="AW116" s="83">
        <f>'REV &amp; COGS'!AT52</f>
        <v>40497.914669999998</v>
      </c>
      <c r="AX116" s="83">
        <f>'REV &amp; COGS'!AU52</f>
        <v>11338.657499999999</v>
      </c>
      <c r="AY116" s="83">
        <v>0</v>
      </c>
      <c r="AZ116" s="83">
        <v>0</v>
      </c>
      <c r="BA116" s="83">
        <f>'REV &amp; COGS'!AX52</f>
        <v>237714.66670144949</v>
      </c>
      <c r="BB116" s="83">
        <f>'REV &amp; COGS'!AY52</f>
        <v>0</v>
      </c>
      <c r="BC116" s="83">
        <f>'REV &amp; COGS'!AZ52</f>
        <v>358127.4682</v>
      </c>
      <c r="BD116" s="83">
        <f>'REV &amp; COGS'!BA52</f>
        <v>13900.369500000001</v>
      </c>
      <c r="BE116" s="5">
        <f t="shared" si="3"/>
        <v>5656546.6494442793</v>
      </c>
      <c r="BF116" s="5">
        <f>123375-'REV &amp; COGS'!H19+123375-'REV &amp; COGS'!I19-871129+123375-'REV &amp; COGS'!L19-'REV &amp; COGS'!O19-415160.5-'REV &amp; COGS'!P19-233387-183945-'REV &amp; COGS'!T19-311989-'REV &amp; COGS'!U19-20137-'REV &amp; COGS'!V19+17775-'REV &amp; COGS'!W19+2821-'REV &amp; COGS'!X19-293274-'REV &amp; COGS'!Z19-370471-'REV &amp; COGS'!AA19-0-'REV &amp; COGS'!AB19-524617-'REV &amp; COGS'!AC19+0-'REV &amp; COGS'!AD19-22874-'REV &amp; COGS'!AE19+175000-'REV &amp; COGS'!AF19+624752-'REV &amp; COGS'!AG19+444750-307719-'REV &amp; COGS'!AL19-0-'REV &amp; COGS'!AM19-670271-'REV &amp; COGS'!AO19-204628-'REV &amp; COGS'!AP19-225333-'REV &amp; COGS'!AQ19-32729.5-'REV &amp; COGS'!AS19+132929.5-'REV &amp; COGS'!AT19-0-'REV &amp; COGS'!AU19-733379-'REV &amp; COGS'!AX19-0-'REV &amp; COGS'!AY19-487378-'REV &amp; COGS'!AZ19-'REV &amp; COGS'!BA19</f>
        <v>-7194337.4876255933</v>
      </c>
      <c r="BG116" s="5">
        <f t="shared" si="4"/>
        <v>-1537790.8381813141</v>
      </c>
      <c r="BH116" s="66">
        <f>BE116-'TB 17.05.24'!BD94</f>
        <v>2937688.7694442794</v>
      </c>
      <c r="BO116" t="str">
        <f>VLOOKUP(A116,[2]Sheet1!$A$8:$A$102,1,0)</f>
        <v>452000-001</v>
      </c>
    </row>
    <row r="117" spans="1:67" ht="15" hidden="1" customHeight="1" x14ac:dyDescent="0.35">
      <c r="A117" s="3" t="s">
        <v>205</v>
      </c>
      <c r="B117" s="6" t="s">
        <v>206</v>
      </c>
      <c r="C117" s="4" t="s">
        <v>314</v>
      </c>
      <c r="D117" s="6" t="s">
        <v>322</v>
      </c>
      <c r="E117" s="84">
        <v>0</v>
      </c>
      <c r="F117" s="84">
        <v>0</v>
      </c>
      <c r="G117" s="84">
        <v>0</v>
      </c>
      <c r="H117" s="84">
        <v>0</v>
      </c>
      <c r="I117" s="84">
        <v>0</v>
      </c>
      <c r="J117" s="84">
        <v>0</v>
      </c>
      <c r="K117" s="84">
        <v>0</v>
      </c>
      <c r="L117" s="84">
        <v>0</v>
      </c>
      <c r="M117" s="84">
        <v>0</v>
      </c>
      <c r="N117" s="84">
        <v>0</v>
      </c>
      <c r="O117" s="84">
        <v>2950</v>
      </c>
      <c r="P117" s="84">
        <v>0</v>
      </c>
      <c r="Q117" s="84">
        <v>0</v>
      </c>
      <c r="R117" s="84">
        <v>0</v>
      </c>
      <c r="S117" s="84">
        <v>0</v>
      </c>
      <c r="T117" s="84">
        <v>0</v>
      </c>
      <c r="U117" s="84">
        <v>0</v>
      </c>
      <c r="V117" s="84">
        <v>0</v>
      </c>
      <c r="W117" s="84">
        <v>0</v>
      </c>
      <c r="X117" s="84">
        <v>0</v>
      </c>
      <c r="Y117" s="84">
        <v>0</v>
      </c>
      <c r="Z117" s="84">
        <v>0</v>
      </c>
      <c r="AA117" s="84">
        <v>0</v>
      </c>
      <c r="AB117" s="84">
        <v>0</v>
      </c>
      <c r="AC117" s="84">
        <v>0</v>
      </c>
      <c r="AD117" s="84">
        <v>0</v>
      </c>
      <c r="AE117" s="84">
        <v>0</v>
      </c>
      <c r="AF117" s="84">
        <v>0</v>
      </c>
      <c r="AG117" s="84">
        <v>0</v>
      </c>
      <c r="AH117" s="84">
        <v>0</v>
      </c>
      <c r="AI117" s="84">
        <v>0</v>
      </c>
      <c r="AJ117" s="84">
        <v>0</v>
      </c>
      <c r="AK117" s="84">
        <v>0</v>
      </c>
      <c r="AL117" s="84">
        <v>0</v>
      </c>
      <c r="AM117" s="84">
        <v>0</v>
      </c>
      <c r="AN117" s="84">
        <v>0</v>
      </c>
      <c r="AO117" s="84">
        <v>0</v>
      </c>
      <c r="AP117" s="84">
        <v>0</v>
      </c>
      <c r="AQ117" s="84">
        <v>0</v>
      </c>
      <c r="AR117" s="84">
        <v>0</v>
      </c>
      <c r="AS117" s="84">
        <v>0</v>
      </c>
      <c r="AT117" s="84">
        <v>0</v>
      </c>
      <c r="AU117" s="84">
        <v>0</v>
      </c>
      <c r="AV117" s="84">
        <v>0</v>
      </c>
      <c r="AW117" s="84">
        <v>0</v>
      </c>
      <c r="AX117" s="84">
        <v>0</v>
      </c>
      <c r="AY117" s="84">
        <v>0</v>
      </c>
      <c r="AZ117" s="84">
        <v>0</v>
      </c>
      <c r="BA117" s="84">
        <v>0</v>
      </c>
      <c r="BB117" s="84">
        <v>0</v>
      </c>
      <c r="BC117" s="84">
        <v>0</v>
      </c>
      <c r="BD117" s="84">
        <v>0</v>
      </c>
      <c r="BE117" s="7">
        <f t="shared" si="3"/>
        <v>2950</v>
      </c>
      <c r="BF117" s="7"/>
      <c r="BG117" s="7">
        <f t="shared" si="4"/>
        <v>2950</v>
      </c>
      <c r="BH117" s="66">
        <f>BE117-'TB 17.05.24'!BD91</f>
        <v>-211446</v>
      </c>
      <c r="BO117" t="str">
        <f>VLOOKUP(A117,[2]Sheet1!$A$8:$A$102,1,0)</f>
        <v>500001-001</v>
      </c>
    </row>
    <row r="118" spans="1:67" ht="15" hidden="1" customHeight="1" x14ac:dyDescent="0.35">
      <c r="A118" s="3"/>
      <c r="B118" s="4" t="s">
        <v>968</v>
      </c>
      <c r="C118" s="4" t="s">
        <v>314</v>
      </c>
      <c r="D118" s="4" t="s">
        <v>968</v>
      </c>
      <c r="E118" s="672">
        <f>'Sales summary'!P68</f>
        <v>58451.4</v>
      </c>
      <c r="F118" s="672">
        <f>'Sales summary'!P69</f>
        <v>82060.3</v>
      </c>
      <c r="G118" s="672">
        <v>0</v>
      </c>
      <c r="H118" s="672">
        <f>'Sales summary'!P70</f>
        <v>158885.29999999999</v>
      </c>
      <c r="I118" s="672">
        <f>'Sales summary'!P71</f>
        <v>37047.5</v>
      </c>
      <c r="J118" s="672">
        <f>'Sales summary'!P87</f>
        <v>147158.20000000001</v>
      </c>
      <c r="K118" s="672">
        <f>'Sales summary'!P88</f>
        <v>188616.40000000002</v>
      </c>
      <c r="L118" s="672">
        <v>0</v>
      </c>
      <c r="M118" s="672">
        <f>'Sales summary'!P89</f>
        <v>219876.3</v>
      </c>
      <c r="N118" s="672">
        <f>'Sales summary'!P90</f>
        <v>177687.3</v>
      </c>
      <c r="O118" s="83">
        <v>0</v>
      </c>
      <c r="P118" s="83">
        <v>0</v>
      </c>
      <c r="Q118" s="83">
        <v>0</v>
      </c>
      <c r="R118" s="672">
        <f>'Sales summary'!P93</f>
        <v>153526.1</v>
      </c>
      <c r="S118" s="672">
        <f>'Sales summary'!P92</f>
        <v>135369.5</v>
      </c>
      <c r="T118" s="672">
        <v>0</v>
      </c>
      <c r="U118" s="672">
        <f>'Sales summary'!P94</f>
        <v>196568.40000000002</v>
      </c>
      <c r="V118" s="83">
        <v>0</v>
      </c>
      <c r="W118" s="83">
        <f>'Sales summary'!P83</f>
        <v>71285.2</v>
      </c>
      <c r="X118" s="83">
        <f>'Sales summary'!P84</f>
        <v>114265.9</v>
      </c>
      <c r="Y118" s="83">
        <f>'Sales summary'!P85</f>
        <v>144798.5</v>
      </c>
      <c r="Z118" s="83">
        <f>'Sales summary'!P73</f>
        <v>93963.8</v>
      </c>
      <c r="AA118" s="83">
        <f>'Sales summary'!P74</f>
        <v>99051.4</v>
      </c>
      <c r="AB118" s="83">
        <v>0</v>
      </c>
      <c r="AC118" s="83">
        <f>'Sales summary'!P75</f>
        <v>229519.5</v>
      </c>
      <c r="AD118" s="83">
        <f>'Sales summary'!P76</f>
        <v>236848.5</v>
      </c>
      <c r="AE118" s="83">
        <f>'Sales summary'!P77</f>
        <v>22911.7</v>
      </c>
      <c r="AF118" s="83">
        <f>'Sales summary'!P79</f>
        <v>118407.1</v>
      </c>
      <c r="AG118" s="83">
        <f>'Sales summary'!P80</f>
        <v>85475.6</v>
      </c>
      <c r="AH118" s="83">
        <f>'Sales summary'!P81</f>
        <v>75830.3</v>
      </c>
      <c r="AI118" s="83">
        <f>'Sales summary'!P102</f>
        <v>117959.1</v>
      </c>
      <c r="AJ118" s="83">
        <f>'Sales summary'!P105</f>
        <v>222488</v>
      </c>
      <c r="AK118" s="83">
        <v>0</v>
      </c>
      <c r="AL118" s="83">
        <v>0</v>
      </c>
      <c r="AM118" s="83">
        <v>0</v>
      </c>
      <c r="AN118" s="83">
        <f>'Sales summary'!P104</f>
        <v>239418.90000000002</v>
      </c>
      <c r="AO118" s="83">
        <f>'Sales summary'!P103</f>
        <v>312780.30000000005</v>
      </c>
      <c r="AP118" s="83">
        <f>'Sales summary'!P107</f>
        <v>54891.9</v>
      </c>
      <c r="AQ118" s="83">
        <f>'Sales summary'!P106</f>
        <v>16006.2</v>
      </c>
      <c r="AR118" s="83">
        <f>'Sales summary'!P101</f>
        <v>373717.4</v>
      </c>
      <c r="AS118" s="83">
        <f>'Sales summary'!P96</f>
        <v>125841.8</v>
      </c>
      <c r="AT118" s="83">
        <f>'Sales summary'!P97</f>
        <v>97649.3</v>
      </c>
      <c r="AU118" s="83">
        <v>0</v>
      </c>
      <c r="AV118" s="83">
        <f>'Sales summary'!P98</f>
        <v>99842.4</v>
      </c>
      <c r="AW118" s="83">
        <f>'Sales summary'!P99</f>
        <v>98547.4</v>
      </c>
      <c r="AX118" s="83">
        <f>'Sales summary'!P110</f>
        <v>72645.3</v>
      </c>
      <c r="AY118" s="83">
        <v>0</v>
      </c>
      <c r="AZ118" s="83">
        <v>0</v>
      </c>
      <c r="BA118" s="83">
        <f>'Sales summary'!P112</f>
        <v>214680.2</v>
      </c>
      <c r="BB118" s="83">
        <f>'Sales summary'!P113</f>
        <v>73320.100000000006</v>
      </c>
      <c r="BC118" s="83">
        <f>'Sales summary'!P109</f>
        <v>310161.59999999998</v>
      </c>
      <c r="BD118" s="83">
        <f>'Sales summary'!P111</f>
        <v>37625</v>
      </c>
      <c r="BE118" s="7">
        <f t="shared" si="3"/>
        <v>5315179.0999999996</v>
      </c>
      <c r="BF118" s="5"/>
      <c r="BG118" s="5"/>
      <c r="BH118" s="66"/>
    </row>
    <row r="119" spans="1:67" ht="15" customHeight="1" x14ac:dyDescent="0.35">
      <c r="A119" s="3"/>
      <c r="B119" s="8" t="s">
        <v>56</v>
      </c>
      <c r="C119" s="8"/>
      <c r="D119" s="8"/>
      <c r="E119" s="304">
        <f t="shared" ref="E119:AJ119" si="5">SUBTOTAL(9,E11:E117)</f>
        <v>24530</v>
      </c>
      <c r="F119" s="304">
        <f t="shared" si="5"/>
        <v>31487</v>
      </c>
      <c r="G119" s="81">
        <f>SUBTOTAL(9,G11:G118)</f>
        <v>0</v>
      </c>
      <c r="H119" s="304">
        <f t="shared" si="5"/>
        <v>41939</v>
      </c>
      <c r="I119" s="304">
        <f t="shared" si="5"/>
        <v>23112</v>
      </c>
      <c r="J119" s="304">
        <f t="shared" si="5"/>
        <v>63669</v>
      </c>
      <c r="K119" s="304">
        <f t="shared" si="5"/>
        <v>53025</v>
      </c>
      <c r="L119" s="81">
        <f>SUBTOTAL(9,L11:L118)</f>
        <v>0</v>
      </c>
      <c r="M119" s="304">
        <f t="shared" si="5"/>
        <v>712078</v>
      </c>
      <c r="N119" s="304">
        <f t="shared" si="5"/>
        <v>53843</v>
      </c>
      <c r="O119" s="9">
        <f>SUBTOTAL(9,O11:O118)</f>
        <v>272500</v>
      </c>
      <c r="P119" s="81">
        <f>SUBTOTAL(9,P11:P118)</f>
        <v>0</v>
      </c>
      <c r="Q119" s="81">
        <f>SUBTOTAL(9,Q11:Q118)</f>
        <v>0</v>
      </c>
      <c r="R119" s="304">
        <f t="shared" si="5"/>
        <v>5274</v>
      </c>
      <c r="S119" s="9">
        <f t="shared" si="5"/>
        <v>94805</v>
      </c>
      <c r="T119" s="81">
        <f>SUBTOTAL(9,T11:T118)</f>
        <v>0</v>
      </c>
      <c r="U119" s="9">
        <f t="shared" si="5"/>
        <v>73616</v>
      </c>
      <c r="V119" s="81">
        <f>SUBTOTAL(9,V11:V118)</f>
        <v>0</v>
      </c>
      <c r="W119" s="9">
        <f t="shared" si="5"/>
        <v>48930</v>
      </c>
      <c r="X119" s="9">
        <f t="shared" si="5"/>
        <v>46694</v>
      </c>
      <c r="Y119" s="9">
        <f t="shared" si="5"/>
        <v>42886</v>
      </c>
      <c r="Z119" s="9">
        <f t="shared" si="5"/>
        <v>118825</v>
      </c>
      <c r="AA119" s="9">
        <f t="shared" si="5"/>
        <v>75765</v>
      </c>
      <c r="AB119" s="81">
        <f>SUBTOTAL(9,AB11:AB118)</f>
        <v>0</v>
      </c>
      <c r="AC119" s="9">
        <f t="shared" si="5"/>
        <v>245990</v>
      </c>
      <c r="AD119" s="9">
        <f t="shared" si="5"/>
        <v>144297</v>
      </c>
      <c r="AE119" s="9">
        <f t="shared" si="5"/>
        <v>96579</v>
      </c>
      <c r="AF119" s="9">
        <f t="shared" si="5"/>
        <v>172362</v>
      </c>
      <c r="AG119" s="9">
        <f t="shared" si="5"/>
        <v>76724</v>
      </c>
      <c r="AH119" s="9">
        <f t="shared" si="5"/>
        <v>99955</v>
      </c>
      <c r="AI119" s="9">
        <f t="shared" si="5"/>
        <v>23981.857142857141</v>
      </c>
      <c r="AJ119" s="9">
        <f t="shared" si="5"/>
        <v>127157.85714285714</v>
      </c>
      <c r="AK119" s="81">
        <f>SUBTOTAL(9,AK11:AK118)</f>
        <v>0</v>
      </c>
      <c r="AL119" s="81">
        <f>SUBTOTAL(9,AL11:AL118)</f>
        <v>0</v>
      </c>
      <c r="AM119" s="81">
        <f>SUBTOTAL(9,AM11:AM118)</f>
        <v>0</v>
      </c>
      <c r="AN119" s="9">
        <f t="shared" ref="AN119:BD119" si="6">SUBTOTAL(9,AN11:AN117)</f>
        <v>151059.85714285713</v>
      </c>
      <c r="AO119" s="9">
        <f t="shared" si="6"/>
        <v>189282.85714285713</v>
      </c>
      <c r="AP119" s="9">
        <f t="shared" si="6"/>
        <v>60932.857142857145</v>
      </c>
      <c r="AQ119" s="9">
        <f t="shared" si="6"/>
        <v>7852.8571428571431</v>
      </c>
      <c r="AR119" s="9">
        <f t="shared" si="6"/>
        <v>200554.85714285713</v>
      </c>
      <c r="AS119" s="9">
        <f t="shared" si="6"/>
        <v>107298.5</v>
      </c>
      <c r="AT119" s="9">
        <f t="shared" si="6"/>
        <v>48671.5</v>
      </c>
      <c r="AU119" s="81">
        <f t="shared" si="6"/>
        <v>0</v>
      </c>
      <c r="AV119" s="9">
        <f t="shared" si="6"/>
        <v>83379.5</v>
      </c>
      <c r="AW119" s="9">
        <f t="shared" si="6"/>
        <v>57658.5</v>
      </c>
      <c r="AX119" s="9">
        <f t="shared" si="6"/>
        <v>16177</v>
      </c>
      <c r="AY119" s="81">
        <f t="shared" si="6"/>
        <v>0</v>
      </c>
      <c r="AZ119" s="81">
        <f t="shared" si="6"/>
        <v>0</v>
      </c>
      <c r="BA119" s="9">
        <f t="shared" si="6"/>
        <v>34422</v>
      </c>
      <c r="BB119" s="9">
        <f t="shared" si="6"/>
        <v>12564</v>
      </c>
      <c r="BC119" s="9">
        <f t="shared" si="6"/>
        <v>25980</v>
      </c>
      <c r="BD119" s="9">
        <f t="shared" si="6"/>
        <v>21231</v>
      </c>
      <c r="BE119" s="9"/>
      <c r="BF119" s="9"/>
      <c r="BG119" s="9">
        <f>SUBTOTAL(9,BG11:BG118)</f>
        <v>3641344.0000000005</v>
      </c>
      <c r="BO119" s="66"/>
    </row>
    <row r="120" spans="1:67" s="239" customFormat="1" hidden="1" x14ac:dyDescent="0.35">
      <c r="D120" s="745" t="s">
        <v>330</v>
      </c>
      <c r="E120" s="239" t="e">
        <f>#REF!</f>
        <v>#REF!</v>
      </c>
      <c r="F120" s="239" t="e">
        <f>#REF!</f>
        <v>#REF!</v>
      </c>
      <c r="G120" s="239" t="e">
        <f>#REF!</f>
        <v>#REF!</v>
      </c>
      <c r="H120" s="239" t="e">
        <f>#REF!</f>
        <v>#REF!</v>
      </c>
      <c r="I120" s="239" t="e">
        <f>#REF!</f>
        <v>#REF!</v>
      </c>
      <c r="J120" s="239" t="e">
        <f>#REF!</f>
        <v>#REF!</v>
      </c>
      <c r="K120" s="239" t="e">
        <f>#REF!</f>
        <v>#REF!</v>
      </c>
      <c r="L120" s="239" t="e">
        <f>#REF!</f>
        <v>#REF!</v>
      </c>
      <c r="M120" s="239" t="e">
        <f>#REF!</f>
        <v>#REF!</v>
      </c>
      <c r="N120" s="239" t="e">
        <f>#REF!</f>
        <v>#REF!</v>
      </c>
      <c r="O120" s="239" t="e">
        <f>#REF!</f>
        <v>#REF!</v>
      </c>
      <c r="P120" s="239" t="e">
        <f>#REF!</f>
        <v>#REF!</v>
      </c>
      <c r="Q120" s="239" t="e">
        <f>#REF!</f>
        <v>#REF!</v>
      </c>
      <c r="R120" s="239" t="e">
        <f>#REF!</f>
        <v>#REF!</v>
      </c>
      <c r="S120" s="239" t="e">
        <f>#REF!</f>
        <v>#REF!</v>
      </c>
      <c r="T120" s="239" t="e">
        <f>#REF!</f>
        <v>#REF!</v>
      </c>
      <c r="U120" s="239" t="e">
        <f>#REF!</f>
        <v>#REF!</v>
      </c>
      <c r="V120" s="239" t="e">
        <f>#REF!</f>
        <v>#REF!</v>
      </c>
      <c r="W120" s="239" t="e">
        <f>#REF!</f>
        <v>#REF!</v>
      </c>
      <c r="X120" s="239" t="e">
        <f>#REF!</f>
        <v>#REF!</v>
      </c>
      <c r="Y120" s="239" t="e">
        <f>#REF!</f>
        <v>#REF!</v>
      </c>
      <c r="Z120" s="239" t="e">
        <f>#REF!</f>
        <v>#REF!</v>
      </c>
      <c r="AA120" s="239" t="e">
        <f>#REF!</f>
        <v>#REF!</v>
      </c>
      <c r="AB120" s="239" t="e">
        <f>#REF!</f>
        <v>#REF!</v>
      </c>
      <c r="AC120" s="239" t="e">
        <f>#REF!</f>
        <v>#REF!</v>
      </c>
      <c r="AD120" s="239" t="e">
        <f>#REF!</f>
        <v>#REF!</v>
      </c>
      <c r="AE120" s="239" t="e">
        <f>#REF!</f>
        <v>#REF!</v>
      </c>
      <c r="AF120" s="239" t="e">
        <f>#REF!</f>
        <v>#REF!</v>
      </c>
      <c r="AG120" s="239" t="e">
        <f>#REF!</f>
        <v>#REF!</v>
      </c>
      <c r="AH120" s="239" t="e">
        <f>#REF!</f>
        <v>#REF!</v>
      </c>
      <c r="AI120" s="239" t="e">
        <f>#REF!</f>
        <v>#REF!</v>
      </c>
      <c r="AJ120" s="239" t="e">
        <f>#REF!</f>
        <v>#REF!</v>
      </c>
      <c r="AK120" s="239" t="e">
        <f>#REF!</f>
        <v>#REF!</v>
      </c>
      <c r="AL120" s="239" t="e">
        <f>#REF!</f>
        <v>#REF!</v>
      </c>
      <c r="AM120" s="239" t="e">
        <f>#REF!</f>
        <v>#REF!</v>
      </c>
      <c r="AN120" s="239" t="e">
        <f>#REF!</f>
        <v>#REF!</v>
      </c>
      <c r="AO120" s="239" t="e">
        <f>#REF!</f>
        <v>#REF!</v>
      </c>
      <c r="AP120" s="239" t="e">
        <f>#REF!</f>
        <v>#REF!</v>
      </c>
      <c r="AQ120" s="239" t="e">
        <f>#REF!</f>
        <v>#REF!</v>
      </c>
      <c r="AR120" s="239" t="e">
        <f>#REF!</f>
        <v>#REF!</v>
      </c>
      <c r="AS120" s="239" t="e">
        <f>#REF!</f>
        <v>#REF!</v>
      </c>
      <c r="AT120" s="239" t="e">
        <f>#REF!</f>
        <v>#REF!</v>
      </c>
      <c r="AU120" s="239" t="e">
        <f>#REF!</f>
        <v>#REF!</v>
      </c>
      <c r="AV120" s="239" t="e">
        <f>#REF!</f>
        <v>#REF!</v>
      </c>
      <c r="AW120" s="239" t="e">
        <f>#REF!</f>
        <v>#REF!</v>
      </c>
      <c r="AX120" s="239" t="e">
        <f>#REF!</f>
        <v>#REF!</v>
      </c>
      <c r="AY120" s="239" t="e">
        <f>#REF!</f>
        <v>#REF!</v>
      </c>
      <c r="AZ120" s="239" t="e">
        <f>#REF!</f>
        <v>#REF!</v>
      </c>
      <c r="BA120" s="239" t="e">
        <f>#REF!</f>
        <v>#REF!</v>
      </c>
      <c r="BB120" s="239" t="e">
        <f>#REF!</f>
        <v>#REF!</v>
      </c>
      <c r="BC120" s="239" t="e">
        <f>#REF!</f>
        <v>#REF!</v>
      </c>
      <c r="BD120" s="239" t="e">
        <f>#REF!</f>
        <v>#REF!</v>
      </c>
      <c r="BE120" s="746">
        <f>SUM(BE11:BE118)</f>
        <v>21802322.909332424</v>
      </c>
    </row>
    <row r="121" spans="1:67" hidden="1" x14ac:dyDescent="0.35">
      <c r="D121" s="4" t="s">
        <v>331</v>
      </c>
      <c r="E121" s="66" t="e">
        <f>E120+E119</f>
        <v>#REF!</v>
      </c>
      <c r="F121" s="66" t="e">
        <f t="shared" ref="F121:BD121" si="7">F120+F119</f>
        <v>#REF!</v>
      </c>
      <c r="G121" s="66" t="e">
        <f t="shared" si="7"/>
        <v>#REF!</v>
      </c>
      <c r="H121" s="66" t="e">
        <f t="shared" si="7"/>
        <v>#REF!</v>
      </c>
      <c r="I121" s="66" t="e">
        <f t="shared" si="7"/>
        <v>#REF!</v>
      </c>
      <c r="J121" s="66" t="e">
        <f t="shared" si="7"/>
        <v>#REF!</v>
      </c>
      <c r="K121" s="66" t="e">
        <f t="shared" si="7"/>
        <v>#REF!</v>
      </c>
      <c r="L121" s="66" t="e">
        <f t="shared" si="7"/>
        <v>#REF!</v>
      </c>
      <c r="M121" s="66" t="e">
        <f t="shared" si="7"/>
        <v>#REF!</v>
      </c>
      <c r="N121" s="66" t="e">
        <f t="shared" si="7"/>
        <v>#REF!</v>
      </c>
      <c r="O121" s="66" t="e">
        <f t="shared" si="7"/>
        <v>#REF!</v>
      </c>
      <c r="P121" s="66" t="e">
        <f t="shared" si="7"/>
        <v>#REF!</v>
      </c>
      <c r="Q121" s="66" t="e">
        <f t="shared" si="7"/>
        <v>#REF!</v>
      </c>
      <c r="R121" s="66" t="e">
        <f t="shared" si="7"/>
        <v>#REF!</v>
      </c>
      <c r="S121" s="66" t="e">
        <f t="shared" si="7"/>
        <v>#REF!</v>
      </c>
      <c r="T121" s="66" t="e">
        <f t="shared" si="7"/>
        <v>#REF!</v>
      </c>
      <c r="U121" s="66" t="e">
        <f t="shared" si="7"/>
        <v>#REF!</v>
      </c>
      <c r="V121" s="66" t="e">
        <f t="shared" si="7"/>
        <v>#REF!</v>
      </c>
      <c r="W121" s="66" t="e">
        <f t="shared" si="7"/>
        <v>#REF!</v>
      </c>
      <c r="X121" s="66" t="e">
        <f t="shared" si="7"/>
        <v>#REF!</v>
      </c>
      <c r="Y121" s="66" t="e">
        <f t="shared" si="7"/>
        <v>#REF!</v>
      </c>
      <c r="Z121" s="66" t="e">
        <f t="shared" si="7"/>
        <v>#REF!</v>
      </c>
      <c r="AA121" s="66" t="e">
        <f t="shared" si="7"/>
        <v>#REF!</v>
      </c>
      <c r="AB121" s="66" t="e">
        <f t="shared" si="7"/>
        <v>#REF!</v>
      </c>
      <c r="AC121" s="66" t="e">
        <f t="shared" si="7"/>
        <v>#REF!</v>
      </c>
      <c r="AD121" s="66" t="e">
        <f t="shared" si="7"/>
        <v>#REF!</v>
      </c>
      <c r="AE121" s="66" t="e">
        <f t="shared" si="7"/>
        <v>#REF!</v>
      </c>
      <c r="AF121" s="66" t="e">
        <f t="shared" si="7"/>
        <v>#REF!</v>
      </c>
      <c r="AG121" s="66" t="e">
        <f t="shared" si="7"/>
        <v>#REF!</v>
      </c>
      <c r="AH121" s="66" t="e">
        <f t="shared" si="7"/>
        <v>#REF!</v>
      </c>
      <c r="AI121" s="66" t="e">
        <f t="shared" si="7"/>
        <v>#REF!</v>
      </c>
      <c r="AJ121" s="66" t="e">
        <f t="shared" si="7"/>
        <v>#REF!</v>
      </c>
      <c r="AK121" s="66" t="e">
        <f t="shared" si="7"/>
        <v>#REF!</v>
      </c>
      <c r="AL121" s="66" t="e">
        <f t="shared" si="7"/>
        <v>#REF!</v>
      </c>
      <c r="AM121" s="66" t="e">
        <f t="shared" si="7"/>
        <v>#REF!</v>
      </c>
      <c r="AN121" s="66" t="e">
        <f t="shared" si="7"/>
        <v>#REF!</v>
      </c>
      <c r="AO121" s="66" t="e">
        <f t="shared" si="7"/>
        <v>#REF!</v>
      </c>
      <c r="AP121" s="66" t="e">
        <f t="shared" si="7"/>
        <v>#REF!</v>
      </c>
      <c r="AQ121" s="66" t="e">
        <f t="shared" si="7"/>
        <v>#REF!</v>
      </c>
      <c r="AR121" s="66" t="e">
        <f t="shared" si="7"/>
        <v>#REF!</v>
      </c>
      <c r="AS121" s="66" t="e">
        <f t="shared" si="7"/>
        <v>#REF!</v>
      </c>
      <c r="AT121" s="66" t="e">
        <f t="shared" si="7"/>
        <v>#REF!</v>
      </c>
      <c r="AU121" s="66" t="e">
        <f t="shared" si="7"/>
        <v>#REF!</v>
      </c>
      <c r="AV121" s="66" t="e">
        <f t="shared" si="7"/>
        <v>#REF!</v>
      </c>
      <c r="AW121" s="66" t="e">
        <f t="shared" si="7"/>
        <v>#REF!</v>
      </c>
      <c r="AX121" s="66" t="e">
        <f t="shared" si="7"/>
        <v>#REF!</v>
      </c>
      <c r="AY121" s="66" t="e">
        <f t="shared" si="7"/>
        <v>#REF!</v>
      </c>
      <c r="AZ121" s="66" t="e">
        <f t="shared" si="7"/>
        <v>#REF!</v>
      </c>
      <c r="BA121" s="66" t="e">
        <f t="shared" si="7"/>
        <v>#REF!</v>
      </c>
      <c r="BB121" s="66" t="e">
        <f t="shared" si="7"/>
        <v>#REF!</v>
      </c>
      <c r="BC121" s="66" t="e">
        <f t="shared" si="7"/>
        <v>#REF!</v>
      </c>
      <c r="BD121" s="66" t="e">
        <f t="shared" si="7"/>
        <v>#REF!</v>
      </c>
    </row>
    <row r="122" spans="1:67" x14ac:dyDescent="0.35">
      <c r="BF122" s="66"/>
    </row>
    <row r="123" spans="1:67" x14ac:dyDescent="0.35">
      <c r="J123" s="66"/>
      <c r="AE123" s="5"/>
      <c r="AF123" s="5"/>
      <c r="BB123" s="66"/>
    </row>
    <row r="124" spans="1:67" x14ac:dyDescent="0.35">
      <c r="AB124" s="376"/>
    </row>
    <row r="125" spans="1:67" x14ac:dyDescent="0.35">
      <c r="AB125" s="376"/>
      <c r="BB125" s="66"/>
    </row>
    <row r="126" spans="1:67" x14ac:dyDescent="0.35">
      <c r="AB126" s="376"/>
    </row>
    <row r="130" spans="5:56" x14ac:dyDescent="0.35"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</row>
  </sheetData>
  <autoFilter ref="A7:BH121" xr:uid="{00000000-0009-0000-0000-00000D000000}">
    <filterColumn colId="3">
      <filters blank="1">
        <filter val="Business Promotion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E98"/>
  <sheetViews>
    <sheetView topLeftCell="C50" workbookViewId="0">
      <selection activeCell="C59" sqref="C59"/>
    </sheetView>
  </sheetViews>
  <sheetFormatPr defaultColWidth="9.1796875" defaultRowHeight="14.5" x14ac:dyDescent="0.35"/>
  <cols>
    <col min="1" max="1" width="11.453125" customWidth="1"/>
    <col min="2" max="3" width="37.1796875" customWidth="1"/>
    <col min="4" max="56" width="12.81640625" customWidth="1"/>
    <col min="57" max="57" width="10.26953125" bestFit="1" customWidth="1"/>
  </cols>
  <sheetData>
    <row r="1" spans="1:56" ht="15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 spans="1:56" ht="15" customHeight="1" x14ac:dyDescent="0.3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ht="15.75" customHeight="1" x14ac:dyDescent="0.3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</row>
    <row r="4" spans="1:56" ht="15" customHeight="1" x14ac:dyDescent="0.35">
      <c r="A4" s="10" t="s">
        <v>306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</row>
    <row r="5" spans="1:56" ht="15" customHeight="1" x14ac:dyDescent="0.35">
      <c r="A5" s="10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 spans="1:56" ht="15" customHeight="1" x14ac:dyDescent="0.35">
      <c r="A6" s="1" t="s">
        <v>315</v>
      </c>
      <c r="B6" s="2" t="s">
        <v>237</v>
      </c>
      <c r="C6" s="2" t="s">
        <v>267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  <c r="W6" s="1" t="s">
        <v>23</v>
      </c>
      <c r="X6" s="1" t="s">
        <v>24</v>
      </c>
      <c r="Y6" s="1" t="s">
        <v>25</v>
      </c>
      <c r="Z6" s="1" t="s">
        <v>26</v>
      </c>
      <c r="AA6" s="1" t="s">
        <v>27</v>
      </c>
      <c r="AB6" s="1" t="s">
        <v>28</v>
      </c>
      <c r="AC6" s="1" t="s">
        <v>29</v>
      </c>
      <c r="AD6" s="1" t="s">
        <v>30</v>
      </c>
      <c r="AE6" s="1" t="s">
        <v>31</v>
      </c>
      <c r="AF6" s="1" t="s">
        <v>32</v>
      </c>
      <c r="AG6" s="1" t="s">
        <v>33</v>
      </c>
      <c r="AH6" s="1" t="s">
        <v>34</v>
      </c>
      <c r="AI6" s="1" t="s">
        <v>35</v>
      </c>
      <c r="AJ6" s="1" t="s">
        <v>36</v>
      </c>
      <c r="AK6" s="1" t="s">
        <v>37</v>
      </c>
      <c r="AL6" s="1" t="s">
        <v>38</v>
      </c>
      <c r="AM6" s="1" t="s">
        <v>39</v>
      </c>
      <c r="AN6" s="1" t="s">
        <v>40</v>
      </c>
      <c r="AO6" s="1" t="s">
        <v>41</v>
      </c>
      <c r="AP6" s="1" t="s">
        <v>42</v>
      </c>
      <c r="AQ6" s="1" t="s">
        <v>43</v>
      </c>
      <c r="AR6" s="1" t="s">
        <v>44</v>
      </c>
      <c r="AS6" s="1" t="s">
        <v>45</v>
      </c>
      <c r="AT6" s="1" t="s">
        <v>46</v>
      </c>
      <c r="AU6" s="1" t="s">
        <v>47</v>
      </c>
      <c r="AV6" s="1" t="s">
        <v>48</v>
      </c>
      <c r="AW6" s="1" t="s">
        <v>49</v>
      </c>
      <c r="AX6" s="1" t="s">
        <v>50</v>
      </c>
      <c r="AY6" s="1" t="s">
        <v>51</v>
      </c>
      <c r="AZ6" s="1" t="s">
        <v>52</v>
      </c>
      <c r="BA6" s="1" t="s">
        <v>53</v>
      </c>
      <c r="BB6" s="1" t="s">
        <v>54</v>
      </c>
      <c r="BC6" s="1" t="s">
        <v>55</v>
      </c>
      <c r="BD6" s="1" t="s">
        <v>56</v>
      </c>
    </row>
    <row r="7" spans="1:56" ht="15" customHeight="1" x14ac:dyDescent="0.35">
      <c r="A7" s="3" t="s">
        <v>949</v>
      </c>
      <c r="B7" s="4" t="s">
        <v>950</v>
      </c>
      <c r="C7" s="4" t="str">
        <f>VLOOKUP(A7,'TB Apr 24'!$A$11:$D$103,4,0)</f>
        <v>Other Sale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-2517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-2517</v>
      </c>
    </row>
    <row r="8" spans="1:56" ht="15" customHeight="1" x14ac:dyDescent="0.35">
      <c r="A8" s="3" t="s">
        <v>951</v>
      </c>
      <c r="B8" s="4" t="s">
        <v>952</v>
      </c>
      <c r="C8" s="4" t="str">
        <f>VLOOKUP(A8,'TB Apr 24'!$A$11:$D$103,4,0)</f>
        <v>Other Sale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-2214.4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-2214.4</v>
      </c>
    </row>
    <row r="9" spans="1:56" ht="15" customHeight="1" x14ac:dyDescent="0.35">
      <c r="A9" s="3" t="s">
        <v>57</v>
      </c>
      <c r="B9" s="4" t="s">
        <v>58</v>
      </c>
      <c r="C9" s="4" t="str">
        <f>VLOOKUP(A9,'TB Apr 24'!$A$11:$D$103,4,0)</f>
        <v>Other Sale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-500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-500</v>
      </c>
    </row>
    <row r="10" spans="1:56" ht="15" customHeight="1" x14ac:dyDescent="0.35">
      <c r="A10" s="3" t="s">
        <v>307</v>
      </c>
      <c r="B10" s="4" t="s">
        <v>308</v>
      </c>
      <c r="C10" s="4" t="str">
        <f>VLOOKUP(A10,'TB Apr 24'!$A$11:$D$103,4,0)</f>
        <v>Other Sale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2341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2341</v>
      </c>
    </row>
    <row r="11" spans="1:56" ht="15" customHeight="1" x14ac:dyDescent="0.35">
      <c r="A11" s="3" t="s">
        <v>59</v>
      </c>
      <c r="B11" s="4" t="s">
        <v>60</v>
      </c>
      <c r="C11" s="4" t="str">
        <f>VLOOKUP(A11,'TB Apr 24'!$A$11:$D$103,4,0)</f>
        <v>Other Sale</v>
      </c>
      <c r="D11" s="5">
        <v>-3.24</v>
      </c>
      <c r="E11" s="5">
        <v>-24.05</v>
      </c>
      <c r="F11" s="5">
        <v>0</v>
      </c>
      <c r="G11" s="5">
        <v>-31.69</v>
      </c>
      <c r="H11" s="5">
        <v>23.4</v>
      </c>
      <c r="I11" s="5">
        <v>-26.47</v>
      </c>
      <c r="J11" s="5">
        <v>-29.63</v>
      </c>
      <c r="K11" s="5">
        <v>0</v>
      </c>
      <c r="L11" s="5">
        <v>-34.36</v>
      </c>
      <c r="M11" s="5">
        <v>-20.41</v>
      </c>
      <c r="N11" s="5">
        <v>0</v>
      </c>
      <c r="O11" s="5">
        <v>0</v>
      </c>
      <c r="P11" s="5">
        <v>0</v>
      </c>
      <c r="Q11" s="5">
        <v>-26</v>
      </c>
      <c r="R11" s="5">
        <v>-33.72</v>
      </c>
      <c r="S11" s="5">
        <v>0</v>
      </c>
      <c r="T11" s="5">
        <v>-25.46</v>
      </c>
      <c r="U11" s="5">
        <v>0</v>
      </c>
      <c r="V11" s="5">
        <v>-24.24</v>
      </c>
      <c r="W11" s="5">
        <v>-27.06</v>
      </c>
      <c r="X11" s="5">
        <v>-22.36</v>
      </c>
      <c r="Y11" s="5">
        <v>-50.89</v>
      </c>
      <c r="Z11" s="5">
        <v>-61.61</v>
      </c>
      <c r="AA11" s="5">
        <v>0</v>
      </c>
      <c r="AB11" s="5">
        <v>-15.03</v>
      </c>
      <c r="AC11" s="5">
        <v>-57.44</v>
      </c>
      <c r="AD11" s="5">
        <v>-21.4</v>
      </c>
      <c r="AE11" s="5">
        <v>-20.170000000000002</v>
      </c>
      <c r="AF11" s="5">
        <v>-52.04</v>
      </c>
      <c r="AG11" s="5">
        <v>-44.71</v>
      </c>
      <c r="AH11" s="5">
        <v>-22.95</v>
      </c>
      <c r="AI11" s="5">
        <v>-26.78</v>
      </c>
      <c r="AJ11" s="5">
        <v>0</v>
      </c>
      <c r="AK11" s="5">
        <v>0</v>
      </c>
      <c r="AL11" s="5">
        <v>0</v>
      </c>
      <c r="AM11" s="5">
        <v>0</v>
      </c>
      <c r="AN11" s="5">
        <v>-30.88</v>
      </c>
      <c r="AO11" s="5">
        <v>0</v>
      </c>
      <c r="AP11" s="5">
        <v>0</v>
      </c>
      <c r="AQ11" s="5">
        <v>-58.15</v>
      </c>
      <c r="AR11" s="5">
        <v>-41.22</v>
      </c>
      <c r="AS11" s="5">
        <v>-30.46</v>
      </c>
      <c r="AT11" s="5">
        <v>0</v>
      </c>
      <c r="AU11" s="5">
        <v>-12.02</v>
      </c>
      <c r="AV11" s="5">
        <v>-11.1</v>
      </c>
      <c r="AW11" s="5">
        <v>-11.51</v>
      </c>
      <c r="AX11" s="5">
        <v>0</v>
      </c>
      <c r="AY11" s="5">
        <v>0</v>
      </c>
      <c r="AZ11" s="5">
        <v>-6.16</v>
      </c>
      <c r="BA11" s="5">
        <v>-2.86</v>
      </c>
      <c r="BB11" s="5">
        <v>-44.75</v>
      </c>
      <c r="BC11" s="5">
        <v>16.760000000000002</v>
      </c>
      <c r="BD11" s="5">
        <v>-910.66</v>
      </c>
    </row>
    <row r="12" spans="1:56" ht="15" customHeight="1" x14ac:dyDescent="0.35">
      <c r="A12" s="3" t="s">
        <v>61</v>
      </c>
      <c r="B12" s="4" t="s">
        <v>62</v>
      </c>
      <c r="C12" s="4" t="str">
        <f>VLOOKUP(A12,'TB Apr 24'!$A$11:$D$103,4,0)</f>
        <v>Food Sale</v>
      </c>
      <c r="D12" s="5">
        <v>-120165.39</v>
      </c>
      <c r="E12" s="5">
        <v>-282436.05</v>
      </c>
      <c r="F12" s="5">
        <v>0</v>
      </c>
      <c r="G12" s="5">
        <v>-92001.55</v>
      </c>
      <c r="H12" s="5">
        <v>-433081.29</v>
      </c>
      <c r="I12" s="5">
        <v>-28431.07</v>
      </c>
      <c r="J12" s="5">
        <v>-60415.37</v>
      </c>
      <c r="K12" s="5">
        <v>0</v>
      </c>
      <c r="L12" s="5">
        <v>-18583.95</v>
      </c>
      <c r="M12" s="5">
        <v>-19676.03</v>
      </c>
      <c r="N12" s="5">
        <v>0</v>
      </c>
      <c r="O12" s="5">
        <v>0</v>
      </c>
      <c r="P12" s="5">
        <v>0</v>
      </c>
      <c r="Q12" s="5">
        <v>-269043</v>
      </c>
      <c r="R12" s="5">
        <v>-11098.02</v>
      </c>
      <c r="S12" s="5">
        <v>0</v>
      </c>
      <c r="T12" s="5">
        <v>-52499.9</v>
      </c>
      <c r="U12" s="5">
        <v>0</v>
      </c>
      <c r="V12" s="5">
        <v>-7364.03</v>
      </c>
      <c r="W12" s="5">
        <v>-63316</v>
      </c>
      <c r="X12" s="5">
        <v>-44565.47</v>
      </c>
      <c r="Y12" s="5">
        <v>-136727.46</v>
      </c>
      <c r="Z12" s="5">
        <v>-146149.63</v>
      </c>
      <c r="AA12" s="5">
        <v>0</v>
      </c>
      <c r="AB12" s="5">
        <v>-43298.54</v>
      </c>
      <c r="AC12" s="5">
        <v>-370749.76</v>
      </c>
      <c r="AD12" s="5">
        <v>-11655.42</v>
      </c>
      <c r="AE12" s="5">
        <v>-45763.99</v>
      </c>
      <c r="AF12" s="5">
        <v>-90101.28</v>
      </c>
      <c r="AG12" s="5">
        <v>-588490.54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-6355.01</v>
      </c>
      <c r="AO12" s="5">
        <v>0</v>
      </c>
      <c r="AP12" s="5">
        <v>0</v>
      </c>
      <c r="AQ12" s="5">
        <v>-57946.2</v>
      </c>
      <c r="AR12" s="5">
        <v>-49154.38</v>
      </c>
      <c r="AS12" s="5">
        <v>-164046.57</v>
      </c>
      <c r="AT12" s="5">
        <v>0</v>
      </c>
      <c r="AU12" s="5">
        <v>-8240.01</v>
      </c>
      <c r="AV12" s="5">
        <v>-12981.05</v>
      </c>
      <c r="AW12" s="5">
        <v>-16775.46</v>
      </c>
      <c r="AX12" s="5">
        <v>0</v>
      </c>
      <c r="AY12" s="5">
        <v>0</v>
      </c>
      <c r="AZ12" s="5">
        <v>-11376</v>
      </c>
      <c r="BA12" s="5">
        <v>-2515</v>
      </c>
      <c r="BB12" s="5">
        <v>-9341.01</v>
      </c>
      <c r="BC12" s="5">
        <v>-8027.04</v>
      </c>
      <c r="BD12" s="5">
        <v>-3282371.47</v>
      </c>
    </row>
    <row r="13" spans="1:56" ht="15" customHeight="1" x14ac:dyDescent="0.35">
      <c r="A13" s="3" t="s">
        <v>63</v>
      </c>
      <c r="B13" s="4" t="s">
        <v>64</v>
      </c>
      <c r="C13" s="4" t="str">
        <f>VLOOKUP(A13,'TB Apr 24'!$A$11:$D$103,4,0)</f>
        <v>Beverages Sale</v>
      </c>
      <c r="D13" s="5">
        <v>0</v>
      </c>
      <c r="E13" s="5">
        <v>0</v>
      </c>
      <c r="F13" s="5">
        <v>0</v>
      </c>
      <c r="G13" s="5">
        <v>0</v>
      </c>
      <c r="H13" s="5">
        <v>-12265.79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-206.52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-12472.31</v>
      </c>
    </row>
    <row r="14" spans="1:56" ht="15" customHeight="1" x14ac:dyDescent="0.35">
      <c r="A14" s="3" t="s">
        <v>65</v>
      </c>
      <c r="B14" s="4" t="s">
        <v>66</v>
      </c>
      <c r="C14" s="4" t="str">
        <f>VLOOKUP(A14,'TB Apr 24'!$A$11:$D$103,4,0)</f>
        <v>Food Sale</v>
      </c>
      <c r="D14" s="5">
        <v>-828852.87</v>
      </c>
      <c r="E14" s="5">
        <v>-1085092.93</v>
      </c>
      <c r="F14" s="5">
        <v>0</v>
      </c>
      <c r="G14" s="5">
        <v>-2326688.83</v>
      </c>
      <c r="H14" s="5">
        <v>-381792.86</v>
      </c>
      <c r="I14" s="5">
        <v>-1399369.58</v>
      </c>
      <c r="J14" s="5">
        <v>-2106452.66</v>
      </c>
      <c r="K14" s="5">
        <v>0</v>
      </c>
      <c r="L14" s="5">
        <v>-1555056.49</v>
      </c>
      <c r="M14" s="5">
        <v>-1884843.44</v>
      </c>
      <c r="N14" s="5">
        <v>0</v>
      </c>
      <c r="O14" s="5">
        <v>0</v>
      </c>
      <c r="P14" s="5">
        <v>0</v>
      </c>
      <c r="Q14" s="5">
        <v>-2197625.2599999998</v>
      </c>
      <c r="R14" s="5">
        <v>-1032048.64</v>
      </c>
      <c r="S14" s="5">
        <v>0</v>
      </c>
      <c r="T14" s="5">
        <v>-2238125.19</v>
      </c>
      <c r="U14" s="5">
        <v>0</v>
      </c>
      <c r="V14" s="5">
        <v>-534094.43000000005</v>
      </c>
      <c r="W14" s="5">
        <v>-1128693.8999999999</v>
      </c>
      <c r="X14" s="5">
        <v>-1083881.42</v>
      </c>
      <c r="Y14" s="5">
        <v>-885707.8</v>
      </c>
      <c r="Z14" s="5">
        <v>-1365880.45</v>
      </c>
      <c r="AA14" s="5">
        <v>0</v>
      </c>
      <c r="AB14" s="5">
        <v>-1882010.36</v>
      </c>
      <c r="AC14" s="5">
        <v>-2874874.73</v>
      </c>
      <c r="AD14" s="5">
        <v>-214062.9</v>
      </c>
      <c r="AE14" s="5">
        <v>-1287772.48</v>
      </c>
      <c r="AF14" s="5">
        <v>-1226354.92</v>
      </c>
      <c r="AG14" s="5">
        <v>-678314.5</v>
      </c>
      <c r="AH14" s="5">
        <v>-1190789.77</v>
      </c>
      <c r="AI14" s="5">
        <v>-1619618.45</v>
      </c>
      <c r="AJ14" s="5">
        <v>0</v>
      </c>
      <c r="AK14" s="5">
        <v>0</v>
      </c>
      <c r="AL14" s="5">
        <v>0</v>
      </c>
      <c r="AM14" s="5">
        <v>0</v>
      </c>
      <c r="AN14" s="5">
        <v>-3158627.72</v>
      </c>
      <c r="AO14" s="5">
        <v>-142519</v>
      </c>
      <c r="AP14" s="5">
        <v>0</v>
      </c>
      <c r="AQ14" s="5">
        <v>-3827277.11</v>
      </c>
      <c r="AR14" s="5">
        <v>-1285933.1000000001</v>
      </c>
      <c r="AS14" s="5">
        <v>-1133956.8999999999</v>
      </c>
      <c r="AT14" s="5">
        <v>0</v>
      </c>
      <c r="AU14" s="5">
        <v>-878847.38</v>
      </c>
      <c r="AV14" s="5">
        <v>-1605947.02</v>
      </c>
      <c r="AW14" s="5">
        <v>-854060.22</v>
      </c>
      <c r="AX14" s="5">
        <v>0</v>
      </c>
      <c r="AY14" s="5">
        <v>0</v>
      </c>
      <c r="AZ14" s="5">
        <v>-2011912.95</v>
      </c>
      <c r="BA14" s="5">
        <v>-731786.99</v>
      </c>
      <c r="BB14" s="5">
        <v>-2745993.54</v>
      </c>
      <c r="BC14" s="5">
        <v>-457407.72</v>
      </c>
      <c r="BD14" s="5">
        <v>-51842274.509999998</v>
      </c>
    </row>
    <row r="15" spans="1:56" ht="15" customHeight="1" x14ac:dyDescent="0.35">
      <c r="A15" s="3" t="s">
        <v>67</v>
      </c>
      <c r="B15" s="4" t="s">
        <v>68</v>
      </c>
      <c r="C15" s="4" t="str">
        <f>VLOOKUP(A15,'TB Apr 24'!$A$11:$D$103,4,0)</f>
        <v>Beverages Sale</v>
      </c>
      <c r="D15" s="5">
        <v>-176597.09</v>
      </c>
      <c r="E15" s="5">
        <v>-168776.09</v>
      </c>
      <c r="F15" s="5">
        <v>0</v>
      </c>
      <c r="G15" s="5">
        <v>-404033.54</v>
      </c>
      <c r="H15" s="5">
        <v>-69000.63</v>
      </c>
      <c r="I15" s="5">
        <v>-353862.42</v>
      </c>
      <c r="J15" s="5">
        <v>-351603.13</v>
      </c>
      <c r="K15" s="5">
        <v>0</v>
      </c>
      <c r="L15" s="5">
        <v>-309537.02</v>
      </c>
      <c r="M15" s="5">
        <v>-364928.3</v>
      </c>
      <c r="N15" s="5">
        <v>0</v>
      </c>
      <c r="O15" s="5">
        <v>0</v>
      </c>
      <c r="P15" s="5">
        <v>0</v>
      </c>
      <c r="Q15" s="5">
        <v>-267034.34999999998</v>
      </c>
      <c r="R15" s="5">
        <v>-162365.70000000001</v>
      </c>
      <c r="S15" s="5">
        <v>0</v>
      </c>
      <c r="T15" s="5">
        <v>-239174.22</v>
      </c>
      <c r="U15" s="5">
        <v>0</v>
      </c>
      <c r="V15" s="5">
        <v>-164228.06</v>
      </c>
      <c r="W15" s="5">
        <v>-281762.88</v>
      </c>
      <c r="X15" s="5">
        <v>-327717.46000000002</v>
      </c>
      <c r="Y15" s="5">
        <v>-238327.7</v>
      </c>
      <c r="Z15" s="5">
        <v>-213208.67</v>
      </c>
      <c r="AA15" s="5">
        <v>0</v>
      </c>
      <c r="AB15" s="5">
        <v>-314557.96999999997</v>
      </c>
      <c r="AC15" s="5">
        <v>-224420.77</v>
      </c>
      <c r="AD15" s="5">
        <v>-78345.8</v>
      </c>
      <c r="AE15" s="5">
        <v>-103445.98</v>
      </c>
      <c r="AF15" s="5">
        <v>-169331.98</v>
      </c>
      <c r="AG15" s="5">
        <v>-125558.47</v>
      </c>
      <c r="AH15" s="5">
        <v>-324037.96999999997</v>
      </c>
      <c r="AI15" s="5">
        <v>-151343.49</v>
      </c>
      <c r="AJ15" s="5">
        <v>0</v>
      </c>
      <c r="AK15" s="5">
        <v>0</v>
      </c>
      <c r="AL15" s="5">
        <v>0</v>
      </c>
      <c r="AM15" s="5">
        <v>0</v>
      </c>
      <c r="AN15" s="5">
        <v>-404459.15</v>
      </c>
      <c r="AO15" s="5">
        <v>-79710</v>
      </c>
      <c r="AP15" s="5">
        <v>0</v>
      </c>
      <c r="AQ15" s="5">
        <v>-754993.53</v>
      </c>
      <c r="AR15" s="5">
        <v>-242009.09</v>
      </c>
      <c r="AS15" s="5">
        <v>-136767.69</v>
      </c>
      <c r="AT15" s="5">
        <v>0</v>
      </c>
      <c r="AU15" s="5">
        <v>-125820.44</v>
      </c>
      <c r="AV15" s="5">
        <v>-133851.37</v>
      </c>
      <c r="AW15" s="5">
        <v>-181479.65</v>
      </c>
      <c r="AX15" s="5">
        <v>0</v>
      </c>
      <c r="AY15" s="5">
        <v>0</v>
      </c>
      <c r="AZ15" s="5">
        <v>-256082.11</v>
      </c>
      <c r="BA15" s="5">
        <v>-421422.35</v>
      </c>
      <c r="BB15" s="5">
        <v>-634797.46</v>
      </c>
      <c r="BC15" s="5">
        <v>-72961.16</v>
      </c>
      <c r="BD15" s="5">
        <v>-9027553.6899999995</v>
      </c>
    </row>
    <row r="16" spans="1:56" ht="15" customHeight="1" x14ac:dyDescent="0.35">
      <c r="A16" s="3" t="s">
        <v>69</v>
      </c>
      <c r="B16" s="4" t="s">
        <v>70</v>
      </c>
      <c r="C16" s="4" t="str">
        <f>VLOOKUP(A16,'TB Apr 24'!$A$11:$D$103,4,0)</f>
        <v>Liquor Sale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-358723.56</v>
      </c>
      <c r="J16" s="5">
        <v>-594311.47</v>
      </c>
      <c r="K16" s="5">
        <v>0</v>
      </c>
      <c r="L16" s="5">
        <v>-1605395.9</v>
      </c>
      <c r="M16" s="5">
        <v>-337006.14</v>
      </c>
      <c r="N16" s="5">
        <v>0</v>
      </c>
      <c r="O16" s="5">
        <v>0</v>
      </c>
      <c r="P16" s="5">
        <v>0</v>
      </c>
      <c r="Q16" s="5">
        <v>0</v>
      </c>
      <c r="R16" s="5">
        <v>-883050.65</v>
      </c>
      <c r="S16" s="5">
        <v>0</v>
      </c>
      <c r="T16" s="5">
        <v>-901277.86</v>
      </c>
      <c r="U16" s="5">
        <v>0</v>
      </c>
      <c r="V16" s="5">
        <v>-297235.34000000003</v>
      </c>
      <c r="W16" s="5">
        <v>-407270.57</v>
      </c>
      <c r="X16" s="5">
        <v>-158815.45000000001</v>
      </c>
      <c r="Y16" s="5">
        <v>-107628.5</v>
      </c>
      <c r="Z16" s="5">
        <v>0</v>
      </c>
      <c r="AA16" s="5">
        <v>0</v>
      </c>
      <c r="AB16" s="5">
        <v>-1158234.0900000001</v>
      </c>
      <c r="AC16" s="5">
        <v>-389327.25</v>
      </c>
      <c r="AD16" s="5">
        <v>-3318</v>
      </c>
      <c r="AE16" s="5">
        <v>-468601.3</v>
      </c>
      <c r="AF16" s="5">
        <v>0</v>
      </c>
      <c r="AG16" s="5">
        <v>-324707.21000000002</v>
      </c>
      <c r="AH16" s="5">
        <v>-274449.12</v>
      </c>
      <c r="AI16" s="5">
        <v>-227143.37</v>
      </c>
      <c r="AJ16" s="5">
        <v>0</v>
      </c>
      <c r="AK16" s="5">
        <v>0</v>
      </c>
      <c r="AL16" s="5">
        <v>0</v>
      </c>
      <c r="AM16" s="5">
        <v>0</v>
      </c>
      <c r="AN16" s="5">
        <v>-962189.65</v>
      </c>
      <c r="AO16" s="5">
        <v>0</v>
      </c>
      <c r="AP16" s="5">
        <v>0</v>
      </c>
      <c r="AQ16" s="5">
        <v>-590816.56000000006</v>
      </c>
      <c r="AR16" s="5">
        <v>-411124.06</v>
      </c>
      <c r="AS16" s="5">
        <v>-171780.96</v>
      </c>
      <c r="AT16" s="5">
        <v>0</v>
      </c>
      <c r="AU16" s="5">
        <v>-952915.24</v>
      </c>
      <c r="AV16" s="5">
        <v>-217013.56</v>
      </c>
      <c r="AW16" s="5">
        <v>-2700</v>
      </c>
      <c r="AX16" s="5">
        <v>0</v>
      </c>
      <c r="AY16" s="5">
        <v>0</v>
      </c>
      <c r="AZ16" s="5">
        <v>-212555.66</v>
      </c>
      <c r="BA16" s="5">
        <v>0</v>
      </c>
      <c r="BB16" s="5">
        <v>-248525.79</v>
      </c>
      <c r="BC16" s="5">
        <v>-30038.49</v>
      </c>
      <c r="BD16" s="5">
        <v>-12296155.75</v>
      </c>
    </row>
    <row r="17" spans="1:56" ht="15" customHeight="1" x14ac:dyDescent="0.35">
      <c r="A17" s="3" t="s">
        <v>71</v>
      </c>
      <c r="B17" s="4" t="s">
        <v>72</v>
      </c>
      <c r="C17" s="4" t="str">
        <f>VLOOKUP(A17,'TB Apr 24'!$A$11:$D$103,4,0)</f>
        <v>Other Sale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-21552.68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-2794.51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-4657.5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-29004.69</v>
      </c>
    </row>
    <row r="18" spans="1:56" ht="15" customHeight="1" x14ac:dyDescent="0.35">
      <c r="A18" s="3" t="s">
        <v>73</v>
      </c>
      <c r="B18" s="4" t="s">
        <v>74</v>
      </c>
      <c r="C18" s="4" t="str">
        <f>VLOOKUP(A18,'TB Apr 24'!$A$11:$D$103,4,0)</f>
        <v>Other Sale</v>
      </c>
      <c r="D18" s="5">
        <v>-5641.62</v>
      </c>
      <c r="E18" s="5">
        <v>-1725</v>
      </c>
      <c r="F18" s="5">
        <v>0</v>
      </c>
      <c r="G18" s="5">
        <v>-4551.3999999999996</v>
      </c>
      <c r="H18" s="5">
        <v>-28393.48</v>
      </c>
      <c r="I18" s="5">
        <v>-1420.84</v>
      </c>
      <c r="J18" s="5">
        <v>-1290.56</v>
      </c>
      <c r="K18" s="5">
        <v>0</v>
      </c>
      <c r="L18" s="5">
        <v>-771.26</v>
      </c>
      <c r="M18" s="5">
        <v>-890.18</v>
      </c>
      <c r="N18" s="5">
        <v>0</v>
      </c>
      <c r="O18" s="5">
        <v>0</v>
      </c>
      <c r="P18" s="5">
        <v>0</v>
      </c>
      <c r="Q18" s="5">
        <v>-552</v>
      </c>
      <c r="R18" s="5">
        <v>-555.54999999999995</v>
      </c>
      <c r="S18" s="5">
        <v>0</v>
      </c>
      <c r="T18" s="5">
        <v>-2922.28</v>
      </c>
      <c r="U18" s="5">
        <v>0</v>
      </c>
      <c r="V18" s="5">
        <v>-363.89</v>
      </c>
      <c r="W18" s="5">
        <v>-3189.8</v>
      </c>
      <c r="X18" s="5">
        <v>-2312.71</v>
      </c>
      <c r="Y18" s="5">
        <v>-462.5</v>
      </c>
      <c r="Z18" s="5">
        <v>-6446.16</v>
      </c>
      <c r="AA18" s="5">
        <v>0</v>
      </c>
      <c r="AB18" s="5">
        <v>-1756.19</v>
      </c>
      <c r="AC18" s="5">
        <v>-18601.84</v>
      </c>
      <c r="AD18" s="5">
        <v>-637.64</v>
      </c>
      <c r="AE18" s="5">
        <v>-1923.6</v>
      </c>
      <c r="AF18" s="5">
        <v>-5049.78</v>
      </c>
      <c r="AG18" s="5">
        <v>-30965.86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-111.01</v>
      </c>
      <c r="AO18" s="5">
        <v>0</v>
      </c>
      <c r="AP18" s="5">
        <v>0</v>
      </c>
      <c r="AQ18" s="5">
        <v>-1134.5</v>
      </c>
      <c r="AR18" s="5">
        <v>-2771.24</v>
      </c>
      <c r="AS18" s="5">
        <v>-10622.45</v>
      </c>
      <c r="AT18" s="5">
        <v>0</v>
      </c>
      <c r="AU18" s="5">
        <v>-472.32</v>
      </c>
      <c r="AV18" s="5">
        <v>-638.44000000000005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-446.45</v>
      </c>
      <c r="BD18" s="5">
        <v>-136620.54999999999</v>
      </c>
    </row>
    <row r="19" spans="1:56" ht="15" customHeight="1" x14ac:dyDescent="0.35">
      <c r="A19" s="3" t="s">
        <v>75</v>
      </c>
      <c r="B19" s="4" t="s">
        <v>76</v>
      </c>
      <c r="C19" s="4" t="str">
        <f>VLOOKUP(A19,'TB Apr 24'!$A$11:$D$103,4,0)</f>
        <v>Other Sale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-247733.88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-247733.88</v>
      </c>
    </row>
    <row r="20" spans="1:56" ht="15" customHeight="1" x14ac:dyDescent="0.35">
      <c r="A20" s="3" t="s">
        <v>77</v>
      </c>
      <c r="B20" s="4" t="s">
        <v>78</v>
      </c>
      <c r="C20" s="4" t="s">
        <v>967</v>
      </c>
      <c r="D20" s="5">
        <v>-22754.55</v>
      </c>
      <c r="E20" s="5">
        <v>-32495.93</v>
      </c>
      <c r="F20" s="5">
        <v>0</v>
      </c>
      <c r="G20" s="5">
        <v>-67508.259999999995</v>
      </c>
      <c r="H20" s="5">
        <v>-11263.37</v>
      </c>
      <c r="I20" s="5">
        <v>-27375.07</v>
      </c>
      <c r="J20" s="5">
        <v>-28421.24</v>
      </c>
      <c r="K20" s="5">
        <v>0</v>
      </c>
      <c r="L20" s="5">
        <v>33148.28</v>
      </c>
      <c r="M20" s="5">
        <v>-33937.120000000003</v>
      </c>
      <c r="N20" s="5">
        <v>0</v>
      </c>
      <c r="O20" s="5">
        <v>0</v>
      </c>
      <c r="P20" s="5">
        <v>0</v>
      </c>
      <c r="Q20" s="5">
        <v>-49281.93</v>
      </c>
      <c r="R20" s="5">
        <v>27828.78</v>
      </c>
      <c r="S20" s="5">
        <v>0</v>
      </c>
      <c r="T20" s="5">
        <v>1458.19</v>
      </c>
      <c r="U20" s="5">
        <v>0</v>
      </c>
      <c r="V20" s="5">
        <v>-2775.96</v>
      </c>
      <c r="W20" s="5">
        <v>-15029.72</v>
      </c>
      <c r="X20" s="5">
        <v>-28956.26</v>
      </c>
      <c r="Y20" s="5">
        <v>-22418.43</v>
      </c>
      <c r="Z20" s="5">
        <v>-41099.99</v>
      </c>
      <c r="AA20" s="5">
        <v>0</v>
      </c>
      <c r="AB20" s="5">
        <v>11841.1</v>
      </c>
      <c r="AC20" s="5">
        <v>-53521.97</v>
      </c>
      <c r="AD20" s="5">
        <v>-6109.54</v>
      </c>
      <c r="AE20" s="5">
        <v>-7079.31</v>
      </c>
      <c r="AF20" s="5">
        <v>-34218.29</v>
      </c>
      <c r="AG20" s="5">
        <v>230.38</v>
      </c>
      <c r="AH20" s="5">
        <v>35129.43</v>
      </c>
      <c r="AI20" s="5">
        <v>-156165.19</v>
      </c>
      <c r="AJ20" s="5">
        <v>0</v>
      </c>
      <c r="AK20" s="5">
        <v>0</v>
      </c>
      <c r="AL20" s="5">
        <v>0</v>
      </c>
      <c r="AM20" s="5">
        <v>0</v>
      </c>
      <c r="AN20" s="5">
        <v>-42295.040000000001</v>
      </c>
      <c r="AO20" s="5">
        <v>-5229.6000000000004</v>
      </c>
      <c r="AP20" s="5">
        <v>0</v>
      </c>
      <c r="AQ20" s="5">
        <v>-85987.1</v>
      </c>
      <c r="AR20" s="5">
        <v>-16849.12</v>
      </c>
      <c r="AS20" s="5">
        <v>101984.99</v>
      </c>
      <c r="AT20" s="5">
        <v>0</v>
      </c>
      <c r="AU20" s="5">
        <v>23890.57</v>
      </c>
      <c r="AV20" s="5">
        <v>-15583.48</v>
      </c>
      <c r="AW20" s="5">
        <v>-26380.25</v>
      </c>
      <c r="AX20" s="5">
        <v>0</v>
      </c>
      <c r="AY20" s="5">
        <v>0</v>
      </c>
      <c r="AZ20" s="5">
        <v>-41691.839999999997</v>
      </c>
      <c r="BA20" s="5">
        <v>-26804.98</v>
      </c>
      <c r="BB20" s="5">
        <v>-79024.23</v>
      </c>
      <c r="BC20" s="5">
        <v>-11964.38</v>
      </c>
      <c r="BD20" s="5">
        <v>-756710.43</v>
      </c>
    </row>
    <row r="21" spans="1:56" ht="15" customHeight="1" x14ac:dyDescent="0.35">
      <c r="A21" s="3" t="s">
        <v>79</v>
      </c>
      <c r="B21" s="4" t="s">
        <v>80</v>
      </c>
      <c r="C21" s="4" t="s">
        <v>967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-26867.95</v>
      </c>
      <c r="J21" s="5">
        <v>-47356.07</v>
      </c>
      <c r="K21" s="5">
        <v>0</v>
      </c>
      <c r="L21" s="5">
        <v>-107913.71</v>
      </c>
      <c r="M21" s="5">
        <v>-29154.92</v>
      </c>
      <c r="N21" s="5">
        <v>0</v>
      </c>
      <c r="O21" s="5">
        <v>0</v>
      </c>
      <c r="P21" s="5">
        <v>0</v>
      </c>
      <c r="Q21" s="5">
        <v>0</v>
      </c>
      <c r="R21" s="5">
        <v>-79432.3</v>
      </c>
      <c r="S21" s="5">
        <v>0</v>
      </c>
      <c r="T21" s="5">
        <v>-86277.6</v>
      </c>
      <c r="U21" s="5">
        <v>0</v>
      </c>
      <c r="V21" s="5">
        <v>-20958.36</v>
      </c>
      <c r="W21" s="5">
        <v>-33488.1</v>
      </c>
      <c r="X21" s="5">
        <v>-14478.7</v>
      </c>
      <c r="Y21" s="5">
        <v>-9828.1</v>
      </c>
      <c r="Z21" s="5">
        <v>0</v>
      </c>
      <c r="AA21" s="5">
        <v>0</v>
      </c>
      <c r="AB21" s="5">
        <v>-102134.18</v>
      </c>
      <c r="AC21" s="5">
        <v>-34110.75</v>
      </c>
      <c r="AD21" s="5">
        <v>-238</v>
      </c>
      <c r="AE21" s="5">
        <v>-45785.88</v>
      </c>
      <c r="AF21" s="5">
        <v>0</v>
      </c>
      <c r="AG21" s="5">
        <v>-27812.5</v>
      </c>
      <c r="AH21" s="5">
        <v>-24576.720000000001</v>
      </c>
      <c r="AI21" s="5">
        <v>-19640.43</v>
      </c>
      <c r="AJ21" s="5">
        <v>0</v>
      </c>
      <c r="AK21" s="5">
        <v>0</v>
      </c>
      <c r="AL21" s="5">
        <v>0</v>
      </c>
      <c r="AM21" s="5">
        <v>0</v>
      </c>
      <c r="AN21" s="5">
        <v>-84827.36</v>
      </c>
      <c r="AO21" s="5">
        <v>0</v>
      </c>
      <c r="AP21" s="5">
        <v>0</v>
      </c>
      <c r="AQ21" s="5">
        <v>-48179.22</v>
      </c>
      <c r="AR21" s="5">
        <v>-32686.080000000002</v>
      </c>
      <c r="AS21" s="5">
        <v>-14789.7</v>
      </c>
      <c r="AT21" s="5">
        <v>0</v>
      </c>
      <c r="AU21" s="5">
        <v>-66359.81</v>
      </c>
      <c r="AV21" s="5">
        <v>-18067.400000000001</v>
      </c>
      <c r="AW21" s="5">
        <v>-126</v>
      </c>
      <c r="AX21" s="5">
        <v>0</v>
      </c>
      <c r="AY21" s="5">
        <v>0</v>
      </c>
      <c r="AZ21" s="5">
        <v>-15297.57</v>
      </c>
      <c r="BA21" s="5">
        <v>0</v>
      </c>
      <c r="BB21" s="5">
        <v>-23259.7</v>
      </c>
      <c r="BC21" s="5">
        <v>-2247.1799999999998</v>
      </c>
      <c r="BD21" s="5">
        <v>-1015894.29</v>
      </c>
    </row>
    <row r="22" spans="1:56" ht="15" customHeight="1" x14ac:dyDescent="0.35">
      <c r="A22" s="3" t="s">
        <v>81</v>
      </c>
      <c r="B22" s="4" t="s">
        <v>82</v>
      </c>
      <c r="C22" s="4" t="str">
        <f>VLOOKUP(A22,'TB Apr 24'!$A$11:$D$103,4,0)</f>
        <v>Outsourced Manpower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7434</v>
      </c>
      <c r="S22" s="5">
        <v>0</v>
      </c>
      <c r="T22" s="5">
        <v>0</v>
      </c>
      <c r="U22" s="5">
        <v>0</v>
      </c>
      <c r="V22" s="5">
        <v>7834</v>
      </c>
      <c r="W22" s="5">
        <v>7834</v>
      </c>
      <c r="X22" s="5">
        <v>7834</v>
      </c>
      <c r="Y22" s="5">
        <v>52864</v>
      </c>
      <c r="Z22" s="5">
        <v>0</v>
      </c>
      <c r="AA22" s="5">
        <v>0</v>
      </c>
      <c r="AB22" s="5">
        <v>52864</v>
      </c>
      <c r="AC22" s="5">
        <v>0</v>
      </c>
      <c r="AD22" s="5">
        <v>22400</v>
      </c>
      <c r="AE22" s="5">
        <v>3894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162958</v>
      </c>
    </row>
    <row r="23" spans="1:56" ht="15" customHeight="1" x14ac:dyDescent="0.35">
      <c r="A23" s="3" t="s">
        <v>83</v>
      </c>
      <c r="B23" s="4" t="s">
        <v>84</v>
      </c>
      <c r="C23" s="4" t="str">
        <f>VLOOKUP(A23,'TB Apr 24'!$A$11:$D$103,4,0)</f>
        <v>Outsourced Manpower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6450</v>
      </c>
      <c r="M23" s="5">
        <v>0</v>
      </c>
      <c r="N23" s="5">
        <v>0</v>
      </c>
      <c r="O23" s="5">
        <v>0</v>
      </c>
      <c r="P23" s="5">
        <v>0</v>
      </c>
      <c r="Q23" s="5">
        <v>29500</v>
      </c>
      <c r="R23" s="5">
        <v>0</v>
      </c>
      <c r="S23" s="5">
        <v>0</v>
      </c>
      <c r="T23" s="5">
        <v>2950</v>
      </c>
      <c r="U23" s="5">
        <v>0</v>
      </c>
      <c r="V23" s="5">
        <v>0</v>
      </c>
      <c r="W23" s="5">
        <v>0</v>
      </c>
      <c r="X23" s="5">
        <v>0</v>
      </c>
      <c r="Y23" s="5">
        <v>2000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40900</v>
      </c>
    </row>
    <row r="24" spans="1:56" ht="15" customHeight="1" x14ac:dyDescent="0.35">
      <c r="A24" s="3" t="s">
        <v>85</v>
      </c>
      <c r="B24" s="4" t="s">
        <v>86</v>
      </c>
      <c r="C24" s="4" t="str">
        <f>VLOOKUP(A24,'TB Apr 24'!$A$11:$D$103,4,0)</f>
        <v>Employee Benefit Expenses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600</v>
      </c>
      <c r="N24" s="5">
        <v>0</v>
      </c>
      <c r="O24" s="5">
        <v>0</v>
      </c>
      <c r="P24" s="5">
        <v>0</v>
      </c>
      <c r="Q24" s="5">
        <v>3498</v>
      </c>
      <c r="R24" s="5">
        <v>2920</v>
      </c>
      <c r="S24" s="5">
        <v>0</v>
      </c>
      <c r="T24" s="5">
        <v>0</v>
      </c>
      <c r="U24" s="5">
        <v>0</v>
      </c>
      <c r="V24" s="5">
        <v>65940</v>
      </c>
      <c r="W24" s="5">
        <v>12717</v>
      </c>
      <c r="X24" s="5">
        <v>13150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15482</v>
      </c>
      <c r="AF24" s="5">
        <v>0</v>
      </c>
      <c r="AG24" s="5">
        <v>0</v>
      </c>
      <c r="AH24" s="5">
        <v>0</v>
      </c>
      <c r="AI24" s="5">
        <v>8381</v>
      </c>
      <c r="AJ24" s="5">
        <v>0</v>
      </c>
      <c r="AK24" s="5">
        <v>0</v>
      </c>
      <c r="AL24" s="5">
        <v>29396</v>
      </c>
      <c r="AM24" s="5">
        <v>0</v>
      </c>
      <c r="AN24" s="5">
        <v>0</v>
      </c>
      <c r="AO24" s="5">
        <v>0</v>
      </c>
      <c r="AP24" s="5">
        <v>0</v>
      </c>
      <c r="AQ24" s="5">
        <v>950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153034</v>
      </c>
    </row>
    <row r="25" spans="1:56" ht="15" customHeight="1" x14ac:dyDescent="0.35">
      <c r="A25" s="3" t="s">
        <v>88</v>
      </c>
      <c r="B25" s="4" t="s">
        <v>89</v>
      </c>
      <c r="C25" s="4" t="str">
        <f>VLOOKUP(A25,'TB Apr 24'!$A$11:$D$103,4,0)</f>
        <v>Repairs and Maintenance Expenses</v>
      </c>
      <c r="D25" s="5">
        <v>52394</v>
      </c>
      <c r="E25" s="5">
        <v>14795</v>
      </c>
      <c r="F25" s="5">
        <v>0</v>
      </c>
      <c r="G25" s="5">
        <v>14795</v>
      </c>
      <c r="H25" s="5">
        <v>14796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96780</v>
      </c>
    </row>
    <row r="26" spans="1:56" ht="15" customHeight="1" x14ac:dyDescent="0.35">
      <c r="A26" s="3" t="s">
        <v>90</v>
      </c>
      <c r="B26" s="4" t="s">
        <v>91</v>
      </c>
      <c r="C26" s="4" t="str">
        <f>VLOOKUP(A26,'TB Apr 24'!$A$11:$D$103,4,0)</f>
        <v>Repairs and Maintenance Expenses</v>
      </c>
      <c r="D26" s="5">
        <v>9925</v>
      </c>
      <c r="E26" s="5">
        <v>3575</v>
      </c>
      <c r="F26" s="5">
        <v>0</v>
      </c>
      <c r="G26" s="5">
        <v>7106</v>
      </c>
      <c r="H26" s="5">
        <v>8675</v>
      </c>
      <c r="I26" s="5">
        <v>5650</v>
      </c>
      <c r="J26" s="5">
        <v>14078</v>
      </c>
      <c r="K26" s="5">
        <v>0</v>
      </c>
      <c r="L26" s="5">
        <v>18650</v>
      </c>
      <c r="M26" s="5">
        <v>8780</v>
      </c>
      <c r="N26" s="5">
        <v>0</v>
      </c>
      <c r="O26" s="5">
        <v>0</v>
      </c>
      <c r="P26" s="5">
        <v>0</v>
      </c>
      <c r="Q26" s="5">
        <v>31658</v>
      </c>
      <c r="R26" s="5">
        <v>71556</v>
      </c>
      <c r="S26" s="5">
        <v>0</v>
      </c>
      <c r="T26" s="5">
        <v>58040</v>
      </c>
      <c r="U26" s="5">
        <v>0</v>
      </c>
      <c r="V26" s="5">
        <v>2045</v>
      </c>
      <c r="W26" s="5">
        <v>2325</v>
      </c>
      <c r="X26" s="5">
        <v>4820</v>
      </c>
      <c r="Y26" s="5">
        <v>55402</v>
      </c>
      <c r="Z26" s="5">
        <v>50470</v>
      </c>
      <c r="AA26" s="5">
        <v>0</v>
      </c>
      <c r="AB26" s="5">
        <v>111861</v>
      </c>
      <c r="AC26" s="5">
        <v>85970</v>
      </c>
      <c r="AD26" s="5">
        <v>42878</v>
      </c>
      <c r="AE26" s="5">
        <v>29600</v>
      </c>
      <c r="AF26" s="5">
        <v>33370</v>
      </c>
      <c r="AG26" s="5">
        <v>11146</v>
      </c>
      <c r="AH26" s="5">
        <v>3010</v>
      </c>
      <c r="AI26" s="5">
        <v>1800</v>
      </c>
      <c r="AJ26" s="5">
        <v>0</v>
      </c>
      <c r="AK26" s="5">
        <v>0</v>
      </c>
      <c r="AL26" s="5">
        <v>3520</v>
      </c>
      <c r="AM26" s="5">
        <v>0</v>
      </c>
      <c r="AN26" s="5">
        <v>8360</v>
      </c>
      <c r="AO26" s="5">
        <v>0</v>
      </c>
      <c r="AP26" s="5">
        <v>0</v>
      </c>
      <c r="AQ26" s="5">
        <v>7120</v>
      </c>
      <c r="AR26" s="5">
        <v>13793</v>
      </c>
      <c r="AS26" s="5">
        <v>36010</v>
      </c>
      <c r="AT26" s="5">
        <v>0</v>
      </c>
      <c r="AU26" s="5">
        <v>30830</v>
      </c>
      <c r="AV26" s="5">
        <v>31259</v>
      </c>
      <c r="AW26" s="5">
        <v>0</v>
      </c>
      <c r="AX26" s="5">
        <v>0</v>
      </c>
      <c r="AY26" s="5">
        <v>0</v>
      </c>
      <c r="AZ26" s="5">
        <v>2069</v>
      </c>
      <c r="BA26" s="5">
        <v>919</v>
      </c>
      <c r="BB26" s="5">
        <v>4470</v>
      </c>
      <c r="BC26" s="5">
        <v>800</v>
      </c>
      <c r="BD26" s="5">
        <v>811540</v>
      </c>
    </row>
    <row r="27" spans="1:56" ht="15" customHeight="1" x14ac:dyDescent="0.35">
      <c r="A27" s="3" t="s">
        <v>92</v>
      </c>
      <c r="B27" s="4" t="s">
        <v>93</v>
      </c>
      <c r="C27" s="4" t="str">
        <f>VLOOKUP(A27,'TB Apr 24'!$A$11:$D$103,4,0)</f>
        <v>Repairs and Maintenance Expenses</v>
      </c>
      <c r="D27" s="501">
        <v>0</v>
      </c>
      <c r="E27" s="501">
        <v>0</v>
      </c>
      <c r="F27" s="501">
        <v>0</v>
      </c>
      <c r="G27" s="501">
        <v>0</v>
      </c>
      <c r="H27" s="501">
        <v>0</v>
      </c>
      <c r="I27" s="501">
        <v>0</v>
      </c>
      <c r="J27" s="501">
        <v>0</v>
      </c>
      <c r="K27" s="501">
        <v>0</v>
      </c>
      <c r="L27" s="501">
        <v>0</v>
      </c>
      <c r="M27" s="501">
        <v>0</v>
      </c>
      <c r="N27" s="501">
        <v>0</v>
      </c>
      <c r="O27" s="501">
        <v>0</v>
      </c>
      <c r="P27" s="501">
        <v>0</v>
      </c>
      <c r="Q27" s="501">
        <v>0</v>
      </c>
      <c r="R27" s="501">
        <v>0</v>
      </c>
      <c r="S27" s="501">
        <v>0</v>
      </c>
      <c r="T27" s="501">
        <v>0</v>
      </c>
      <c r="U27" s="501">
        <v>0</v>
      </c>
      <c r="V27" s="501">
        <v>1250</v>
      </c>
      <c r="W27" s="501">
        <v>0</v>
      </c>
      <c r="X27" s="501">
        <v>0</v>
      </c>
      <c r="Y27" s="501">
        <v>5625</v>
      </c>
      <c r="Z27" s="501">
        <v>0</v>
      </c>
      <c r="AA27" s="501">
        <v>0</v>
      </c>
      <c r="AB27" s="501">
        <v>5625</v>
      </c>
      <c r="AC27" s="501">
        <v>5625</v>
      </c>
      <c r="AD27" s="501">
        <v>5626</v>
      </c>
      <c r="AE27" s="501">
        <v>5625</v>
      </c>
      <c r="AF27" s="501">
        <v>30000</v>
      </c>
      <c r="AG27" s="501">
        <v>11250</v>
      </c>
      <c r="AH27" s="501">
        <v>0</v>
      </c>
      <c r="AI27" s="501">
        <v>0</v>
      </c>
      <c r="AJ27" s="501">
        <v>0</v>
      </c>
      <c r="AK27" s="501">
        <v>0</v>
      </c>
      <c r="AL27" s="501">
        <v>0</v>
      </c>
      <c r="AM27" s="501">
        <v>0</v>
      </c>
      <c r="AN27" s="501">
        <v>0</v>
      </c>
      <c r="AO27" s="501">
        <v>0</v>
      </c>
      <c r="AP27" s="501">
        <v>0</v>
      </c>
      <c r="AQ27" s="501">
        <v>0</v>
      </c>
      <c r="AR27" s="501">
        <v>9000</v>
      </c>
      <c r="AS27" s="501">
        <v>9000</v>
      </c>
      <c r="AT27" s="501">
        <v>0</v>
      </c>
      <c r="AU27" s="501">
        <v>9000</v>
      </c>
      <c r="AV27" s="501">
        <v>9000</v>
      </c>
      <c r="AW27" s="501">
        <v>0</v>
      </c>
      <c r="AX27" s="501">
        <v>0</v>
      </c>
      <c r="AY27" s="501">
        <v>0</v>
      </c>
      <c r="AZ27" s="501">
        <v>0</v>
      </c>
      <c r="BA27" s="501">
        <v>0</v>
      </c>
      <c r="BB27" s="501">
        <v>0</v>
      </c>
      <c r="BC27" s="501">
        <v>0</v>
      </c>
      <c r="BD27" s="501">
        <v>106626</v>
      </c>
    </row>
    <row r="28" spans="1:56" ht="15" customHeight="1" x14ac:dyDescent="0.35">
      <c r="A28" s="3" t="s">
        <v>542</v>
      </c>
      <c r="B28" s="4" t="s">
        <v>543</v>
      </c>
      <c r="C28" s="4" t="str">
        <f>VLOOKUP(A28,'TB Apr 24'!$A$11:$D$103,4,0)</f>
        <v>Repairs and Maintenance Expenses</v>
      </c>
      <c r="D28" s="502">
        <v>0</v>
      </c>
      <c r="E28" s="502">
        <v>0</v>
      </c>
      <c r="F28" s="502">
        <v>0</v>
      </c>
      <c r="G28" s="502">
        <v>0</v>
      </c>
      <c r="H28" s="502">
        <v>0</v>
      </c>
      <c r="I28" s="502">
        <v>1475</v>
      </c>
      <c r="J28" s="502">
        <v>1475</v>
      </c>
      <c r="K28" s="502">
        <v>0</v>
      </c>
      <c r="L28" s="502">
        <v>1475</v>
      </c>
      <c r="M28" s="502">
        <v>1475</v>
      </c>
      <c r="N28" s="502">
        <v>0</v>
      </c>
      <c r="O28" s="502">
        <v>0</v>
      </c>
      <c r="P28" s="502">
        <v>0</v>
      </c>
      <c r="Q28" s="502">
        <v>0</v>
      </c>
      <c r="R28" s="502">
        <v>0</v>
      </c>
      <c r="S28" s="502">
        <v>0</v>
      </c>
      <c r="T28" s="502">
        <v>0</v>
      </c>
      <c r="U28" s="502">
        <v>0</v>
      </c>
      <c r="V28" s="502">
        <v>984</v>
      </c>
      <c r="W28" s="502">
        <v>984</v>
      </c>
      <c r="X28" s="502">
        <v>984</v>
      </c>
      <c r="Y28" s="502">
        <v>0</v>
      </c>
      <c r="Z28" s="502">
        <v>0</v>
      </c>
      <c r="AA28" s="502">
        <v>0</v>
      </c>
      <c r="AB28" s="502">
        <v>0</v>
      </c>
      <c r="AC28" s="502">
        <v>0</v>
      </c>
      <c r="AD28" s="502">
        <v>0</v>
      </c>
      <c r="AE28" s="502">
        <v>0</v>
      </c>
      <c r="AF28" s="502">
        <v>0</v>
      </c>
      <c r="AG28" s="502">
        <v>0</v>
      </c>
      <c r="AH28" s="502">
        <v>0</v>
      </c>
      <c r="AI28" s="502">
        <v>0</v>
      </c>
      <c r="AJ28" s="502">
        <v>0</v>
      </c>
      <c r="AK28" s="502">
        <v>0</v>
      </c>
      <c r="AL28" s="502">
        <v>0</v>
      </c>
      <c r="AM28" s="502">
        <v>0</v>
      </c>
      <c r="AN28" s="502">
        <v>0</v>
      </c>
      <c r="AO28" s="502">
        <v>0</v>
      </c>
      <c r="AP28" s="502">
        <v>0</v>
      </c>
      <c r="AQ28" s="502">
        <v>0</v>
      </c>
      <c r="AR28" s="502">
        <v>0</v>
      </c>
      <c r="AS28" s="502">
        <v>0</v>
      </c>
      <c r="AT28" s="502">
        <v>0</v>
      </c>
      <c r="AU28" s="502">
        <v>0</v>
      </c>
      <c r="AV28" s="502">
        <v>0</v>
      </c>
      <c r="AW28" s="502">
        <v>0</v>
      </c>
      <c r="AX28" s="502">
        <v>0</v>
      </c>
      <c r="AY28" s="502">
        <v>0</v>
      </c>
      <c r="AZ28" s="502">
        <v>0</v>
      </c>
      <c r="BA28" s="502">
        <v>0</v>
      </c>
      <c r="BB28" s="502">
        <v>0</v>
      </c>
      <c r="BC28" s="502">
        <v>0</v>
      </c>
      <c r="BD28" s="502">
        <v>8852</v>
      </c>
    </row>
    <row r="29" spans="1:56" ht="15" customHeight="1" x14ac:dyDescent="0.35">
      <c r="A29" s="3" t="s">
        <v>94</v>
      </c>
      <c r="B29" s="4" t="s">
        <v>95</v>
      </c>
      <c r="C29" s="4" t="str">
        <f>VLOOKUP(A29,'TB Apr 24'!$A$11:$D$103,4,0)</f>
        <v>Salaries &amp; Wages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28643731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28643731</v>
      </c>
    </row>
    <row r="30" spans="1:56" ht="15" customHeight="1" x14ac:dyDescent="0.35">
      <c r="A30" s="3" t="s">
        <v>96</v>
      </c>
      <c r="B30" s="4" t="s">
        <v>97</v>
      </c>
      <c r="C30" s="4" t="str">
        <f>VLOOKUP(A30,'TB Apr 24'!$A$11:$D$103,4,0)</f>
        <v>Salaries &amp; Wages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1091329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1091329</v>
      </c>
    </row>
    <row r="31" spans="1:56" ht="15" customHeight="1" x14ac:dyDescent="0.35">
      <c r="A31" s="3" t="s">
        <v>309</v>
      </c>
      <c r="B31" s="4" t="s">
        <v>310</v>
      </c>
      <c r="C31" s="4" t="str">
        <f>VLOOKUP(A31,'TB Apr 24'!$A$11:$D$103,4,0)</f>
        <v>Salaries &amp; Wages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1172</v>
      </c>
      <c r="BA31" s="5">
        <v>3231</v>
      </c>
      <c r="BB31" s="5">
        <v>150</v>
      </c>
      <c r="BC31" s="5">
        <v>0</v>
      </c>
      <c r="BD31" s="5">
        <v>4553</v>
      </c>
    </row>
    <row r="32" spans="1:56" ht="15" customHeight="1" x14ac:dyDescent="0.35">
      <c r="A32" s="3" t="s">
        <v>567</v>
      </c>
      <c r="B32" s="4" t="s">
        <v>568</v>
      </c>
      <c r="C32" s="4" t="str">
        <f>VLOOKUP(A32,'TB Apr 24'!$A$11:$D$103,4,0)</f>
        <v>Employee Benefit Expenses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2095200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2095200</v>
      </c>
    </row>
    <row r="33" spans="1:56" ht="15" customHeight="1" x14ac:dyDescent="0.35">
      <c r="A33" s="3" t="s">
        <v>569</v>
      </c>
      <c r="B33" s="4" t="s">
        <v>570</v>
      </c>
      <c r="C33" s="4" t="str">
        <f>VLOOKUP(A33,'TB Apr 24'!$A$11:$D$103,4,0)</f>
        <v>Employee Benefit Expenses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372415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372415</v>
      </c>
    </row>
    <row r="34" spans="1:56" ht="15" customHeight="1" x14ac:dyDescent="0.35">
      <c r="A34" s="3" t="s">
        <v>571</v>
      </c>
      <c r="B34" s="4" t="s">
        <v>572</v>
      </c>
      <c r="C34" s="4" t="str">
        <f>VLOOKUP(A34,'TB Apr 24'!$A$11:$D$103,4,0)</f>
        <v>Employee Benefit Expenses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83894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83894</v>
      </c>
    </row>
    <row r="35" spans="1:56" ht="15" customHeight="1" x14ac:dyDescent="0.35">
      <c r="A35" s="3" t="s">
        <v>98</v>
      </c>
      <c r="B35" s="4" t="s">
        <v>99</v>
      </c>
      <c r="C35" s="4" t="str">
        <f>VLOOKUP(A35,'TB Apr 24'!$A$11:$D$103,4,0)</f>
        <v>Salaries &amp; Wages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97553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97553</v>
      </c>
    </row>
    <row r="36" spans="1:56" ht="15" customHeight="1" x14ac:dyDescent="0.35">
      <c r="A36" s="3" t="s">
        <v>100</v>
      </c>
      <c r="B36" s="4" t="s">
        <v>101</v>
      </c>
      <c r="C36" s="4" t="str">
        <f>VLOOKUP(A36,'TB Apr 24'!$A$11:$D$103,4,0)</f>
        <v>Employee Benefit Expenses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62787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62787</v>
      </c>
    </row>
    <row r="37" spans="1:56" ht="15" customHeight="1" x14ac:dyDescent="0.35">
      <c r="A37" s="3" t="s">
        <v>102</v>
      </c>
      <c r="B37" s="4" t="s">
        <v>103</v>
      </c>
      <c r="C37" s="4" t="str">
        <f>VLOOKUP(A37,'TB Apr 24'!$A$11:$D$103,4,0)</f>
        <v>Employee Benefit Expenses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40950</v>
      </c>
      <c r="O37" s="5">
        <v>0</v>
      </c>
      <c r="P37" s="5">
        <v>0</v>
      </c>
      <c r="Q37" s="5">
        <v>28200</v>
      </c>
      <c r="R37" s="5">
        <v>0</v>
      </c>
      <c r="S37" s="5">
        <v>0</v>
      </c>
      <c r="T37" s="5">
        <v>0</v>
      </c>
      <c r="U37" s="5">
        <v>0</v>
      </c>
      <c r="V37" s="5">
        <v>110</v>
      </c>
      <c r="W37" s="5">
        <v>521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69781</v>
      </c>
    </row>
    <row r="38" spans="1:56" ht="15" customHeight="1" x14ac:dyDescent="0.35">
      <c r="A38" s="3" t="s">
        <v>104</v>
      </c>
      <c r="B38" s="4" t="s">
        <v>105</v>
      </c>
      <c r="C38" s="4" t="str">
        <f>VLOOKUP(A38,'TB Apr 24'!$A$11:$D$103,4,0)</f>
        <v>Employee Benefit Expenses</v>
      </c>
      <c r="D38" s="5">
        <v>0</v>
      </c>
      <c r="E38" s="5">
        <v>1200</v>
      </c>
      <c r="F38" s="5">
        <v>0</v>
      </c>
      <c r="G38" s="5">
        <v>1200</v>
      </c>
      <c r="H38" s="5">
        <v>1200</v>
      </c>
      <c r="I38" s="5">
        <v>3750</v>
      </c>
      <c r="J38" s="5">
        <v>3550</v>
      </c>
      <c r="K38" s="5">
        <v>0</v>
      </c>
      <c r="L38" s="5">
        <v>0</v>
      </c>
      <c r="M38" s="5">
        <v>5400</v>
      </c>
      <c r="N38" s="5">
        <v>5301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2000</v>
      </c>
      <c r="W38" s="5">
        <v>0</v>
      </c>
      <c r="X38" s="5">
        <v>0</v>
      </c>
      <c r="Y38" s="5">
        <v>0</v>
      </c>
      <c r="Z38" s="5">
        <v>0</v>
      </c>
      <c r="AA38" s="5">
        <v>4550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10700</v>
      </c>
      <c r="AP38" s="5">
        <v>0</v>
      </c>
      <c r="AQ38" s="5">
        <v>10168</v>
      </c>
      <c r="AR38" s="5">
        <v>0</v>
      </c>
      <c r="AS38" s="5">
        <v>0</v>
      </c>
      <c r="AT38" s="5">
        <v>0</v>
      </c>
      <c r="AU38" s="5">
        <v>500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49519</v>
      </c>
    </row>
    <row r="39" spans="1:56" ht="15" customHeight="1" x14ac:dyDescent="0.35">
      <c r="A39" s="3" t="s">
        <v>106</v>
      </c>
      <c r="B39" s="4" t="s">
        <v>107</v>
      </c>
      <c r="C39" s="4" t="str">
        <f>VLOOKUP(A39,'TB Apr 24'!$A$11:$D$103,4,0)</f>
        <v>Telephone, Internet &amp; Other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42541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756</v>
      </c>
      <c r="AR39" s="5">
        <v>0</v>
      </c>
      <c r="AS39" s="5">
        <v>302</v>
      </c>
      <c r="AT39" s="5">
        <v>0</v>
      </c>
      <c r="AU39" s="5">
        <v>1198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44797</v>
      </c>
    </row>
    <row r="40" spans="1:56" ht="15" customHeight="1" x14ac:dyDescent="0.35">
      <c r="A40" s="3" t="s">
        <v>108</v>
      </c>
      <c r="B40" s="4" t="s">
        <v>109</v>
      </c>
      <c r="C40" s="4" t="str">
        <f>VLOOKUP(A40,'TB Apr 24'!$A$11:$D$103,4,0)</f>
        <v>Telephone, Internet &amp; Other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62</v>
      </c>
      <c r="J40" s="5">
        <v>62</v>
      </c>
      <c r="K40" s="5">
        <v>0</v>
      </c>
      <c r="L40" s="5">
        <v>62</v>
      </c>
      <c r="M40" s="5">
        <v>62</v>
      </c>
      <c r="N40" s="5">
        <v>645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893</v>
      </c>
    </row>
    <row r="41" spans="1:56" ht="15" customHeight="1" x14ac:dyDescent="0.35">
      <c r="A41" s="3" t="s">
        <v>110</v>
      </c>
      <c r="B41" s="4" t="s">
        <v>111</v>
      </c>
      <c r="C41" s="4" t="str">
        <f>VLOOKUP(A41,'TB Apr 24'!$A$11:$D$103,4,0)</f>
        <v>Printing &amp; Stationery, Postage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4000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846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480</v>
      </c>
      <c r="AO41" s="5">
        <v>0</v>
      </c>
      <c r="AP41" s="5">
        <v>0</v>
      </c>
      <c r="AQ41" s="5">
        <v>3000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1050</v>
      </c>
      <c r="BD41" s="5">
        <v>9376</v>
      </c>
    </row>
    <row r="42" spans="1:56" ht="15" customHeight="1" x14ac:dyDescent="0.35">
      <c r="A42" s="3" t="s">
        <v>112</v>
      </c>
      <c r="B42" s="4" t="s">
        <v>113</v>
      </c>
      <c r="C42" s="4" t="str">
        <f>VLOOKUP(A42,'TB Apr 24'!$A$11:$D$103,4,0)</f>
        <v>Telephone, Internet &amp; Other</v>
      </c>
      <c r="D42" s="5">
        <v>2958</v>
      </c>
      <c r="E42" s="5">
        <v>0</v>
      </c>
      <c r="F42" s="5">
        <v>0</v>
      </c>
      <c r="G42" s="5">
        <v>2958</v>
      </c>
      <c r="H42" s="5">
        <v>2958</v>
      </c>
      <c r="I42" s="5">
        <v>3251</v>
      </c>
      <c r="J42" s="5">
        <v>3250</v>
      </c>
      <c r="K42" s="5">
        <v>0</v>
      </c>
      <c r="L42" s="5">
        <v>3250</v>
      </c>
      <c r="M42" s="5">
        <v>3250</v>
      </c>
      <c r="N42" s="5">
        <v>0</v>
      </c>
      <c r="O42" s="5">
        <v>0</v>
      </c>
      <c r="P42" s="5">
        <v>0</v>
      </c>
      <c r="Q42" s="5">
        <v>0</v>
      </c>
      <c r="R42" s="5">
        <v>3540</v>
      </c>
      <c r="S42" s="5">
        <v>0</v>
      </c>
      <c r="T42" s="5">
        <v>2327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1300</v>
      </c>
      <c r="AC42" s="5">
        <v>1768</v>
      </c>
      <c r="AD42" s="5">
        <v>1060</v>
      </c>
      <c r="AE42" s="5">
        <v>0</v>
      </c>
      <c r="AF42" s="5">
        <v>1063</v>
      </c>
      <c r="AG42" s="5">
        <v>1800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707</v>
      </c>
      <c r="AS42" s="5">
        <v>707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36147</v>
      </c>
    </row>
    <row r="43" spans="1:56" ht="15" customHeight="1" x14ac:dyDescent="0.35">
      <c r="A43" s="3" t="s">
        <v>452</v>
      </c>
      <c r="B43" s="4" t="s">
        <v>453</v>
      </c>
      <c r="C43" s="4" t="str">
        <f>VLOOKUP(A43,'TB Apr 24'!$A$11:$D$103,4,0)</f>
        <v>Legal and Professional Fees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147500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147500</v>
      </c>
    </row>
    <row r="44" spans="1:56" ht="15" customHeight="1" x14ac:dyDescent="0.35">
      <c r="A44" s="3" t="s">
        <v>544</v>
      </c>
      <c r="B44" s="4" t="s">
        <v>545</v>
      </c>
      <c r="C44" s="4" t="str">
        <f>VLOOKUP(A44,'TB Apr 24'!$A$11:$D$103,4,0)</f>
        <v>Employee Benefit Expenses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133795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133795</v>
      </c>
    </row>
    <row r="45" spans="1:56" ht="15" customHeight="1" x14ac:dyDescent="0.35">
      <c r="A45" s="3" t="s">
        <v>311</v>
      </c>
      <c r="B45" s="4" t="s">
        <v>312</v>
      </c>
      <c r="C45" s="4" t="str">
        <f>VLOOKUP(A45,'TB Apr 24'!$A$11:$D$103,4,0)</f>
        <v>Other Utility Charges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178363</v>
      </c>
      <c r="W45" s="5">
        <v>178363</v>
      </c>
      <c r="X45" s="5">
        <v>178363</v>
      </c>
      <c r="Y45" s="5">
        <v>113777</v>
      </c>
      <c r="Z45" s="5">
        <v>119218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121660</v>
      </c>
      <c r="AG45" s="5">
        <v>194302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18945</v>
      </c>
      <c r="AS45" s="5">
        <v>8344</v>
      </c>
      <c r="AT45" s="5">
        <v>0</v>
      </c>
      <c r="AU45" s="5">
        <v>7069</v>
      </c>
      <c r="AV45" s="5">
        <v>4937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1123341</v>
      </c>
    </row>
    <row r="46" spans="1:56" ht="15" customHeight="1" x14ac:dyDescent="0.35">
      <c r="A46" s="3" t="s">
        <v>114</v>
      </c>
      <c r="B46" s="4" t="s">
        <v>115</v>
      </c>
      <c r="C46" s="4" t="str">
        <f>VLOOKUP(A46,'TB Apr 24'!$A$11:$D$103,4,0)</f>
        <v>Business Promotion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10000</v>
      </c>
      <c r="BA46" s="5">
        <v>10000</v>
      </c>
      <c r="BB46" s="5">
        <v>10000</v>
      </c>
      <c r="BC46" s="5">
        <v>0</v>
      </c>
      <c r="BD46" s="5">
        <v>30000</v>
      </c>
    </row>
    <row r="47" spans="1:56" ht="15" customHeight="1" x14ac:dyDescent="0.35">
      <c r="A47" s="3" t="s">
        <v>116</v>
      </c>
      <c r="B47" s="4" t="s">
        <v>117</v>
      </c>
      <c r="C47" s="4" t="str">
        <f>VLOOKUP(A47,'TB Apr 24'!$A$11:$D$103,4,0)</f>
        <v>Legal and Professional Fees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2300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2300</v>
      </c>
    </row>
    <row r="48" spans="1:56" ht="15" customHeight="1" x14ac:dyDescent="0.35">
      <c r="A48" s="3" t="s">
        <v>118</v>
      </c>
      <c r="B48" s="4" t="s">
        <v>119</v>
      </c>
      <c r="C48" s="4" t="str">
        <f>VLOOKUP(A48,'TB Apr 24'!$A$11:$D$103,4,0)</f>
        <v>Legal and Professional Fees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1227830</v>
      </c>
      <c r="O48" s="5">
        <v>0</v>
      </c>
      <c r="P48" s="5">
        <v>0</v>
      </c>
      <c r="Q48" s="5">
        <v>0</v>
      </c>
      <c r="R48" s="5">
        <v>7000</v>
      </c>
      <c r="S48" s="5">
        <v>0</v>
      </c>
      <c r="T48" s="5">
        <v>7000</v>
      </c>
      <c r="U48" s="5">
        <v>0</v>
      </c>
      <c r="V48" s="5">
        <v>0</v>
      </c>
      <c r="W48" s="5">
        <v>0</v>
      </c>
      <c r="X48" s="5">
        <v>0</v>
      </c>
      <c r="Y48" s="5">
        <v>75000</v>
      </c>
      <c r="Z48" s="5">
        <v>0</v>
      </c>
      <c r="AA48" s="5">
        <v>0</v>
      </c>
      <c r="AB48" s="5">
        <v>2200</v>
      </c>
      <c r="AC48" s="5">
        <v>2200</v>
      </c>
      <c r="AD48" s="5">
        <v>100000</v>
      </c>
      <c r="AE48" s="5">
        <v>0</v>
      </c>
      <c r="AF48" s="5">
        <v>0</v>
      </c>
      <c r="AG48" s="5">
        <v>13600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30500</v>
      </c>
      <c r="AS48" s="5">
        <v>82389</v>
      </c>
      <c r="AT48" s="5">
        <v>0</v>
      </c>
      <c r="AU48" s="5">
        <v>28000</v>
      </c>
      <c r="AV48" s="5">
        <v>28000</v>
      </c>
      <c r="AW48" s="5">
        <v>25250</v>
      </c>
      <c r="AX48" s="5">
        <v>0</v>
      </c>
      <c r="AY48" s="5">
        <v>0</v>
      </c>
      <c r="AZ48" s="5">
        <v>25250</v>
      </c>
      <c r="BA48" s="5">
        <v>0</v>
      </c>
      <c r="BB48" s="5">
        <v>25250</v>
      </c>
      <c r="BC48" s="5">
        <v>25250</v>
      </c>
      <c r="BD48" s="5">
        <v>1704719</v>
      </c>
    </row>
    <row r="49" spans="1:57" ht="15" customHeight="1" x14ac:dyDescent="0.35">
      <c r="A49" s="3" t="s">
        <v>120</v>
      </c>
      <c r="B49" s="4" t="s">
        <v>121</v>
      </c>
      <c r="C49" s="4" t="str">
        <f>VLOOKUP(A49,'TB Apr 24'!$A$11:$D$103,4,0)</f>
        <v>Other Operational Expenses</v>
      </c>
      <c r="D49" s="5">
        <v>929</v>
      </c>
      <c r="E49" s="5">
        <v>417</v>
      </c>
      <c r="F49" s="5">
        <v>0</v>
      </c>
      <c r="G49" s="5">
        <v>991</v>
      </c>
      <c r="H49" s="5">
        <v>0</v>
      </c>
      <c r="I49" s="5">
        <v>3302</v>
      </c>
      <c r="J49" s="5">
        <v>1740</v>
      </c>
      <c r="K49" s="5">
        <v>0</v>
      </c>
      <c r="L49" s="5">
        <v>6371</v>
      </c>
      <c r="M49" s="5">
        <v>4904</v>
      </c>
      <c r="N49" s="5">
        <v>0</v>
      </c>
      <c r="O49" s="5">
        <v>0</v>
      </c>
      <c r="P49" s="5">
        <v>0</v>
      </c>
      <c r="Q49" s="5">
        <v>640</v>
      </c>
      <c r="R49" s="5">
        <v>4238</v>
      </c>
      <c r="S49" s="5">
        <v>742</v>
      </c>
      <c r="T49" s="5">
        <v>3580</v>
      </c>
      <c r="U49" s="5">
        <v>0</v>
      </c>
      <c r="V49" s="5">
        <v>862</v>
      </c>
      <c r="W49" s="5">
        <v>907</v>
      </c>
      <c r="X49" s="5">
        <v>2575</v>
      </c>
      <c r="Y49" s="5">
        <v>0</v>
      </c>
      <c r="Z49" s="5">
        <v>735</v>
      </c>
      <c r="AA49" s="5">
        <v>0</v>
      </c>
      <c r="AB49" s="5">
        <v>822</v>
      </c>
      <c r="AC49" s="5">
        <v>2589</v>
      </c>
      <c r="AD49" s="5">
        <v>430</v>
      </c>
      <c r="AE49" s="5">
        <v>2934</v>
      </c>
      <c r="AF49" s="5">
        <v>556</v>
      </c>
      <c r="AG49" s="5">
        <v>1000</v>
      </c>
      <c r="AH49" s="5">
        <v>0</v>
      </c>
      <c r="AI49" s="5">
        <v>5372</v>
      </c>
      <c r="AJ49" s="5">
        <v>0</v>
      </c>
      <c r="AK49" s="5">
        <v>0</v>
      </c>
      <c r="AL49" s="5">
        <v>0</v>
      </c>
      <c r="AM49" s="5">
        <v>0</v>
      </c>
      <c r="AN49" s="5">
        <v>2690</v>
      </c>
      <c r="AO49" s="5">
        <v>5276</v>
      </c>
      <c r="AP49" s="5">
        <v>0</v>
      </c>
      <c r="AQ49" s="5">
        <v>13514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68116</v>
      </c>
    </row>
    <row r="50" spans="1:57" ht="15" customHeight="1" x14ac:dyDescent="0.35">
      <c r="A50" s="3" t="s">
        <v>122</v>
      </c>
      <c r="B50" s="4" t="s">
        <v>123</v>
      </c>
      <c r="C50" s="4" t="str">
        <f>VLOOKUP(A50,'TB Apr 24'!$A$11:$D$103,4,0)</f>
        <v>Other Operational Expenses</v>
      </c>
      <c r="D50" s="5">
        <v>6143</v>
      </c>
      <c r="E50" s="5">
        <v>860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39922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14856</v>
      </c>
      <c r="W50" s="5">
        <v>14856</v>
      </c>
      <c r="X50" s="5">
        <v>14859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28335.5</v>
      </c>
      <c r="AI50" s="5">
        <v>13003.5</v>
      </c>
      <c r="AJ50" s="5">
        <v>0</v>
      </c>
      <c r="AK50" s="5">
        <v>0</v>
      </c>
      <c r="AL50" s="5">
        <v>0</v>
      </c>
      <c r="AM50" s="5">
        <v>0</v>
      </c>
      <c r="AN50" s="5">
        <v>17362</v>
      </c>
      <c r="AO50" s="5">
        <v>13003.5</v>
      </c>
      <c r="AP50" s="5">
        <v>28335.5</v>
      </c>
      <c r="AQ50" s="5">
        <v>30365.5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221901.5</v>
      </c>
    </row>
    <row r="51" spans="1:57" ht="15" customHeight="1" x14ac:dyDescent="0.35">
      <c r="A51" s="3" t="s">
        <v>124</v>
      </c>
      <c r="B51" s="4" t="s">
        <v>125</v>
      </c>
      <c r="C51" s="4" t="str">
        <f>VLOOKUP(A51,'TB Apr 24'!$A$11:$D$103,4,0)</f>
        <v>Other Operational Expenses</v>
      </c>
      <c r="D51" s="5">
        <v>3931</v>
      </c>
      <c r="E51" s="5">
        <v>3931</v>
      </c>
      <c r="F51" s="5">
        <v>0</v>
      </c>
      <c r="G51" s="5">
        <v>3931</v>
      </c>
      <c r="H51" s="5">
        <v>3932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15725</v>
      </c>
    </row>
    <row r="52" spans="1:57" ht="15" customHeight="1" x14ac:dyDescent="0.35">
      <c r="A52" s="3" t="s">
        <v>126</v>
      </c>
      <c r="B52" s="4" t="s">
        <v>127</v>
      </c>
      <c r="C52" s="4" t="str">
        <f>VLOOKUP(A52,'TB Apr 24'!$A$11:$D$103,4,0)</f>
        <v>Employee Benefit Expenses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21600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21600</v>
      </c>
    </row>
    <row r="53" spans="1:57" ht="15" customHeight="1" x14ac:dyDescent="0.35">
      <c r="A53" s="3" t="s">
        <v>128</v>
      </c>
      <c r="B53" s="4" t="s">
        <v>129</v>
      </c>
      <c r="C53" s="4" t="str">
        <f>VLOOKUP(A53,'TB Apr 24'!$A$11:$D$103,4,0)</f>
        <v>Other Operational Expenses</v>
      </c>
      <c r="D53" s="5">
        <v>3848</v>
      </c>
      <c r="E53" s="5">
        <v>49981</v>
      </c>
      <c r="F53" s="5">
        <v>0</v>
      </c>
      <c r="G53" s="5">
        <v>17262</v>
      </c>
      <c r="H53" s="5">
        <v>2309</v>
      </c>
      <c r="I53" s="5">
        <v>0</v>
      </c>
      <c r="J53" s="5">
        <v>185</v>
      </c>
      <c r="K53" s="5">
        <v>33758</v>
      </c>
      <c r="L53" s="5">
        <v>1500</v>
      </c>
      <c r="M53" s="5">
        <v>0</v>
      </c>
      <c r="N53" s="5">
        <v>0</v>
      </c>
      <c r="O53" s="5">
        <v>0</v>
      </c>
      <c r="P53" s="5">
        <v>0</v>
      </c>
      <c r="Q53" s="5">
        <v>38869</v>
      </c>
      <c r="R53" s="5">
        <v>31806</v>
      </c>
      <c r="S53" s="5">
        <v>621</v>
      </c>
      <c r="T53" s="5">
        <v>71537</v>
      </c>
      <c r="U53" s="5">
        <v>23903</v>
      </c>
      <c r="V53" s="5">
        <v>545</v>
      </c>
      <c r="W53" s="5">
        <v>1610</v>
      </c>
      <c r="X53" s="5">
        <v>0</v>
      </c>
      <c r="Y53" s="5">
        <v>14048</v>
      </c>
      <c r="Z53" s="5">
        <v>22430</v>
      </c>
      <c r="AA53" s="5">
        <v>375</v>
      </c>
      <c r="AB53" s="5">
        <v>14635</v>
      </c>
      <c r="AC53" s="5">
        <v>73235</v>
      </c>
      <c r="AD53" s="5">
        <v>11538</v>
      </c>
      <c r="AE53" s="5">
        <v>30096</v>
      </c>
      <c r="AF53" s="5">
        <v>29912</v>
      </c>
      <c r="AG53" s="5">
        <v>9650</v>
      </c>
      <c r="AH53" s="5">
        <v>2070</v>
      </c>
      <c r="AI53" s="5">
        <v>0</v>
      </c>
      <c r="AJ53" s="5">
        <v>0</v>
      </c>
      <c r="AK53" s="5">
        <v>0</v>
      </c>
      <c r="AL53" s="5">
        <v>28540</v>
      </c>
      <c r="AM53" s="5">
        <v>0</v>
      </c>
      <c r="AN53" s="5">
        <v>7490</v>
      </c>
      <c r="AO53" s="5">
        <v>0</v>
      </c>
      <c r="AP53" s="5">
        <v>0</v>
      </c>
      <c r="AQ53" s="5">
        <v>60</v>
      </c>
      <c r="AR53" s="5">
        <v>14907</v>
      </c>
      <c r="AS53" s="5">
        <v>1800</v>
      </c>
      <c r="AT53" s="5">
        <v>0</v>
      </c>
      <c r="AU53" s="5">
        <v>38943</v>
      </c>
      <c r="AV53" s="5">
        <v>38943</v>
      </c>
      <c r="AW53" s="5">
        <v>30834</v>
      </c>
      <c r="AX53" s="5">
        <v>0</v>
      </c>
      <c r="AY53" s="5">
        <v>0</v>
      </c>
      <c r="AZ53" s="5">
        <v>69645</v>
      </c>
      <c r="BA53" s="5">
        <v>26342</v>
      </c>
      <c r="BB53" s="5">
        <v>34853</v>
      </c>
      <c r="BC53" s="5">
        <v>8179</v>
      </c>
      <c r="BD53" s="5">
        <v>786259</v>
      </c>
    </row>
    <row r="54" spans="1:57" ht="15" customHeight="1" x14ac:dyDescent="0.35">
      <c r="A54" s="3" t="s">
        <v>130</v>
      </c>
      <c r="B54" s="4" t="s">
        <v>131</v>
      </c>
      <c r="C54" s="4" t="str">
        <f>VLOOKUP(A54,'TB Apr 24'!$A$11:$D$103,4,0)</f>
        <v>Other Operational Expenses</v>
      </c>
      <c r="D54" s="5">
        <v>0</v>
      </c>
      <c r="E54" s="5">
        <v>0</v>
      </c>
      <c r="F54" s="5">
        <v>0</v>
      </c>
      <c r="G54" s="5">
        <v>0</v>
      </c>
      <c r="H54" s="5">
        <v>700</v>
      </c>
      <c r="I54" s="5">
        <v>0</v>
      </c>
      <c r="J54" s="5">
        <v>455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1540</v>
      </c>
      <c r="R54" s="5">
        <v>465</v>
      </c>
      <c r="S54" s="5">
        <v>0</v>
      </c>
      <c r="T54" s="5">
        <v>1200</v>
      </c>
      <c r="U54" s="5">
        <v>0</v>
      </c>
      <c r="V54" s="5">
        <v>0</v>
      </c>
      <c r="W54" s="5">
        <v>122</v>
      </c>
      <c r="X54" s="5">
        <v>200</v>
      </c>
      <c r="Y54" s="5">
        <v>300</v>
      </c>
      <c r="Z54" s="5">
        <v>300</v>
      </c>
      <c r="AA54" s="5">
        <v>0</v>
      </c>
      <c r="AB54" s="5">
        <v>350</v>
      </c>
      <c r="AC54" s="5">
        <v>300</v>
      </c>
      <c r="AD54" s="5">
        <v>300</v>
      </c>
      <c r="AE54" s="5">
        <v>350</v>
      </c>
      <c r="AF54" s="5">
        <v>400</v>
      </c>
      <c r="AG54" s="5">
        <v>300</v>
      </c>
      <c r="AH54" s="5">
        <v>6750</v>
      </c>
      <c r="AI54" s="5">
        <v>6750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2388</v>
      </c>
      <c r="AP54" s="5">
        <v>0</v>
      </c>
      <c r="AQ54" s="5">
        <v>200</v>
      </c>
      <c r="AR54" s="5">
        <v>70</v>
      </c>
      <c r="AS54" s="5">
        <v>30</v>
      </c>
      <c r="AT54" s="5">
        <v>0</v>
      </c>
      <c r="AU54" s="5">
        <v>356</v>
      </c>
      <c r="AV54" s="5">
        <v>100</v>
      </c>
      <c r="AW54" s="5">
        <v>1646</v>
      </c>
      <c r="AX54" s="5">
        <v>0</v>
      </c>
      <c r="AY54" s="5">
        <v>0</v>
      </c>
      <c r="AZ54" s="5">
        <v>0</v>
      </c>
      <c r="BA54" s="5">
        <v>0</v>
      </c>
      <c r="BB54" s="5">
        <v>4843</v>
      </c>
      <c r="BC54" s="5">
        <v>0</v>
      </c>
      <c r="BD54" s="5">
        <v>30415</v>
      </c>
    </row>
    <row r="55" spans="1:57" ht="15" customHeight="1" x14ac:dyDescent="0.35">
      <c r="A55" s="3" t="s">
        <v>132</v>
      </c>
      <c r="B55" s="4" t="s">
        <v>133</v>
      </c>
      <c r="C55" s="4" t="str">
        <f>VLOOKUP(A55,'TB Apr 24'!$A$11:$D$103,4,0)</f>
        <v>Printing &amp; Stationery, Postage</v>
      </c>
      <c r="D55" s="5">
        <v>1800</v>
      </c>
      <c r="E55" s="5">
        <v>45720</v>
      </c>
      <c r="F55" s="5">
        <v>0</v>
      </c>
      <c r="G55" s="5">
        <v>24410</v>
      </c>
      <c r="H55" s="5">
        <v>1140</v>
      </c>
      <c r="I55" s="5">
        <v>0</v>
      </c>
      <c r="J55" s="5">
        <v>300</v>
      </c>
      <c r="K55" s="5">
        <v>12625</v>
      </c>
      <c r="L55" s="5">
        <v>900</v>
      </c>
      <c r="M55" s="5">
        <v>10053</v>
      </c>
      <c r="N55" s="5">
        <v>0</v>
      </c>
      <c r="O55" s="5">
        <v>0</v>
      </c>
      <c r="P55" s="5">
        <v>0</v>
      </c>
      <c r="Q55" s="5">
        <v>500</v>
      </c>
      <c r="R55" s="5">
        <v>88623</v>
      </c>
      <c r="S55" s="5">
        <v>0</v>
      </c>
      <c r="T55" s="5">
        <v>29206</v>
      </c>
      <c r="U55" s="5">
        <v>19807</v>
      </c>
      <c r="V55" s="5">
        <v>4979</v>
      </c>
      <c r="W55" s="5">
        <v>3775</v>
      </c>
      <c r="X55" s="5">
        <v>40</v>
      </c>
      <c r="Y55" s="5">
        <v>23976</v>
      </c>
      <c r="Z55" s="5">
        <v>9586</v>
      </c>
      <c r="AA55" s="5">
        <v>5640</v>
      </c>
      <c r="AB55" s="5">
        <v>25166</v>
      </c>
      <c r="AC55" s="5">
        <v>6167</v>
      </c>
      <c r="AD55" s="5">
        <v>3165</v>
      </c>
      <c r="AE55" s="5">
        <v>515</v>
      </c>
      <c r="AF55" s="5">
        <v>54410</v>
      </c>
      <c r="AG55" s="5">
        <v>31710</v>
      </c>
      <c r="AH55" s="5">
        <v>52859</v>
      </c>
      <c r="AI55" s="5">
        <v>750</v>
      </c>
      <c r="AJ55" s="5">
        <v>0</v>
      </c>
      <c r="AK55" s="5">
        <v>0</v>
      </c>
      <c r="AL55" s="5">
        <v>22999</v>
      </c>
      <c r="AM55" s="5">
        <v>0</v>
      </c>
      <c r="AN55" s="5">
        <v>19600</v>
      </c>
      <c r="AO55" s="5">
        <v>890</v>
      </c>
      <c r="AP55" s="5">
        <v>0</v>
      </c>
      <c r="AQ55" s="5">
        <v>16710</v>
      </c>
      <c r="AR55" s="5">
        <v>12410</v>
      </c>
      <c r="AS55" s="5">
        <v>392</v>
      </c>
      <c r="AT55" s="5">
        <v>0</v>
      </c>
      <c r="AU55" s="5">
        <v>1808</v>
      </c>
      <c r="AV55" s="5">
        <v>1808</v>
      </c>
      <c r="AW55" s="5">
        <v>16284</v>
      </c>
      <c r="AX55" s="5">
        <v>0</v>
      </c>
      <c r="AY55" s="5">
        <v>0</v>
      </c>
      <c r="AZ55" s="5">
        <v>13159</v>
      </c>
      <c r="BA55" s="5">
        <v>7700</v>
      </c>
      <c r="BB55" s="5">
        <v>85261</v>
      </c>
      <c r="BC55" s="5">
        <v>9188</v>
      </c>
      <c r="BD55" s="5">
        <v>666031</v>
      </c>
    </row>
    <row r="56" spans="1:57" ht="15" customHeight="1" x14ac:dyDescent="0.35">
      <c r="A56" s="3" t="s">
        <v>134</v>
      </c>
      <c r="B56" s="4" t="s">
        <v>135</v>
      </c>
      <c r="C56" s="4" t="str">
        <f>VLOOKUP(A56,'TB Apr 24'!$A$11:$D$103,4,0)</f>
        <v>Other Operational Expenses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1133</v>
      </c>
      <c r="AT56" s="5">
        <v>0</v>
      </c>
      <c r="AU56" s="5">
        <v>300</v>
      </c>
      <c r="AV56" s="5">
        <v>4818</v>
      </c>
      <c r="AW56" s="5">
        <v>0</v>
      </c>
      <c r="AX56" s="5">
        <v>0</v>
      </c>
      <c r="AY56" s="5">
        <v>0</v>
      </c>
      <c r="AZ56" s="5">
        <v>2786</v>
      </c>
      <c r="BA56" s="5">
        <v>0</v>
      </c>
      <c r="BB56" s="5">
        <v>1590</v>
      </c>
      <c r="BC56" s="5">
        <v>1094</v>
      </c>
      <c r="BD56" s="5">
        <v>11721</v>
      </c>
    </row>
    <row r="57" spans="1:57" ht="15" customHeight="1" x14ac:dyDescent="0.35">
      <c r="A57" s="3" t="s">
        <v>136</v>
      </c>
      <c r="B57" s="4" t="s">
        <v>137</v>
      </c>
      <c r="C57" s="4" t="str">
        <f>VLOOKUP(A57,'TB Apr 24'!$A$11:$D$103,4,0)</f>
        <v>Other Operational Expenses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350</v>
      </c>
      <c r="AS57" s="5">
        <v>0</v>
      </c>
      <c r="AT57" s="5">
        <v>0</v>
      </c>
      <c r="AU57" s="5">
        <v>760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1110</v>
      </c>
    </row>
    <row r="58" spans="1:57" ht="15" customHeight="1" x14ac:dyDescent="0.35">
      <c r="A58" s="3" t="s">
        <v>138</v>
      </c>
      <c r="B58" s="4" t="s">
        <v>139</v>
      </c>
      <c r="C58" s="4" t="str">
        <f>VLOOKUP(A58,'TB Apr 24'!$A$11:$D$103,4,0)</f>
        <v>Business Promotion</v>
      </c>
      <c r="D58" s="5">
        <v>1523</v>
      </c>
      <c r="E58" s="5">
        <v>1523</v>
      </c>
      <c r="F58" s="5">
        <v>0</v>
      </c>
      <c r="G58" s="5">
        <v>1523</v>
      </c>
      <c r="H58" s="5">
        <v>1523</v>
      </c>
      <c r="I58" s="5">
        <v>8031</v>
      </c>
      <c r="J58" s="5">
        <v>2031</v>
      </c>
      <c r="K58" s="5">
        <v>0</v>
      </c>
      <c r="L58" s="5">
        <v>7031</v>
      </c>
      <c r="M58" s="5">
        <v>2031</v>
      </c>
      <c r="N58" s="5">
        <v>998059.27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2031</v>
      </c>
      <c r="W58" s="5">
        <v>2031</v>
      </c>
      <c r="X58" s="5">
        <v>2031</v>
      </c>
      <c r="Y58" s="5">
        <v>1016</v>
      </c>
      <c r="Z58" s="5">
        <v>1016</v>
      </c>
      <c r="AA58" s="5">
        <v>0</v>
      </c>
      <c r="AB58" s="5">
        <v>3016</v>
      </c>
      <c r="AC58" s="5">
        <v>1016</v>
      </c>
      <c r="AD58" s="5">
        <v>1016</v>
      </c>
      <c r="AE58" s="5">
        <v>1715</v>
      </c>
      <c r="AF58" s="5">
        <v>1016</v>
      </c>
      <c r="AG58" s="5">
        <v>9716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243690</v>
      </c>
      <c r="AO58" s="5">
        <v>0</v>
      </c>
      <c r="AP58" s="5">
        <v>0</v>
      </c>
      <c r="AQ58" s="5">
        <v>139440</v>
      </c>
      <c r="AR58" s="5">
        <v>2031</v>
      </c>
      <c r="AS58" s="5">
        <v>2031</v>
      </c>
      <c r="AT58" s="5">
        <v>0</v>
      </c>
      <c r="AU58" s="5">
        <v>2031</v>
      </c>
      <c r="AV58" s="5">
        <v>2031</v>
      </c>
      <c r="AW58" s="5">
        <v>2100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1442249.27</v>
      </c>
      <c r="BE58" s="66">
        <f>BD58-'TB Apr 24'!BE63</f>
        <v>0</v>
      </c>
    </row>
    <row r="59" spans="1:57" s="525" customFormat="1" ht="15" customHeight="1" x14ac:dyDescent="0.35">
      <c r="A59" s="523" t="s">
        <v>140</v>
      </c>
      <c r="B59" s="524" t="s">
        <v>141</v>
      </c>
      <c r="C59" s="524" t="str">
        <f>VLOOKUP(A59,'TB Apr 24'!$A$11:$D$103,4,0)</f>
        <v>Fixed Rent/Revenue Share</v>
      </c>
      <c r="D59" s="83">
        <v>126941.62360000001</v>
      </c>
      <c r="E59" s="83">
        <v>172760.5055</v>
      </c>
      <c r="F59" s="83">
        <v>0</v>
      </c>
      <c r="G59" s="83">
        <v>318429.67969999998</v>
      </c>
      <c r="H59" s="83">
        <v>102935.14219999999</v>
      </c>
      <c r="I59" s="83">
        <v>241568.4656</v>
      </c>
      <c r="J59" s="83">
        <v>350886.81429999997</v>
      </c>
      <c r="K59" s="83">
        <v>0</v>
      </c>
      <c r="L59" s="83">
        <v>394426.67989999999</v>
      </c>
      <c r="M59" s="83">
        <v>293750.2194</v>
      </c>
      <c r="N59" s="83">
        <v>0</v>
      </c>
      <c r="O59" s="83">
        <v>0</v>
      </c>
      <c r="P59" s="83">
        <v>0</v>
      </c>
      <c r="Q59" s="83">
        <v>306191.87940000003</v>
      </c>
      <c r="R59" s="83">
        <v>235790.53410000002</v>
      </c>
      <c r="S59" s="83">
        <v>0</v>
      </c>
      <c r="T59" s="83">
        <v>387072.87520000001</v>
      </c>
      <c r="U59" s="83">
        <v>0</v>
      </c>
      <c r="V59" s="83">
        <v>92433.987900000007</v>
      </c>
      <c r="W59" s="83">
        <v>173950.02269999997</v>
      </c>
      <c r="X59" s="83">
        <v>149467.48469999997</v>
      </c>
      <c r="Y59" s="83">
        <v>126103.62419999999</v>
      </c>
      <c r="Z59" s="83">
        <v>159345.49590000001</v>
      </c>
      <c r="AA59" s="83">
        <v>0</v>
      </c>
      <c r="AB59" s="83">
        <v>314534.04839999997</v>
      </c>
      <c r="AC59" s="83">
        <v>356909.80590000004</v>
      </c>
      <c r="AD59" s="83">
        <v>28294.983</v>
      </c>
      <c r="AE59" s="83">
        <v>176435.34389999998</v>
      </c>
      <c r="AF59" s="83">
        <v>137259.74609999999</v>
      </c>
      <c r="AG59" s="83">
        <v>159809.70689999999</v>
      </c>
      <c r="AH59" s="83">
        <v>201563.58309999999</v>
      </c>
      <c r="AI59" s="83">
        <v>239133.14809999999</v>
      </c>
      <c r="AJ59" s="83">
        <v>0</v>
      </c>
      <c r="AK59" s="83">
        <v>0</v>
      </c>
      <c r="AL59" s="83">
        <v>0</v>
      </c>
      <c r="AM59" s="83">
        <v>0</v>
      </c>
      <c r="AN59" s="83">
        <v>512478.54020000005</v>
      </c>
      <c r="AO59" s="83">
        <v>25020.446</v>
      </c>
      <c r="AP59" s="83">
        <v>0</v>
      </c>
      <c r="AQ59" s="83">
        <v>590303.16070000001</v>
      </c>
      <c r="AR59" s="83">
        <v>224462.51190000001</v>
      </c>
      <c r="AS59" s="83">
        <v>168301.07139999999</v>
      </c>
      <c r="AT59" s="83">
        <v>0</v>
      </c>
      <c r="AU59" s="83">
        <v>220965.43150000001</v>
      </c>
      <c r="AV59" s="83">
        <v>220505.27619999999</v>
      </c>
      <c r="AW59" s="83">
        <v>118991.35709999998</v>
      </c>
      <c r="AX59" s="83">
        <v>0</v>
      </c>
      <c r="AY59" s="83">
        <v>0</v>
      </c>
      <c r="AZ59" s="83">
        <v>280381.45189999999</v>
      </c>
      <c r="BA59" s="83">
        <v>130078.5398</v>
      </c>
      <c r="BB59" s="83">
        <v>411508.51280000003</v>
      </c>
      <c r="BC59" s="83">
        <v>64138.322599999992</v>
      </c>
      <c r="BD59" s="83">
        <v>8213130</v>
      </c>
    </row>
    <row r="60" spans="1:57" s="525" customFormat="1" ht="15" customHeight="1" x14ac:dyDescent="0.35">
      <c r="A60" s="523" t="s">
        <v>142</v>
      </c>
      <c r="B60" s="524" t="s">
        <v>143</v>
      </c>
      <c r="C60" s="524" t="str">
        <f>VLOOKUP(A60,'TB Apr 24'!$A$11:$D$103,4,0)</f>
        <v>CAM</v>
      </c>
      <c r="D60" s="83">
        <v>84876</v>
      </c>
      <c r="E60" s="83">
        <v>108720</v>
      </c>
      <c r="F60" s="83">
        <v>0</v>
      </c>
      <c r="G60" s="83">
        <v>120444</v>
      </c>
      <c r="H60" s="83">
        <v>50806</v>
      </c>
      <c r="I60" s="83">
        <v>72886</v>
      </c>
      <c r="J60" s="83">
        <v>72886</v>
      </c>
      <c r="K60" s="83">
        <v>0</v>
      </c>
      <c r="L60" s="83">
        <v>72886</v>
      </c>
      <c r="M60" s="83">
        <v>72886</v>
      </c>
      <c r="N60" s="83">
        <v>0</v>
      </c>
      <c r="O60" s="83">
        <v>0</v>
      </c>
      <c r="P60" s="83">
        <v>0</v>
      </c>
      <c r="Q60" s="83">
        <v>82044</v>
      </c>
      <c r="R60" s="83">
        <v>299598</v>
      </c>
      <c r="S60" s="83">
        <v>0</v>
      </c>
      <c r="T60" s="83">
        <v>157066</v>
      </c>
      <c r="U60" s="83">
        <v>0</v>
      </c>
      <c r="V60" s="83">
        <v>116405</v>
      </c>
      <c r="W60" s="83">
        <v>150958</v>
      </c>
      <c r="X60" s="83">
        <v>116405</v>
      </c>
      <c r="Y60" s="83">
        <v>47380</v>
      </c>
      <c r="Z60" s="83">
        <v>45942</v>
      </c>
      <c r="AA60" s="83">
        <v>0</v>
      </c>
      <c r="AB60" s="83">
        <v>112062.10092261345</v>
      </c>
      <c r="AC60" s="83">
        <v>127864.64131048767</v>
      </c>
      <c r="AD60" s="83">
        <v>69044.074311178061</v>
      </c>
      <c r="AE60" s="83">
        <v>142251.18345572083</v>
      </c>
      <c r="AF60" s="83">
        <v>52455</v>
      </c>
      <c r="AG60" s="83">
        <v>59449</v>
      </c>
      <c r="AH60" s="83">
        <v>114354</v>
      </c>
      <c r="AI60" s="83">
        <v>69448</v>
      </c>
      <c r="AJ60" s="83">
        <v>0</v>
      </c>
      <c r="AK60" s="83">
        <v>0</v>
      </c>
      <c r="AL60" s="83">
        <v>0</v>
      </c>
      <c r="AM60" s="83">
        <v>0</v>
      </c>
      <c r="AN60" s="83">
        <v>156928</v>
      </c>
      <c r="AO60" s="83">
        <v>53123</v>
      </c>
      <c r="AP60" s="83">
        <v>0</v>
      </c>
      <c r="AQ60" s="83">
        <v>165676</v>
      </c>
      <c r="AR60" s="83">
        <v>159265</v>
      </c>
      <c r="AS60" s="83">
        <v>101584</v>
      </c>
      <c r="AT60" s="83">
        <v>0</v>
      </c>
      <c r="AU60" s="83">
        <v>83603</v>
      </c>
      <c r="AV60" s="83">
        <v>83603</v>
      </c>
      <c r="AW60" s="83">
        <v>102581</v>
      </c>
      <c r="AX60" s="83">
        <v>0</v>
      </c>
      <c r="AY60" s="83">
        <v>0</v>
      </c>
      <c r="AZ60" s="83">
        <v>102581</v>
      </c>
      <c r="BA60" s="83">
        <v>62304</v>
      </c>
      <c r="BB60" s="83">
        <v>111797</v>
      </c>
      <c r="BC60" s="83">
        <v>111797</v>
      </c>
      <c r="BD60" s="83">
        <v>3713958</v>
      </c>
    </row>
    <row r="61" spans="1:57" s="525" customFormat="1" ht="15" customHeight="1" x14ac:dyDescent="0.35">
      <c r="A61" s="523" t="s">
        <v>144</v>
      </c>
      <c r="B61" s="524" t="s">
        <v>145</v>
      </c>
      <c r="C61" s="524" t="str">
        <f>VLOOKUP(A61,'TB Apr 24'!$A$11:$D$103,4,0)</f>
        <v>Electricity</v>
      </c>
      <c r="D61" s="83">
        <v>42332</v>
      </c>
      <c r="E61" s="83">
        <v>54225</v>
      </c>
      <c r="F61" s="83">
        <v>0</v>
      </c>
      <c r="G61" s="83">
        <v>60072</v>
      </c>
      <c r="H61" s="83">
        <v>25340</v>
      </c>
      <c r="I61" s="83">
        <v>47144</v>
      </c>
      <c r="J61" s="83">
        <v>47144</v>
      </c>
      <c r="K61" s="83">
        <v>0</v>
      </c>
      <c r="L61" s="83">
        <v>47144</v>
      </c>
      <c r="M61" s="83">
        <v>47144</v>
      </c>
      <c r="N61" s="83">
        <v>0</v>
      </c>
      <c r="O61" s="83">
        <v>0</v>
      </c>
      <c r="P61" s="83">
        <v>0</v>
      </c>
      <c r="Q61" s="83">
        <v>39312</v>
      </c>
      <c r="R61" s="83">
        <v>143557</v>
      </c>
      <c r="S61" s="83">
        <v>0</v>
      </c>
      <c r="T61" s="83">
        <v>71677</v>
      </c>
      <c r="U61" s="83">
        <v>0</v>
      </c>
      <c r="V61" s="83">
        <v>23296.875</v>
      </c>
      <c r="W61" s="83">
        <v>30211.22</v>
      </c>
      <c r="X61" s="83">
        <v>23296.875</v>
      </c>
      <c r="Y61" s="83">
        <v>30797</v>
      </c>
      <c r="Z61" s="83">
        <v>28440</v>
      </c>
      <c r="AA61" s="83">
        <v>0</v>
      </c>
      <c r="AB61" s="83">
        <v>72840.53944643194</v>
      </c>
      <c r="AC61" s="83">
        <v>83112.215213707401</v>
      </c>
      <c r="AD61" s="83">
        <v>44878.755413293162</v>
      </c>
      <c r="AE61" s="83">
        <v>92463.489926567505</v>
      </c>
      <c r="AF61" s="83">
        <v>32472</v>
      </c>
      <c r="AG61" s="83">
        <v>40148</v>
      </c>
      <c r="AH61" s="83">
        <v>9266</v>
      </c>
      <c r="AI61" s="83">
        <v>0</v>
      </c>
      <c r="AJ61" s="83">
        <v>0</v>
      </c>
      <c r="AK61" s="83">
        <v>0</v>
      </c>
      <c r="AL61" s="83">
        <v>0</v>
      </c>
      <c r="AM61" s="83">
        <v>0</v>
      </c>
      <c r="AN61" s="83">
        <v>114307</v>
      </c>
      <c r="AO61" s="83">
        <v>0</v>
      </c>
      <c r="AP61" s="83">
        <v>0</v>
      </c>
      <c r="AQ61" s="83">
        <v>138716</v>
      </c>
      <c r="AR61" s="83">
        <v>117301</v>
      </c>
      <c r="AS61" s="83">
        <v>78559</v>
      </c>
      <c r="AT61" s="83">
        <v>0</v>
      </c>
      <c r="AU61" s="83">
        <v>61709.5</v>
      </c>
      <c r="AV61" s="83">
        <v>61709.5</v>
      </c>
      <c r="AW61" s="83">
        <v>47988.5</v>
      </c>
      <c r="AX61" s="83">
        <v>0</v>
      </c>
      <c r="AY61" s="83">
        <v>0</v>
      </c>
      <c r="AZ61" s="83">
        <v>47988.5</v>
      </c>
      <c r="BA61" s="83">
        <v>7780</v>
      </c>
      <c r="BB61" s="83">
        <v>58236</v>
      </c>
      <c r="BC61" s="83">
        <v>58236</v>
      </c>
      <c r="BD61" s="83">
        <v>1928845</v>
      </c>
    </row>
    <row r="62" spans="1:57" s="525" customFormat="1" ht="15" customHeight="1" x14ac:dyDescent="0.35">
      <c r="A62" s="523" t="s">
        <v>146</v>
      </c>
      <c r="B62" s="524" t="s">
        <v>147</v>
      </c>
      <c r="C62" s="524" t="str">
        <f>VLOOKUP(A62,'TB Apr 24'!$A$11:$D$103,4,0)</f>
        <v>Other Utility Charges</v>
      </c>
      <c r="D62" s="83">
        <v>15273.1</v>
      </c>
      <c r="E62" s="83">
        <v>46797.99</v>
      </c>
      <c r="F62" s="83">
        <v>0</v>
      </c>
      <c r="G62" s="83">
        <v>23380.27</v>
      </c>
      <c r="H62" s="83">
        <v>14208.22</v>
      </c>
      <c r="I62" s="83">
        <v>18981.666666666668</v>
      </c>
      <c r="J62" s="83">
        <v>14708</v>
      </c>
      <c r="K62" s="83">
        <v>0</v>
      </c>
      <c r="L62" s="83">
        <v>18981.666666666668</v>
      </c>
      <c r="M62" s="83">
        <v>18981.666666666668</v>
      </c>
      <c r="N62" s="83">
        <v>0</v>
      </c>
      <c r="O62" s="83">
        <v>0</v>
      </c>
      <c r="P62" s="83">
        <v>0</v>
      </c>
      <c r="Q62" s="83">
        <v>13217.25</v>
      </c>
      <c r="R62" s="83">
        <v>48260.25</v>
      </c>
      <c r="S62" s="83">
        <v>0</v>
      </c>
      <c r="T62" s="83">
        <v>24095.916666666668</v>
      </c>
      <c r="U62" s="83">
        <v>0</v>
      </c>
      <c r="V62" s="83">
        <v>12578.333333333334</v>
      </c>
      <c r="W62" s="83">
        <v>16056.083333333334</v>
      </c>
      <c r="X62" s="83">
        <v>12578.333333333334</v>
      </c>
      <c r="Y62" s="83">
        <v>14699.75</v>
      </c>
      <c r="Z62" s="83">
        <v>13570.083333333334</v>
      </c>
      <c r="AA62" s="83">
        <v>0</v>
      </c>
      <c r="AB62" s="83">
        <v>33967.70623862424</v>
      </c>
      <c r="AC62" s="83">
        <v>38757.693623297564</v>
      </c>
      <c r="AD62" s="83">
        <v>20928.296135902427</v>
      </c>
      <c r="AE62" s="83">
        <v>43118.470668842449</v>
      </c>
      <c r="AF62" s="83">
        <v>15491.916666666666</v>
      </c>
      <c r="AG62" s="83">
        <v>19159.583333333332</v>
      </c>
      <c r="AH62" s="83">
        <v>0</v>
      </c>
      <c r="AI62" s="83">
        <v>69537</v>
      </c>
      <c r="AJ62" s="83">
        <v>0</v>
      </c>
      <c r="AK62" s="83">
        <v>0</v>
      </c>
      <c r="AL62" s="83">
        <v>0</v>
      </c>
      <c r="AM62" s="83">
        <v>0</v>
      </c>
      <c r="AN62" s="83">
        <v>0</v>
      </c>
      <c r="AO62" s="83">
        <v>54805</v>
      </c>
      <c r="AP62" s="83">
        <v>0</v>
      </c>
      <c r="AQ62" s="83">
        <v>0</v>
      </c>
      <c r="AR62" s="83">
        <v>23099.75</v>
      </c>
      <c r="AS62" s="83">
        <v>10174.416666666666</v>
      </c>
      <c r="AT62" s="83">
        <v>0</v>
      </c>
      <c r="AU62" s="83">
        <v>7320.541666666667</v>
      </c>
      <c r="AV62" s="83">
        <v>7320.541666666667</v>
      </c>
      <c r="AW62" s="83">
        <v>4569</v>
      </c>
      <c r="AX62" s="83">
        <v>0</v>
      </c>
      <c r="AY62" s="83">
        <v>0</v>
      </c>
      <c r="AZ62" s="83">
        <v>4569</v>
      </c>
      <c r="BA62" s="83">
        <v>3730</v>
      </c>
      <c r="BB62" s="83">
        <v>5346</v>
      </c>
      <c r="BC62" s="83">
        <v>5346</v>
      </c>
      <c r="BD62" s="83">
        <v>693609</v>
      </c>
    </row>
    <row r="63" spans="1:57" s="525" customFormat="1" ht="15" customHeight="1" x14ac:dyDescent="0.35">
      <c r="A63" s="523" t="s">
        <v>148</v>
      </c>
      <c r="B63" s="524" t="s">
        <v>149</v>
      </c>
      <c r="C63" s="524" t="str">
        <f>VLOOKUP(A63,'TB Apr 24'!$A$11:$D$103,4,0)</f>
        <v>Electricity</v>
      </c>
      <c r="D63" s="83">
        <v>74235</v>
      </c>
      <c r="E63" s="83">
        <v>79955</v>
      </c>
      <c r="F63" s="83">
        <v>0</v>
      </c>
      <c r="G63" s="83">
        <v>100583</v>
      </c>
      <c r="H63" s="83">
        <v>47253</v>
      </c>
      <c r="I63" s="83">
        <v>59388.5</v>
      </c>
      <c r="J63" s="83">
        <v>76841.5</v>
      </c>
      <c r="K63" s="83">
        <v>0</v>
      </c>
      <c r="L63" s="83">
        <v>53815.5</v>
      </c>
      <c r="M63" s="83">
        <v>53815.5</v>
      </c>
      <c r="N63" s="83">
        <v>0</v>
      </c>
      <c r="O63" s="83">
        <v>0</v>
      </c>
      <c r="P63" s="83">
        <v>0</v>
      </c>
      <c r="Q63" s="83">
        <v>1932</v>
      </c>
      <c r="R63" s="83">
        <v>0</v>
      </c>
      <c r="S63" s="83">
        <v>0</v>
      </c>
      <c r="T63" s="83">
        <v>0</v>
      </c>
      <c r="U63" s="83">
        <v>0</v>
      </c>
      <c r="V63" s="83">
        <v>75404.60500000001</v>
      </c>
      <c r="W63" s="83">
        <v>52620.62</v>
      </c>
      <c r="X63" s="83">
        <v>75404.60500000001</v>
      </c>
      <c r="Y63" s="83">
        <v>101248</v>
      </c>
      <c r="Z63" s="83">
        <v>175956</v>
      </c>
      <c r="AA63" s="83">
        <v>0</v>
      </c>
      <c r="AB63" s="83">
        <v>115178.67614385238</v>
      </c>
      <c r="AC63" s="83">
        <v>131420.70325739033</v>
      </c>
      <c r="AD63" s="83">
        <v>70964.26900144355</v>
      </c>
      <c r="AE63" s="83">
        <v>146207.35159731374</v>
      </c>
      <c r="AF63" s="83">
        <v>72174</v>
      </c>
      <c r="AG63" s="83">
        <v>172565</v>
      </c>
      <c r="AH63" s="83">
        <v>0</v>
      </c>
      <c r="AI63" s="83">
        <v>0</v>
      </c>
      <c r="AJ63" s="83">
        <v>0</v>
      </c>
      <c r="AK63" s="83">
        <v>0</v>
      </c>
      <c r="AL63" s="83">
        <v>0</v>
      </c>
      <c r="AM63" s="83">
        <v>0</v>
      </c>
      <c r="AN63" s="83">
        <v>232590</v>
      </c>
      <c r="AO63" s="83">
        <v>978</v>
      </c>
      <c r="AP63" s="83">
        <v>0</v>
      </c>
      <c r="AQ63" s="83">
        <v>136150</v>
      </c>
      <c r="AR63" s="83">
        <v>0</v>
      </c>
      <c r="AS63" s="83">
        <v>0</v>
      </c>
      <c r="AT63" s="83">
        <v>0</v>
      </c>
      <c r="AU63" s="83">
        <v>0</v>
      </c>
      <c r="AV63" s="83">
        <v>0</v>
      </c>
      <c r="AW63" s="83">
        <v>7288.1049999999996</v>
      </c>
      <c r="AX63" s="83">
        <v>0</v>
      </c>
      <c r="AY63" s="83">
        <v>0</v>
      </c>
      <c r="AZ63" s="83">
        <v>7288.1049999999996</v>
      </c>
      <c r="BA63" s="83">
        <v>121995</v>
      </c>
      <c r="BB63" s="83">
        <v>108766.5</v>
      </c>
      <c r="BC63" s="83">
        <v>108766.5</v>
      </c>
      <c r="BD63" s="83">
        <v>2460785</v>
      </c>
    </row>
    <row r="64" spans="1:57" s="525" customFormat="1" ht="15" customHeight="1" x14ac:dyDescent="0.35">
      <c r="A64" s="523" t="s">
        <v>546</v>
      </c>
      <c r="B64" s="524" t="s">
        <v>547</v>
      </c>
      <c r="C64" s="524" t="str">
        <f>VLOOKUP(A64,'TB Apr 24'!$A$11:$D$103,4,0)</f>
        <v>Electricity</v>
      </c>
      <c r="D64" s="83">
        <v>10609</v>
      </c>
      <c r="E64" s="83">
        <v>13591</v>
      </c>
      <c r="F64" s="83">
        <v>0</v>
      </c>
      <c r="G64" s="83">
        <v>15055</v>
      </c>
      <c r="H64" s="83">
        <v>6350</v>
      </c>
      <c r="I64" s="83">
        <v>8282.5</v>
      </c>
      <c r="J64" s="83">
        <v>8282.5</v>
      </c>
      <c r="K64" s="83">
        <v>0</v>
      </c>
      <c r="L64" s="83">
        <v>8282.5</v>
      </c>
      <c r="M64" s="83">
        <v>8282.5</v>
      </c>
      <c r="N64" s="83">
        <v>0</v>
      </c>
      <c r="O64" s="83">
        <v>0</v>
      </c>
      <c r="P64" s="83">
        <v>0</v>
      </c>
      <c r="Q64" s="83">
        <v>10255</v>
      </c>
      <c r="R64" s="83">
        <v>37449</v>
      </c>
      <c r="S64" s="83">
        <v>0</v>
      </c>
      <c r="T64" s="83">
        <v>18698</v>
      </c>
      <c r="U64" s="83">
        <v>0</v>
      </c>
      <c r="V64" s="83">
        <v>15873</v>
      </c>
      <c r="W64" s="83">
        <v>20585</v>
      </c>
      <c r="X64" s="83">
        <v>15873</v>
      </c>
      <c r="Y64" s="83">
        <v>5282</v>
      </c>
      <c r="Z64" s="83">
        <v>4877</v>
      </c>
      <c r="AA64" s="83">
        <v>0</v>
      </c>
      <c r="AB64" s="83">
        <v>12490.391075127094</v>
      </c>
      <c r="AC64" s="83">
        <v>14251.735078139709</v>
      </c>
      <c r="AD64" s="83">
        <v>7695.6212891483083</v>
      </c>
      <c r="AE64" s="83">
        <v>15855.252557584887</v>
      </c>
      <c r="AF64" s="83">
        <v>5569</v>
      </c>
      <c r="AG64" s="83">
        <v>6885</v>
      </c>
      <c r="AH64" s="83">
        <v>12995</v>
      </c>
      <c r="AI64" s="83">
        <v>56673</v>
      </c>
      <c r="AJ64" s="83">
        <v>0</v>
      </c>
      <c r="AK64" s="83">
        <v>0</v>
      </c>
      <c r="AL64" s="83">
        <v>0</v>
      </c>
      <c r="AM64" s="83">
        <v>0</v>
      </c>
      <c r="AN64" s="83">
        <v>20780</v>
      </c>
      <c r="AO64" s="83">
        <v>39358</v>
      </c>
      <c r="AP64" s="83">
        <v>0</v>
      </c>
      <c r="AQ64" s="83">
        <v>18827</v>
      </c>
      <c r="AR64" s="83">
        <v>20287</v>
      </c>
      <c r="AS64" s="83">
        <v>13586</v>
      </c>
      <c r="AT64" s="83">
        <v>0</v>
      </c>
      <c r="AU64" s="83">
        <v>10650</v>
      </c>
      <c r="AV64" s="83">
        <v>10650</v>
      </c>
      <c r="AW64" s="83">
        <v>13988.5</v>
      </c>
      <c r="AX64" s="83">
        <v>0</v>
      </c>
      <c r="AY64" s="83">
        <v>0</v>
      </c>
      <c r="AZ64" s="83">
        <v>13988.5</v>
      </c>
      <c r="BA64" s="83">
        <v>8496</v>
      </c>
      <c r="BB64" s="83">
        <v>15245.5</v>
      </c>
      <c r="BC64" s="83">
        <v>15245.5</v>
      </c>
      <c r="BD64" s="83">
        <v>541144</v>
      </c>
    </row>
    <row r="65" spans="1:56" s="525" customFormat="1" ht="15" customHeight="1" x14ac:dyDescent="0.35">
      <c r="A65" s="523" t="s">
        <v>150</v>
      </c>
      <c r="B65" s="524" t="s">
        <v>87</v>
      </c>
      <c r="C65" s="524" t="str">
        <f>VLOOKUP(A65,'TB Apr 24'!$A$11:$D$103,4,0)</f>
        <v>Other Utility Charges</v>
      </c>
      <c r="D65" s="83">
        <v>0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47604</v>
      </c>
      <c r="K65" s="83">
        <v>0</v>
      </c>
      <c r="L65" s="83">
        <v>61542.5</v>
      </c>
      <c r="M65" s="83">
        <v>61542.5</v>
      </c>
      <c r="N65" s="83">
        <v>0</v>
      </c>
      <c r="O65" s="83">
        <v>0</v>
      </c>
      <c r="P65" s="83">
        <v>0</v>
      </c>
      <c r="Q65" s="83">
        <v>90542</v>
      </c>
      <c r="R65" s="83">
        <v>58416</v>
      </c>
      <c r="S65" s="83">
        <v>0</v>
      </c>
      <c r="T65" s="83">
        <v>97634</v>
      </c>
      <c r="U65" s="83">
        <v>0</v>
      </c>
      <c r="V65" s="83">
        <v>119232.8</v>
      </c>
      <c r="W65" s="83">
        <v>60119.5</v>
      </c>
      <c r="X65" s="83">
        <v>119232.8</v>
      </c>
      <c r="Y65" s="83">
        <v>0</v>
      </c>
      <c r="Z65" s="83">
        <v>0</v>
      </c>
      <c r="AA65" s="83">
        <v>0</v>
      </c>
      <c r="AB65" s="83">
        <v>54665.360195820002</v>
      </c>
      <c r="AC65" s="83">
        <v>62374.046318960653</v>
      </c>
      <c r="AD65" s="83">
        <v>33680.603527270447</v>
      </c>
      <c r="AE65" s="83">
        <v>69391.989957948914</v>
      </c>
      <c r="AF65" s="83">
        <v>33089</v>
      </c>
      <c r="AG65" s="83">
        <v>48219</v>
      </c>
      <c r="AH65" s="83">
        <v>0</v>
      </c>
      <c r="AI65" s="83">
        <v>0</v>
      </c>
      <c r="AJ65" s="83">
        <v>0</v>
      </c>
      <c r="AK65" s="83">
        <v>0</v>
      </c>
      <c r="AL65" s="83">
        <v>0</v>
      </c>
      <c r="AM65" s="83">
        <v>0</v>
      </c>
      <c r="AN65" s="83">
        <v>90902</v>
      </c>
      <c r="AO65" s="83">
        <v>0</v>
      </c>
      <c r="AP65" s="83">
        <v>0</v>
      </c>
      <c r="AQ65" s="83">
        <v>210250</v>
      </c>
      <c r="AR65" s="83">
        <v>24509</v>
      </c>
      <c r="AS65" s="83">
        <v>55904</v>
      </c>
      <c r="AT65" s="83">
        <v>0</v>
      </c>
      <c r="AU65" s="83">
        <v>41291</v>
      </c>
      <c r="AV65" s="83">
        <v>41291</v>
      </c>
      <c r="AW65" s="83">
        <v>38623</v>
      </c>
      <c r="AX65" s="83">
        <v>0</v>
      </c>
      <c r="AY65" s="83">
        <v>0</v>
      </c>
      <c r="AZ65" s="83">
        <v>38623</v>
      </c>
      <c r="BA65" s="83">
        <v>0</v>
      </c>
      <c r="BB65" s="83">
        <v>76282</v>
      </c>
      <c r="BC65" s="83">
        <v>76282</v>
      </c>
      <c r="BD65" s="83">
        <v>1711243</v>
      </c>
    </row>
    <row r="66" spans="1:56" s="525" customFormat="1" ht="15" customHeight="1" x14ac:dyDescent="0.35">
      <c r="A66" s="523" t="s">
        <v>151</v>
      </c>
      <c r="B66" s="524" t="s">
        <v>152</v>
      </c>
      <c r="C66" s="524" t="str">
        <f>VLOOKUP(A66,'TB Apr 24'!$A$11:$D$103,4,0)</f>
        <v>Other Utility Charges</v>
      </c>
      <c r="D66" s="83">
        <v>0</v>
      </c>
      <c r="E66" s="83">
        <v>8885</v>
      </c>
      <c r="F66" s="83">
        <v>0</v>
      </c>
      <c r="G66" s="83">
        <v>11934</v>
      </c>
      <c r="H66" s="83">
        <v>2560</v>
      </c>
      <c r="I66" s="83">
        <v>0</v>
      </c>
      <c r="J66" s="83">
        <v>3751</v>
      </c>
      <c r="K66" s="83">
        <v>0</v>
      </c>
      <c r="L66" s="83">
        <v>4116</v>
      </c>
      <c r="M66" s="83">
        <v>4116</v>
      </c>
      <c r="N66" s="83">
        <v>0</v>
      </c>
      <c r="O66" s="83">
        <v>0</v>
      </c>
      <c r="P66" s="83">
        <v>0</v>
      </c>
      <c r="Q66" s="83">
        <v>6769</v>
      </c>
      <c r="R66" s="83">
        <v>4368</v>
      </c>
      <c r="S66" s="83">
        <v>0</v>
      </c>
      <c r="T66" s="83">
        <v>7301</v>
      </c>
      <c r="U66" s="83">
        <v>0</v>
      </c>
      <c r="V66" s="83">
        <v>3721.625</v>
      </c>
      <c r="W66" s="83">
        <v>1876.12</v>
      </c>
      <c r="X66" s="83">
        <v>3721.625</v>
      </c>
      <c r="Y66" s="83">
        <v>0</v>
      </c>
      <c r="Z66" s="83">
        <v>0</v>
      </c>
      <c r="AA66" s="83">
        <v>0</v>
      </c>
      <c r="AB66" s="83">
        <v>12240.300131801921</v>
      </c>
      <c r="AC66" s="83">
        <v>13966.377330069667</v>
      </c>
      <c r="AD66" s="83">
        <v>7541.5344254063893</v>
      </c>
      <c r="AE66" s="83">
        <v>15537.788112722024</v>
      </c>
      <c r="AF66" s="83">
        <v>5456</v>
      </c>
      <c r="AG66" s="83">
        <v>7220</v>
      </c>
      <c r="AH66" s="83">
        <v>0</v>
      </c>
      <c r="AI66" s="83">
        <v>0</v>
      </c>
      <c r="AJ66" s="83">
        <v>0</v>
      </c>
      <c r="AK66" s="83">
        <v>0</v>
      </c>
      <c r="AL66" s="83">
        <v>0</v>
      </c>
      <c r="AM66" s="83">
        <v>0</v>
      </c>
      <c r="AN66" s="83">
        <v>9876</v>
      </c>
      <c r="AO66" s="83">
        <v>0</v>
      </c>
      <c r="AP66" s="83">
        <v>0</v>
      </c>
      <c r="AQ66" s="83">
        <v>22843</v>
      </c>
      <c r="AR66" s="83">
        <v>2849</v>
      </c>
      <c r="AS66" s="83">
        <v>6505</v>
      </c>
      <c r="AT66" s="83">
        <v>0</v>
      </c>
      <c r="AU66" s="83">
        <v>4802.5</v>
      </c>
      <c r="AV66" s="83">
        <v>4802.5</v>
      </c>
      <c r="AW66" s="83">
        <v>3377.5</v>
      </c>
      <c r="AX66" s="83">
        <v>0</v>
      </c>
      <c r="AY66" s="83">
        <v>0</v>
      </c>
      <c r="AZ66" s="83">
        <v>3377.5</v>
      </c>
      <c r="BA66" s="83">
        <v>0</v>
      </c>
      <c r="BB66" s="83">
        <v>8963</v>
      </c>
      <c r="BC66" s="83">
        <v>8963</v>
      </c>
      <c r="BD66" s="83">
        <v>201440</v>
      </c>
    </row>
    <row r="67" spans="1:56" s="525" customFormat="1" ht="15" customHeight="1" x14ac:dyDescent="0.35">
      <c r="A67" s="523" t="s">
        <v>153</v>
      </c>
      <c r="B67" s="524" t="s">
        <v>154</v>
      </c>
      <c r="C67" s="524" t="str">
        <f>VLOOKUP(A67,'TB Apr 24'!$A$11:$D$103,4,0)</f>
        <v>Other Utility Charges</v>
      </c>
      <c r="D67" s="83">
        <v>4138</v>
      </c>
      <c r="E67" s="83">
        <v>12222</v>
      </c>
      <c r="F67" s="83">
        <v>0</v>
      </c>
      <c r="G67" s="83">
        <v>12346</v>
      </c>
      <c r="H67" s="83">
        <v>3996</v>
      </c>
      <c r="I67" s="83">
        <v>7769</v>
      </c>
      <c r="J67" s="83">
        <v>40548.160000000003</v>
      </c>
      <c r="K67" s="83">
        <v>0</v>
      </c>
      <c r="L67" s="83">
        <v>11238.34</v>
      </c>
      <c r="M67" s="83">
        <v>11236.34</v>
      </c>
      <c r="N67" s="83">
        <v>0</v>
      </c>
      <c r="O67" s="83">
        <v>0</v>
      </c>
      <c r="P67" s="83">
        <v>0</v>
      </c>
      <c r="Q67" s="83">
        <v>17823</v>
      </c>
      <c r="R67" s="83">
        <v>14021</v>
      </c>
      <c r="S67" s="83">
        <v>0</v>
      </c>
      <c r="T67" s="83">
        <v>20850</v>
      </c>
      <c r="U67" s="83">
        <v>0</v>
      </c>
      <c r="V67" s="83">
        <v>4980</v>
      </c>
      <c r="W67" s="83">
        <v>27284.880000000001</v>
      </c>
      <c r="X67" s="83">
        <v>4980</v>
      </c>
      <c r="Y67" s="83">
        <v>9123</v>
      </c>
      <c r="Z67" s="83">
        <v>13960</v>
      </c>
      <c r="AA67" s="83">
        <v>0</v>
      </c>
      <c r="AB67" s="83">
        <v>9302.5386932781021</v>
      </c>
      <c r="AC67" s="83">
        <v>10614.344756166447</v>
      </c>
      <c r="AD67" s="83">
        <v>5731.5110776376077</v>
      </c>
      <c r="AE67" s="83">
        <v>11808.605472917843</v>
      </c>
      <c r="AF67" s="83">
        <v>18333</v>
      </c>
      <c r="AG67" s="83">
        <v>11598</v>
      </c>
      <c r="AH67" s="83">
        <v>0</v>
      </c>
      <c r="AI67" s="83">
        <v>0</v>
      </c>
      <c r="AJ67" s="83">
        <v>0</v>
      </c>
      <c r="AK67" s="83">
        <v>0</v>
      </c>
      <c r="AL67" s="83">
        <v>0</v>
      </c>
      <c r="AM67" s="83">
        <v>0</v>
      </c>
      <c r="AN67" s="83">
        <v>139192</v>
      </c>
      <c r="AO67" s="83">
        <v>0</v>
      </c>
      <c r="AP67" s="83">
        <v>0</v>
      </c>
      <c r="AQ67" s="83">
        <v>44714</v>
      </c>
      <c r="AR67" s="83">
        <v>13062</v>
      </c>
      <c r="AS67" s="83">
        <v>30668</v>
      </c>
      <c r="AT67" s="83">
        <v>0</v>
      </c>
      <c r="AU67" s="83">
        <v>19712</v>
      </c>
      <c r="AV67" s="83">
        <v>19712</v>
      </c>
      <c r="AW67" s="83">
        <v>2716</v>
      </c>
      <c r="AX67" s="83">
        <v>0</v>
      </c>
      <c r="AY67" s="83">
        <v>0</v>
      </c>
      <c r="AZ67" s="83">
        <v>2716</v>
      </c>
      <c r="BA67" s="83">
        <v>10225</v>
      </c>
      <c r="BB67" s="83">
        <v>61777</v>
      </c>
      <c r="BC67" s="83">
        <v>61777</v>
      </c>
      <c r="BD67" s="83">
        <v>690175</v>
      </c>
    </row>
    <row r="68" spans="1:56" ht="15" customHeight="1" x14ac:dyDescent="0.35">
      <c r="A68" s="3" t="s">
        <v>155</v>
      </c>
      <c r="B68" s="4" t="s">
        <v>156</v>
      </c>
      <c r="C68" s="4" t="str">
        <f>VLOOKUP(A68,'TB Apr 24'!$A$11:$D$103,4,0)</f>
        <v>Other Utility Charges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4476.01</v>
      </c>
      <c r="J68" s="5">
        <v>3993.97</v>
      </c>
      <c r="K68" s="5">
        <v>0</v>
      </c>
      <c r="L68" s="5">
        <v>4476.01</v>
      </c>
      <c r="M68" s="5">
        <v>4476.01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2497</v>
      </c>
      <c r="AO68" s="5">
        <v>0</v>
      </c>
      <c r="AP68" s="5">
        <v>0</v>
      </c>
      <c r="AQ68" s="5">
        <v>0</v>
      </c>
      <c r="AR68" s="5">
        <v>2011</v>
      </c>
      <c r="AS68" s="5">
        <v>1276</v>
      </c>
      <c r="AT68" s="5">
        <v>0</v>
      </c>
      <c r="AU68" s="5">
        <v>970</v>
      </c>
      <c r="AV68" s="5">
        <v>970</v>
      </c>
      <c r="AW68" s="5">
        <v>0</v>
      </c>
      <c r="AX68" s="5">
        <v>0</v>
      </c>
      <c r="AY68" s="5">
        <v>0</v>
      </c>
      <c r="AZ68" s="5">
        <v>0</v>
      </c>
      <c r="BA68" s="5">
        <v>177</v>
      </c>
      <c r="BB68" s="5">
        <v>616</v>
      </c>
      <c r="BC68" s="5">
        <v>616</v>
      </c>
      <c r="BD68" s="5">
        <v>26555</v>
      </c>
    </row>
    <row r="69" spans="1:56" ht="15" customHeight="1" x14ac:dyDescent="0.35">
      <c r="A69" s="3" t="s">
        <v>157</v>
      </c>
      <c r="B69" s="4" t="s">
        <v>158</v>
      </c>
      <c r="C69" s="4" t="str">
        <f>VLOOKUP(A69,'TB Apr 24'!$A$11:$D$103,4,0)</f>
        <v>Fixed Marketing retainer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5000</v>
      </c>
      <c r="K69" s="5">
        <v>0</v>
      </c>
      <c r="L69" s="5">
        <v>148500</v>
      </c>
      <c r="M69" s="5">
        <v>0</v>
      </c>
      <c r="N69" s="5">
        <v>125000</v>
      </c>
      <c r="O69" s="5">
        <v>0</v>
      </c>
      <c r="P69" s="5">
        <v>0</v>
      </c>
      <c r="Q69" s="5">
        <v>0</v>
      </c>
      <c r="R69" s="5">
        <v>27000</v>
      </c>
      <c r="S69" s="5">
        <v>0</v>
      </c>
      <c r="T69" s="5">
        <v>35000</v>
      </c>
      <c r="U69" s="5">
        <v>0</v>
      </c>
      <c r="V69" s="5">
        <v>99000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35000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21451</v>
      </c>
      <c r="AM69" s="5">
        <v>0</v>
      </c>
      <c r="AN69" s="5">
        <v>3000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60000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558951</v>
      </c>
    </row>
    <row r="70" spans="1:56" ht="15" customHeight="1" x14ac:dyDescent="0.35">
      <c r="A70" s="3" t="s">
        <v>159</v>
      </c>
      <c r="B70" s="4" t="s">
        <v>160</v>
      </c>
      <c r="C70" s="4" t="str">
        <f>VLOOKUP(A70,'TB Apr 24'!$A$11:$D$103,4,0)</f>
        <v>Kitchen Equipments and Utensils (Hire)</v>
      </c>
      <c r="D70" s="5">
        <v>2761</v>
      </c>
      <c r="E70" s="5">
        <v>0</v>
      </c>
      <c r="F70" s="5">
        <v>0</v>
      </c>
      <c r="G70" s="5">
        <v>0</v>
      </c>
      <c r="H70" s="5">
        <v>80</v>
      </c>
      <c r="I70" s="5">
        <v>14430</v>
      </c>
      <c r="J70" s="5">
        <v>2900</v>
      </c>
      <c r="K70" s="5">
        <v>0</v>
      </c>
      <c r="L70" s="5">
        <v>3000</v>
      </c>
      <c r="M70" s="5">
        <v>18470</v>
      </c>
      <c r="N70" s="5">
        <v>0</v>
      </c>
      <c r="O70" s="5">
        <v>0</v>
      </c>
      <c r="P70" s="5">
        <v>0</v>
      </c>
      <c r="Q70" s="5">
        <v>0</v>
      </c>
      <c r="R70" s="5">
        <v>4885</v>
      </c>
      <c r="S70" s="5">
        <v>0</v>
      </c>
      <c r="T70" s="5">
        <v>51276</v>
      </c>
      <c r="U70" s="5">
        <v>0</v>
      </c>
      <c r="V70" s="5">
        <v>6800</v>
      </c>
      <c r="W70" s="5">
        <v>0</v>
      </c>
      <c r="X70" s="5">
        <v>1250</v>
      </c>
      <c r="Y70" s="5">
        <v>0</v>
      </c>
      <c r="Z70" s="5">
        <v>0</v>
      </c>
      <c r="AA70" s="5">
        <v>0</v>
      </c>
      <c r="AB70" s="5">
        <v>1400</v>
      </c>
      <c r="AC70" s="5">
        <v>0</v>
      </c>
      <c r="AD70" s="5">
        <v>0</v>
      </c>
      <c r="AE70" s="5">
        <v>39115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17000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163367</v>
      </c>
    </row>
    <row r="71" spans="1:56" ht="15" customHeight="1" x14ac:dyDescent="0.35">
      <c r="A71" s="3" t="s">
        <v>548</v>
      </c>
      <c r="B71" s="4" t="s">
        <v>549</v>
      </c>
      <c r="C71" s="4" t="str">
        <f>VLOOKUP(A71,'TB Apr 24'!$A$11:$D$103,4,0)</f>
        <v>License Expenses and Fees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17674</v>
      </c>
      <c r="J71" s="5">
        <v>17674</v>
      </c>
      <c r="K71" s="5">
        <v>0</v>
      </c>
      <c r="L71" s="5">
        <v>17674</v>
      </c>
      <c r="M71" s="5">
        <v>17674</v>
      </c>
      <c r="N71" s="5">
        <v>0</v>
      </c>
      <c r="O71" s="5">
        <v>0</v>
      </c>
      <c r="P71" s="5">
        <v>0</v>
      </c>
      <c r="Q71" s="5">
        <v>4504</v>
      </c>
      <c r="R71" s="5">
        <v>74224</v>
      </c>
      <c r="S71" s="5">
        <v>0</v>
      </c>
      <c r="T71" s="5">
        <v>83366</v>
      </c>
      <c r="U71" s="5">
        <v>0</v>
      </c>
      <c r="V71" s="5">
        <v>62261</v>
      </c>
      <c r="W71" s="5">
        <v>124522</v>
      </c>
      <c r="X71" s="5">
        <v>62261</v>
      </c>
      <c r="Y71" s="5">
        <v>52303</v>
      </c>
      <c r="Z71" s="5">
        <v>0</v>
      </c>
      <c r="AA71" s="5">
        <v>0</v>
      </c>
      <c r="AB71" s="5">
        <v>19680</v>
      </c>
      <c r="AC71" s="5">
        <v>19680</v>
      </c>
      <c r="AD71" s="5">
        <v>19680</v>
      </c>
      <c r="AE71" s="5">
        <v>19680</v>
      </c>
      <c r="AF71" s="5">
        <v>0</v>
      </c>
      <c r="AG71" s="5">
        <v>73048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74223</v>
      </c>
      <c r="AS71" s="5">
        <v>74264</v>
      </c>
      <c r="AT71" s="5">
        <v>0</v>
      </c>
      <c r="AU71" s="5">
        <v>38935</v>
      </c>
      <c r="AV71" s="5">
        <v>38935</v>
      </c>
      <c r="AW71" s="5">
        <v>34029</v>
      </c>
      <c r="AX71" s="5">
        <v>0</v>
      </c>
      <c r="AY71" s="5">
        <v>0</v>
      </c>
      <c r="AZ71" s="5">
        <v>34029</v>
      </c>
      <c r="BA71" s="5">
        <v>0</v>
      </c>
      <c r="BB71" s="5">
        <v>34029</v>
      </c>
      <c r="BC71" s="5">
        <v>34029</v>
      </c>
      <c r="BD71" s="5">
        <v>1048378</v>
      </c>
    </row>
    <row r="72" spans="1:56" ht="15" customHeight="1" x14ac:dyDescent="0.35">
      <c r="A72" s="3" t="s">
        <v>484</v>
      </c>
      <c r="B72" s="4" t="s">
        <v>485</v>
      </c>
      <c r="C72" s="4" t="str">
        <f>VLOOKUP(A72,'TB Apr 24'!$A$11:$D$103,4,0)</f>
        <v>License Expenses and Fees</v>
      </c>
      <c r="D72" s="5">
        <v>0</v>
      </c>
      <c r="E72" s="5">
        <v>0</v>
      </c>
      <c r="F72" s="5">
        <v>0</v>
      </c>
      <c r="G72" s="5">
        <v>50043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46150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60782</v>
      </c>
      <c r="U72" s="5">
        <v>0</v>
      </c>
      <c r="V72" s="5">
        <v>0</v>
      </c>
      <c r="W72" s="5">
        <v>0</v>
      </c>
      <c r="X72" s="5">
        <v>28626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92609</v>
      </c>
      <c r="AR72" s="5">
        <v>0</v>
      </c>
      <c r="AS72" s="5">
        <v>0</v>
      </c>
      <c r="AT72" s="5">
        <v>0</v>
      </c>
      <c r="AU72" s="5">
        <v>0</v>
      </c>
      <c r="AV72" s="5">
        <v>34877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64404</v>
      </c>
      <c r="BC72" s="5">
        <v>0</v>
      </c>
      <c r="BD72" s="5">
        <v>377491</v>
      </c>
    </row>
    <row r="73" spans="1:56" ht="15" customHeight="1" x14ac:dyDescent="0.35">
      <c r="A73" s="3" t="s">
        <v>161</v>
      </c>
      <c r="B73" s="4" t="s">
        <v>162</v>
      </c>
      <c r="C73" s="4" t="str">
        <f>VLOOKUP(A73,'TB Apr 24'!$A$11:$D$103,4,0)</f>
        <v>Kitchen Equipments and Utensils (Hire)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7953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103252</v>
      </c>
      <c r="U73" s="5">
        <v>0</v>
      </c>
      <c r="V73" s="5">
        <v>925</v>
      </c>
      <c r="W73" s="5">
        <v>2000</v>
      </c>
      <c r="X73" s="5">
        <v>0</v>
      </c>
      <c r="Y73" s="5">
        <v>0</v>
      </c>
      <c r="Z73" s="5">
        <v>0</v>
      </c>
      <c r="AA73" s="5">
        <v>0</v>
      </c>
      <c r="AB73" s="5">
        <v>195</v>
      </c>
      <c r="AC73" s="5">
        <v>0</v>
      </c>
      <c r="AD73" s="5">
        <v>0</v>
      </c>
      <c r="AE73" s="5">
        <v>111731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8700</v>
      </c>
      <c r="BB73" s="5">
        <v>24310</v>
      </c>
      <c r="BC73" s="5">
        <v>0</v>
      </c>
      <c r="BD73" s="5">
        <v>259066</v>
      </c>
    </row>
    <row r="74" spans="1:56" ht="15" customHeight="1" x14ac:dyDescent="0.35">
      <c r="A74" s="3" t="s">
        <v>163</v>
      </c>
      <c r="B74" s="4" t="s">
        <v>164</v>
      </c>
      <c r="C74" s="4" t="str">
        <f>VLOOKUP(A74,'TB Apr 24'!$A$11:$D$103,4,0)</f>
        <v>Outsourced Manpower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8620</v>
      </c>
      <c r="K74" s="5">
        <v>0</v>
      </c>
      <c r="L74" s="5">
        <v>36700</v>
      </c>
      <c r="M74" s="5">
        <v>0</v>
      </c>
      <c r="N74" s="5">
        <v>0</v>
      </c>
      <c r="O74" s="5">
        <v>0</v>
      </c>
      <c r="P74" s="5">
        <v>0</v>
      </c>
      <c r="Q74" s="5">
        <v>1300</v>
      </c>
      <c r="R74" s="5">
        <v>26593</v>
      </c>
      <c r="S74" s="5">
        <v>0</v>
      </c>
      <c r="T74" s="5">
        <v>29666</v>
      </c>
      <c r="U74" s="5">
        <v>0</v>
      </c>
      <c r="V74" s="5">
        <v>0</v>
      </c>
      <c r="W74" s="5">
        <v>1500</v>
      </c>
      <c r="X74" s="5">
        <v>0</v>
      </c>
      <c r="Y74" s="5">
        <v>2400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10440</v>
      </c>
      <c r="AG74" s="5">
        <v>0</v>
      </c>
      <c r="AH74" s="5">
        <v>0</v>
      </c>
      <c r="AI74" s="5">
        <v>2000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3000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122219</v>
      </c>
    </row>
    <row r="75" spans="1:56" ht="15" customHeight="1" x14ac:dyDescent="0.35">
      <c r="A75" s="3" t="s">
        <v>165</v>
      </c>
      <c r="B75" s="4" t="s">
        <v>166</v>
      </c>
      <c r="C75" s="4" t="str">
        <f>VLOOKUP(A75,'TB Apr 24'!$A$11:$D$103,4,0)</f>
        <v>Consumables</v>
      </c>
      <c r="D75" s="5">
        <v>31267</v>
      </c>
      <c r="E75" s="5">
        <v>28391</v>
      </c>
      <c r="F75" s="5">
        <v>0</v>
      </c>
      <c r="G75" s="5">
        <v>29594</v>
      </c>
      <c r="H75" s="5">
        <v>13760</v>
      </c>
      <c r="I75" s="5">
        <v>14449</v>
      </c>
      <c r="J75" s="5">
        <v>100</v>
      </c>
      <c r="K75" s="5">
        <v>21620</v>
      </c>
      <c r="L75" s="5">
        <v>0</v>
      </c>
      <c r="M75" s="5">
        <v>5086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2319</v>
      </c>
      <c r="T75" s="5">
        <v>0</v>
      </c>
      <c r="U75" s="5">
        <v>72042</v>
      </c>
      <c r="V75" s="5">
        <v>1478</v>
      </c>
      <c r="W75" s="5">
        <v>0</v>
      </c>
      <c r="X75" s="5">
        <v>500</v>
      </c>
      <c r="Y75" s="5">
        <v>1128</v>
      </c>
      <c r="Z75" s="5">
        <v>10747</v>
      </c>
      <c r="AA75" s="5">
        <v>0</v>
      </c>
      <c r="AB75" s="5">
        <v>3130</v>
      </c>
      <c r="AC75" s="5">
        <v>26745</v>
      </c>
      <c r="AD75" s="5">
        <v>20690</v>
      </c>
      <c r="AE75" s="5">
        <v>3265</v>
      </c>
      <c r="AF75" s="5">
        <v>0</v>
      </c>
      <c r="AG75" s="5">
        <v>29233</v>
      </c>
      <c r="AH75" s="5">
        <v>50561</v>
      </c>
      <c r="AI75" s="5">
        <v>1220</v>
      </c>
      <c r="AJ75" s="5">
        <v>0</v>
      </c>
      <c r="AK75" s="5">
        <v>7840</v>
      </c>
      <c r="AL75" s="5">
        <v>617965</v>
      </c>
      <c r="AM75" s="5">
        <v>0</v>
      </c>
      <c r="AN75" s="5">
        <v>32814</v>
      </c>
      <c r="AO75" s="5">
        <v>240</v>
      </c>
      <c r="AP75" s="5">
        <v>29170</v>
      </c>
      <c r="AQ75" s="5">
        <v>99755</v>
      </c>
      <c r="AR75" s="5">
        <v>8825</v>
      </c>
      <c r="AS75" s="5">
        <v>15402</v>
      </c>
      <c r="AT75" s="5">
        <v>0</v>
      </c>
      <c r="AU75" s="5">
        <v>9658</v>
      </c>
      <c r="AV75" s="5">
        <v>9658</v>
      </c>
      <c r="AW75" s="5">
        <v>30253</v>
      </c>
      <c r="AX75" s="5">
        <v>0</v>
      </c>
      <c r="AY75" s="5">
        <v>0</v>
      </c>
      <c r="AZ75" s="5">
        <v>130657</v>
      </c>
      <c r="BA75" s="5">
        <v>57042</v>
      </c>
      <c r="BB75" s="5">
        <v>137691</v>
      </c>
      <c r="BC75" s="5">
        <v>81547</v>
      </c>
      <c r="BD75" s="5">
        <v>1635842</v>
      </c>
    </row>
    <row r="76" spans="1:56" ht="15" customHeight="1" x14ac:dyDescent="0.35">
      <c r="A76" s="3" t="s">
        <v>167</v>
      </c>
      <c r="B76" s="4" t="s">
        <v>168</v>
      </c>
      <c r="C76" s="4" t="str">
        <f>VLOOKUP(A76,'TB Apr 24'!$A$11:$D$103,4,0)</f>
        <v>Other Operational Expenses</v>
      </c>
      <c r="D76" s="5">
        <v>0</v>
      </c>
      <c r="E76" s="5">
        <v>0</v>
      </c>
      <c r="F76" s="5">
        <v>0</v>
      </c>
      <c r="G76" s="5">
        <v>0</v>
      </c>
      <c r="H76" s="5">
        <v>28900</v>
      </c>
      <c r="I76" s="5">
        <v>8249</v>
      </c>
      <c r="J76" s="5">
        <v>9646</v>
      </c>
      <c r="K76" s="5">
        <v>0</v>
      </c>
      <c r="L76" s="5">
        <v>6708</v>
      </c>
      <c r="M76" s="5">
        <v>8695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2598</v>
      </c>
      <c r="Z76" s="5">
        <v>0</v>
      </c>
      <c r="AA76" s="5">
        <v>0</v>
      </c>
      <c r="AB76" s="5">
        <v>6488</v>
      </c>
      <c r="AC76" s="5">
        <v>6806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10799</v>
      </c>
      <c r="AS76" s="5">
        <v>9779</v>
      </c>
      <c r="AT76" s="5">
        <v>0</v>
      </c>
      <c r="AU76" s="5">
        <v>9269.5</v>
      </c>
      <c r="AV76" s="5">
        <v>9269.5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117207</v>
      </c>
    </row>
    <row r="77" spans="1:56" ht="15" customHeight="1" x14ac:dyDescent="0.35">
      <c r="A77" s="3" t="s">
        <v>169</v>
      </c>
      <c r="B77" s="4" t="s">
        <v>170</v>
      </c>
      <c r="C77" s="4" t="str">
        <f>VLOOKUP(A77,'TB Apr 24'!$A$11:$D$103,4,0)</f>
        <v>Consumables</v>
      </c>
      <c r="D77" s="5">
        <v>11703</v>
      </c>
      <c r="E77" s="5">
        <v>26270</v>
      </c>
      <c r="F77" s="5">
        <v>0</v>
      </c>
      <c r="G77" s="5">
        <v>9945</v>
      </c>
      <c r="H77" s="5">
        <v>30232</v>
      </c>
      <c r="I77" s="5">
        <v>0</v>
      </c>
      <c r="J77" s="5">
        <v>0</v>
      </c>
      <c r="K77" s="5">
        <v>15930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10620</v>
      </c>
      <c r="R77" s="5">
        <v>29654</v>
      </c>
      <c r="S77" s="5">
        <v>0</v>
      </c>
      <c r="T77" s="5">
        <v>9055</v>
      </c>
      <c r="U77" s="5">
        <v>26954</v>
      </c>
      <c r="V77" s="5">
        <v>925</v>
      </c>
      <c r="W77" s="5">
        <v>0</v>
      </c>
      <c r="X77" s="5">
        <v>0</v>
      </c>
      <c r="Y77" s="5">
        <v>14285</v>
      </c>
      <c r="Z77" s="5">
        <v>9150</v>
      </c>
      <c r="AA77" s="5">
        <v>0</v>
      </c>
      <c r="AB77" s="5">
        <v>7520</v>
      </c>
      <c r="AC77" s="5">
        <v>54119</v>
      </c>
      <c r="AD77" s="5">
        <v>28209</v>
      </c>
      <c r="AE77" s="5">
        <v>16120</v>
      </c>
      <c r="AF77" s="5">
        <v>25343</v>
      </c>
      <c r="AG77" s="5">
        <v>94749</v>
      </c>
      <c r="AH77" s="5">
        <v>0</v>
      </c>
      <c r="AI77" s="5">
        <v>0</v>
      </c>
      <c r="AJ77" s="5">
        <v>0</v>
      </c>
      <c r="AK77" s="5">
        <v>5813</v>
      </c>
      <c r="AL77" s="5">
        <v>130482</v>
      </c>
      <c r="AM77" s="5">
        <v>0</v>
      </c>
      <c r="AN77" s="5">
        <v>0</v>
      </c>
      <c r="AO77" s="5">
        <v>0</v>
      </c>
      <c r="AP77" s="5">
        <v>0</v>
      </c>
      <c r="AQ77" s="5">
        <v>18250</v>
      </c>
      <c r="AR77" s="5">
        <v>16350</v>
      </c>
      <c r="AS77" s="5">
        <v>35401</v>
      </c>
      <c r="AT77" s="5">
        <v>0</v>
      </c>
      <c r="AU77" s="5">
        <v>13903</v>
      </c>
      <c r="AV77" s="5">
        <v>13903</v>
      </c>
      <c r="AW77" s="5">
        <v>104180</v>
      </c>
      <c r="AX77" s="5">
        <v>0</v>
      </c>
      <c r="AY77" s="5">
        <v>0</v>
      </c>
      <c r="AZ77" s="5">
        <v>82145</v>
      </c>
      <c r="BA77" s="5">
        <v>228404</v>
      </c>
      <c r="BB77" s="5">
        <v>80288</v>
      </c>
      <c r="BC77" s="5">
        <v>106082</v>
      </c>
      <c r="BD77" s="5">
        <v>1255984</v>
      </c>
    </row>
    <row r="78" spans="1:56" ht="15" customHeight="1" x14ac:dyDescent="0.35">
      <c r="A78" s="3" t="s">
        <v>171</v>
      </c>
      <c r="B78" s="4" t="s">
        <v>172</v>
      </c>
      <c r="C78" s="4" t="str">
        <f>VLOOKUP(A78,'TB Apr 24'!$A$11:$D$103,4,0)</f>
        <v>CCGL Charges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66361</v>
      </c>
      <c r="J78" s="5">
        <v>92447</v>
      </c>
      <c r="K78" s="5">
        <v>0</v>
      </c>
      <c r="L78" s="5">
        <v>117197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276005</v>
      </c>
    </row>
    <row r="79" spans="1:56" ht="15" customHeight="1" x14ac:dyDescent="0.35">
      <c r="A79" s="3" t="s">
        <v>173</v>
      </c>
      <c r="B79" s="4" t="s">
        <v>174</v>
      </c>
      <c r="C79" s="4" t="str">
        <f>VLOOKUP(A79,'TB Apr 24'!$A$11:$D$103,4,0)</f>
        <v>Other Cost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16903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16903</v>
      </c>
    </row>
    <row r="80" spans="1:56" ht="15" customHeight="1" x14ac:dyDescent="0.35">
      <c r="A80" s="3" t="s">
        <v>175</v>
      </c>
      <c r="B80" s="4" t="s">
        <v>176</v>
      </c>
      <c r="C80" s="4" t="str">
        <f>VLOOKUP(A80,'TB Apr 24'!$A$11:$D$103,4,0)</f>
        <v>Other Cost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12000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12000</v>
      </c>
    </row>
    <row r="81" spans="1:56" ht="15" customHeight="1" x14ac:dyDescent="0.35">
      <c r="A81" s="3" t="s">
        <v>177</v>
      </c>
      <c r="B81" s="4" t="s">
        <v>178</v>
      </c>
      <c r="C81" s="4" t="str">
        <f>VLOOKUP(A81,'TB Apr 24'!$A$11:$D$103,4,0)</f>
        <v>Other Cost</v>
      </c>
      <c r="D81" s="5">
        <v>900</v>
      </c>
      <c r="E81" s="5">
        <v>1725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500</v>
      </c>
      <c r="S81" s="5">
        <v>0</v>
      </c>
      <c r="T81" s="5">
        <v>281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450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2250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300</v>
      </c>
      <c r="BA81" s="5">
        <v>4495</v>
      </c>
      <c r="BB81" s="5">
        <v>3016</v>
      </c>
      <c r="BC81" s="5">
        <v>2473</v>
      </c>
      <c r="BD81" s="5">
        <v>16390</v>
      </c>
    </row>
    <row r="82" spans="1:56" ht="15" customHeight="1" x14ac:dyDescent="0.35">
      <c r="A82" s="3" t="s">
        <v>179</v>
      </c>
      <c r="B82" s="4" t="s">
        <v>180</v>
      </c>
      <c r="C82" s="4" t="str">
        <f>VLOOKUP(A82,'TB Apr 24'!$A$11:$D$103,4,0)</f>
        <v>Other Operational Expenses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1000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356</v>
      </c>
      <c r="R82" s="5">
        <v>1300</v>
      </c>
      <c r="S82" s="5">
        <v>0</v>
      </c>
      <c r="T82" s="5">
        <v>500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480</v>
      </c>
      <c r="AT82" s="5">
        <v>0</v>
      </c>
      <c r="AU82" s="5">
        <v>1000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4636</v>
      </c>
    </row>
    <row r="83" spans="1:56" ht="15" customHeight="1" x14ac:dyDescent="0.35">
      <c r="A83" s="3" t="s">
        <v>181</v>
      </c>
      <c r="B83" s="4" t="s">
        <v>182</v>
      </c>
      <c r="C83" s="4" t="str">
        <f>VLOOKUP(A83,'TB Apr 24'!$A$11:$D$103,4,0)</f>
        <v>Staff Room Rent &amp; other</v>
      </c>
      <c r="D83" s="5">
        <v>2970</v>
      </c>
      <c r="E83" s="5">
        <v>2970</v>
      </c>
      <c r="F83" s="5">
        <v>0</v>
      </c>
      <c r="G83" s="5">
        <v>2970</v>
      </c>
      <c r="H83" s="5">
        <v>2970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2252</v>
      </c>
      <c r="Y83" s="5">
        <v>0</v>
      </c>
      <c r="Z83" s="5">
        <v>3910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17040</v>
      </c>
      <c r="AR83" s="5">
        <v>3210</v>
      </c>
      <c r="AS83" s="5">
        <v>2638</v>
      </c>
      <c r="AT83" s="5">
        <v>0</v>
      </c>
      <c r="AU83" s="5">
        <v>7340</v>
      </c>
      <c r="AV83" s="5">
        <v>7340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55610</v>
      </c>
    </row>
    <row r="84" spans="1:56" ht="15" customHeight="1" x14ac:dyDescent="0.35">
      <c r="A84" s="3" t="s">
        <v>183</v>
      </c>
      <c r="B84" s="4" t="s">
        <v>184</v>
      </c>
      <c r="C84" s="4" t="str">
        <f>VLOOKUP(A84,'TB Apr 24'!$A$11:$D$103,4,0)</f>
        <v>Staff Room Rent &amp; other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2700</v>
      </c>
      <c r="J84" s="5">
        <v>2700</v>
      </c>
      <c r="K84" s="5">
        <v>0</v>
      </c>
      <c r="L84" s="5">
        <v>2700</v>
      </c>
      <c r="M84" s="5">
        <v>2700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10800</v>
      </c>
    </row>
    <row r="85" spans="1:56" ht="15" customHeight="1" x14ac:dyDescent="0.35">
      <c r="A85" s="3" t="s">
        <v>185</v>
      </c>
      <c r="B85" s="4" t="s">
        <v>186</v>
      </c>
      <c r="C85" s="4" t="str">
        <f>VLOOKUP(A85,'TB Apr 24'!$A$11:$D$103,4,0)</f>
        <v>Staff Room Rent &amp; other</v>
      </c>
      <c r="D85" s="5">
        <v>4125</v>
      </c>
      <c r="E85" s="5">
        <v>4125</v>
      </c>
      <c r="F85" s="5">
        <v>133800</v>
      </c>
      <c r="G85" s="5">
        <v>4125</v>
      </c>
      <c r="H85" s="5">
        <v>4125</v>
      </c>
      <c r="I85" s="5">
        <v>74998.5</v>
      </c>
      <c r="J85" s="5">
        <v>79998.5</v>
      </c>
      <c r="K85" s="5">
        <v>0</v>
      </c>
      <c r="L85" s="5">
        <v>79998.5</v>
      </c>
      <c r="M85" s="5">
        <v>74998.5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33632</v>
      </c>
      <c r="W85" s="5">
        <v>33633</v>
      </c>
      <c r="X85" s="5">
        <v>33635</v>
      </c>
      <c r="Y85" s="5">
        <v>0</v>
      </c>
      <c r="Z85" s="5">
        <v>0</v>
      </c>
      <c r="AA85" s="5">
        <v>40000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10000</v>
      </c>
      <c r="AI85" s="5">
        <v>2500</v>
      </c>
      <c r="AJ85" s="5">
        <v>0</v>
      </c>
      <c r="AK85" s="5">
        <v>0</v>
      </c>
      <c r="AL85" s="5">
        <v>494450</v>
      </c>
      <c r="AM85" s="5">
        <v>0</v>
      </c>
      <c r="AN85" s="5">
        <v>0</v>
      </c>
      <c r="AO85" s="5">
        <v>0</v>
      </c>
      <c r="AP85" s="5">
        <v>0</v>
      </c>
      <c r="AQ85" s="5">
        <v>11500</v>
      </c>
      <c r="AR85" s="5">
        <v>22700</v>
      </c>
      <c r="AS85" s="5">
        <v>47700</v>
      </c>
      <c r="AT85" s="5">
        <v>0</v>
      </c>
      <c r="AU85" s="5">
        <v>68850</v>
      </c>
      <c r="AV85" s="5">
        <v>68850</v>
      </c>
      <c r="AW85" s="5">
        <v>33000</v>
      </c>
      <c r="AX85" s="5">
        <v>0</v>
      </c>
      <c r="AY85" s="5">
        <v>0</v>
      </c>
      <c r="AZ85" s="5">
        <v>87833</v>
      </c>
      <c r="BA85" s="5">
        <v>87833</v>
      </c>
      <c r="BB85" s="5">
        <v>87833</v>
      </c>
      <c r="BC85" s="5">
        <v>33000</v>
      </c>
      <c r="BD85" s="5">
        <v>1657243</v>
      </c>
    </row>
    <row r="86" spans="1:56" ht="15" customHeight="1" x14ac:dyDescent="0.35">
      <c r="A86" s="3" t="s">
        <v>187</v>
      </c>
      <c r="B86" s="4" t="s">
        <v>188</v>
      </c>
      <c r="C86" s="4" t="str">
        <f>VLOOKUP(A86,'TB Apr 24'!$A$11:$D$103,4,0)</f>
        <v>Staff Food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1805882.72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1805882.72</v>
      </c>
    </row>
    <row r="87" spans="1:56" ht="15" customHeight="1" x14ac:dyDescent="0.35">
      <c r="A87" s="3" t="s">
        <v>189</v>
      </c>
      <c r="B87" s="4" t="s">
        <v>190</v>
      </c>
      <c r="C87" s="4" t="str">
        <f>VLOOKUP(A87,'TB Apr 24'!$A$11:$D$103,4,0)</f>
        <v>Food and Beverage Cost</v>
      </c>
      <c r="D87" s="5">
        <v>54802</v>
      </c>
      <c r="E87" s="5">
        <v>131736</v>
      </c>
      <c r="F87" s="5">
        <v>0</v>
      </c>
      <c r="G87" s="5">
        <v>148860</v>
      </c>
      <c r="H87" s="5">
        <v>32871</v>
      </c>
      <c r="I87" s="5">
        <v>61756</v>
      </c>
      <c r="J87" s="5">
        <v>102191</v>
      </c>
      <c r="K87" s="5">
        <v>76022</v>
      </c>
      <c r="L87" s="5">
        <v>140096</v>
      </c>
      <c r="M87" s="5">
        <v>150226</v>
      </c>
      <c r="N87" s="5">
        <v>0</v>
      </c>
      <c r="O87" s="5">
        <v>0</v>
      </c>
      <c r="P87" s="5">
        <v>0</v>
      </c>
      <c r="Q87" s="5">
        <v>131764</v>
      </c>
      <c r="R87" s="5">
        <v>42454</v>
      </c>
      <c r="S87" s="5">
        <v>0</v>
      </c>
      <c r="T87" s="5">
        <v>147011</v>
      </c>
      <c r="U87" s="5">
        <v>16770</v>
      </c>
      <c r="V87" s="5">
        <v>45359</v>
      </c>
      <c r="W87" s="5">
        <v>92536</v>
      </c>
      <c r="X87" s="5">
        <v>80754</v>
      </c>
      <c r="Y87" s="5">
        <v>124351</v>
      </c>
      <c r="Z87" s="5">
        <v>119358</v>
      </c>
      <c r="AA87" s="5">
        <v>0</v>
      </c>
      <c r="AB87" s="5">
        <v>147260</v>
      </c>
      <c r="AC87" s="5">
        <v>343644</v>
      </c>
      <c r="AD87" s="5">
        <v>27900</v>
      </c>
      <c r="AE87" s="5">
        <v>210495</v>
      </c>
      <c r="AF87" s="5">
        <v>71682</v>
      </c>
      <c r="AG87" s="5">
        <v>49663</v>
      </c>
      <c r="AH87" s="5">
        <v>6604</v>
      </c>
      <c r="AI87" s="5">
        <v>3658</v>
      </c>
      <c r="AJ87" s="5">
        <v>0</v>
      </c>
      <c r="AK87" s="5">
        <v>7355</v>
      </c>
      <c r="AL87" s="5">
        <v>0</v>
      </c>
      <c r="AM87" s="5">
        <v>0</v>
      </c>
      <c r="AN87" s="5">
        <v>62563</v>
      </c>
      <c r="AO87" s="5">
        <v>263</v>
      </c>
      <c r="AP87" s="5">
        <v>0</v>
      </c>
      <c r="AQ87" s="5">
        <v>88073</v>
      </c>
      <c r="AR87" s="5">
        <v>140868</v>
      </c>
      <c r="AS87" s="5">
        <v>67138</v>
      </c>
      <c r="AT87" s="5">
        <v>41250</v>
      </c>
      <c r="AU87" s="5">
        <v>93154</v>
      </c>
      <c r="AV87" s="5">
        <v>92671</v>
      </c>
      <c r="AW87" s="5">
        <v>67867</v>
      </c>
      <c r="AX87" s="5">
        <v>0</v>
      </c>
      <c r="AY87" s="5">
        <v>0</v>
      </c>
      <c r="AZ87" s="5">
        <v>353872</v>
      </c>
      <c r="BA87" s="5">
        <v>76776</v>
      </c>
      <c r="BB87" s="5">
        <v>216451</v>
      </c>
      <c r="BC87" s="5">
        <v>25077</v>
      </c>
      <c r="BD87" s="5">
        <v>3893201</v>
      </c>
    </row>
    <row r="88" spans="1:56" ht="15" customHeight="1" x14ac:dyDescent="0.35">
      <c r="A88" s="3" t="s">
        <v>191</v>
      </c>
      <c r="B88" s="4" t="s">
        <v>192</v>
      </c>
      <c r="C88" s="4" t="str">
        <f>VLOOKUP(A88,'TB Apr 24'!$A$11:$D$103,4,0)</f>
        <v>Food and Beverage Cost</v>
      </c>
      <c r="D88" s="5">
        <v>42297</v>
      </c>
      <c r="E88" s="5">
        <v>24614</v>
      </c>
      <c r="F88" s="5">
        <v>0</v>
      </c>
      <c r="G88" s="5">
        <v>217035</v>
      </c>
      <c r="H88" s="5">
        <v>25474</v>
      </c>
      <c r="I88" s="5">
        <v>1973</v>
      </c>
      <c r="J88" s="5">
        <v>49806</v>
      </c>
      <c r="K88" s="5">
        <v>341358</v>
      </c>
      <c r="L88" s="5">
        <v>0</v>
      </c>
      <c r="M88" s="5">
        <v>3942</v>
      </c>
      <c r="N88" s="5">
        <v>0</v>
      </c>
      <c r="O88" s="5">
        <v>0</v>
      </c>
      <c r="P88" s="5">
        <v>0</v>
      </c>
      <c r="Q88" s="5">
        <v>159041</v>
      </c>
      <c r="R88" s="5">
        <v>82989</v>
      </c>
      <c r="S88" s="5">
        <v>0</v>
      </c>
      <c r="T88" s="5">
        <v>11095</v>
      </c>
      <c r="U88" s="5">
        <v>145945</v>
      </c>
      <c r="V88" s="5">
        <v>41332</v>
      </c>
      <c r="W88" s="5">
        <v>12086</v>
      </c>
      <c r="X88" s="5">
        <v>30307</v>
      </c>
      <c r="Y88" s="5">
        <v>105596</v>
      </c>
      <c r="Z88" s="5">
        <v>2949</v>
      </c>
      <c r="AA88" s="5">
        <v>213506</v>
      </c>
      <c r="AB88" s="5">
        <v>134694</v>
      </c>
      <c r="AC88" s="5">
        <v>11224</v>
      </c>
      <c r="AD88" s="5">
        <v>16605</v>
      </c>
      <c r="AE88" s="5">
        <v>105763</v>
      </c>
      <c r="AF88" s="5">
        <v>56813</v>
      </c>
      <c r="AG88" s="5">
        <v>11266</v>
      </c>
      <c r="AH88" s="5">
        <v>6975</v>
      </c>
      <c r="AI88" s="5">
        <v>5571</v>
      </c>
      <c r="AJ88" s="5">
        <v>0</v>
      </c>
      <c r="AK88" s="5">
        <v>5355</v>
      </c>
      <c r="AL88" s="5">
        <v>101936</v>
      </c>
      <c r="AM88" s="5">
        <v>0</v>
      </c>
      <c r="AN88" s="5">
        <v>19683</v>
      </c>
      <c r="AO88" s="5">
        <v>0</v>
      </c>
      <c r="AP88" s="5">
        <v>0</v>
      </c>
      <c r="AQ88" s="5">
        <v>111974</v>
      </c>
      <c r="AR88" s="5">
        <v>139345</v>
      </c>
      <c r="AS88" s="5">
        <v>10561</v>
      </c>
      <c r="AT88" s="5">
        <v>0</v>
      </c>
      <c r="AU88" s="5">
        <v>86134</v>
      </c>
      <c r="AV88" s="5">
        <v>72405</v>
      </c>
      <c r="AW88" s="5">
        <v>156791</v>
      </c>
      <c r="AX88" s="5">
        <v>0</v>
      </c>
      <c r="AY88" s="5">
        <v>0</v>
      </c>
      <c r="AZ88" s="5">
        <v>61610</v>
      </c>
      <c r="BA88" s="5">
        <v>287352</v>
      </c>
      <c r="BB88" s="5">
        <v>309106</v>
      </c>
      <c r="BC88" s="5">
        <v>75093</v>
      </c>
      <c r="BD88" s="5">
        <v>3297601</v>
      </c>
    </row>
    <row r="89" spans="1:56" ht="15" customHeight="1" x14ac:dyDescent="0.35">
      <c r="A89" s="3" t="s">
        <v>193</v>
      </c>
      <c r="B89" s="4" t="s">
        <v>194</v>
      </c>
      <c r="C89" s="4" t="str">
        <f>VLOOKUP(A89,'TB Apr 24'!$A$11:$D$103,4,0)</f>
        <v>Food and Beverage Cost</v>
      </c>
      <c r="D89" s="5">
        <v>127122</v>
      </c>
      <c r="E89" s="5">
        <v>477534</v>
      </c>
      <c r="F89" s="5">
        <v>2167651</v>
      </c>
      <c r="G89" s="5">
        <v>372955</v>
      </c>
      <c r="H89" s="5">
        <v>67550</v>
      </c>
      <c r="I89" s="5">
        <v>-13760</v>
      </c>
      <c r="J89" s="5">
        <v>-116183</v>
      </c>
      <c r="K89" s="5">
        <v>4342751</v>
      </c>
      <c r="L89" s="5">
        <v>2594</v>
      </c>
      <c r="M89" s="5">
        <v>4205</v>
      </c>
      <c r="N89" s="5">
        <v>-24556766.370000001</v>
      </c>
      <c r="O89" s="5">
        <v>0</v>
      </c>
      <c r="P89" s="5">
        <v>2130626</v>
      </c>
      <c r="Q89" s="5">
        <v>277383</v>
      </c>
      <c r="R89" s="5">
        <v>128449</v>
      </c>
      <c r="S89" s="5">
        <v>2201</v>
      </c>
      <c r="T89" s="5">
        <v>376975</v>
      </c>
      <c r="U89" s="5">
        <v>1768151</v>
      </c>
      <c r="V89" s="5">
        <v>-19624</v>
      </c>
      <c r="W89" s="5">
        <v>470</v>
      </c>
      <c r="X89" s="5">
        <v>33</v>
      </c>
      <c r="Y89" s="5">
        <v>153310</v>
      </c>
      <c r="Z89" s="5">
        <v>287675</v>
      </c>
      <c r="AA89" s="5">
        <v>5541607</v>
      </c>
      <c r="AB89" s="5">
        <v>239094</v>
      </c>
      <c r="AC89" s="5">
        <v>342373</v>
      </c>
      <c r="AD89" s="5">
        <v>147270</v>
      </c>
      <c r="AE89" s="5">
        <v>193268</v>
      </c>
      <c r="AF89" s="5">
        <v>101387</v>
      </c>
      <c r="AG89" s="5">
        <v>223407</v>
      </c>
      <c r="AH89" s="5">
        <v>21803</v>
      </c>
      <c r="AI89" s="5">
        <v>-85796</v>
      </c>
      <c r="AJ89" s="5">
        <v>14643</v>
      </c>
      <c r="AK89" s="5">
        <v>0</v>
      </c>
      <c r="AL89" s="5">
        <v>3208233</v>
      </c>
      <c r="AM89" s="5">
        <v>0</v>
      </c>
      <c r="AN89" s="5">
        <v>-121167</v>
      </c>
      <c r="AO89" s="5">
        <v>-268472</v>
      </c>
      <c r="AP89" s="5">
        <v>0</v>
      </c>
      <c r="AQ89" s="5">
        <v>65601</v>
      </c>
      <c r="AR89" s="5">
        <v>384367</v>
      </c>
      <c r="AS89" s="5">
        <v>-89265</v>
      </c>
      <c r="AT89" s="5">
        <v>2326179</v>
      </c>
      <c r="AU89" s="5">
        <v>138321</v>
      </c>
      <c r="AV89" s="5">
        <v>85440</v>
      </c>
      <c r="AW89" s="5">
        <v>468319</v>
      </c>
      <c r="AX89" s="5">
        <v>4389920</v>
      </c>
      <c r="AY89" s="5">
        <v>0</v>
      </c>
      <c r="AZ89" s="5">
        <v>983990</v>
      </c>
      <c r="BA89" s="5">
        <v>469675</v>
      </c>
      <c r="BB89" s="5">
        <v>295644</v>
      </c>
      <c r="BC89" s="5">
        <v>192967</v>
      </c>
      <c r="BD89" s="5">
        <v>7250109.6299999999</v>
      </c>
    </row>
    <row r="90" spans="1:56" ht="15" customHeight="1" x14ac:dyDescent="0.35">
      <c r="A90" s="3" t="s">
        <v>195</v>
      </c>
      <c r="B90" s="4" t="s">
        <v>196</v>
      </c>
      <c r="C90" s="4" t="str">
        <f>VLOOKUP(A90,'TB Apr 24'!$A$11:$D$103,4,0)</f>
        <v>Beverages Cost</v>
      </c>
      <c r="D90" s="5">
        <v>39298</v>
      </c>
      <c r="E90" s="5">
        <v>19311</v>
      </c>
      <c r="F90" s="5">
        <v>16682</v>
      </c>
      <c r="G90" s="5">
        <v>62385</v>
      </c>
      <c r="H90" s="5">
        <v>42409</v>
      </c>
      <c r="I90" s="5">
        <v>240</v>
      </c>
      <c r="J90" s="5">
        <v>0</v>
      </c>
      <c r="K90" s="5">
        <v>59990</v>
      </c>
      <c r="L90" s="5">
        <v>3431</v>
      </c>
      <c r="M90" s="5">
        <v>1152</v>
      </c>
      <c r="N90" s="5">
        <v>0</v>
      </c>
      <c r="O90" s="5">
        <v>0</v>
      </c>
      <c r="P90" s="5">
        <v>0</v>
      </c>
      <c r="Q90" s="5">
        <v>2112</v>
      </c>
      <c r="R90" s="5">
        <v>72761</v>
      </c>
      <c r="S90" s="5">
        <v>0</v>
      </c>
      <c r="T90" s="5">
        <v>68975</v>
      </c>
      <c r="U90" s="5">
        <v>93457</v>
      </c>
      <c r="V90" s="5">
        <v>15013</v>
      </c>
      <c r="W90" s="5">
        <v>593</v>
      </c>
      <c r="X90" s="5">
        <v>-11927</v>
      </c>
      <c r="Y90" s="5">
        <v>334668</v>
      </c>
      <c r="Z90" s="5">
        <v>25218</v>
      </c>
      <c r="AA90" s="5">
        <v>2436</v>
      </c>
      <c r="AB90" s="5">
        <v>67601</v>
      </c>
      <c r="AC90" s="5">
        <v>26246</v>
      </c>
      <c r="AD90" s="5">
        <v>172167</v>
      </c>
      <c r="AE90" s="5">
        <v>14954</v>
      </c>
      <c r="AF90" s="5">
        <v>25225</v>
      </c>
      <c r="AG90" s="5">
        <v>170236</v>
      </c>
      <c r="AH90" s="5">
        <v>-25240</v>
      </c>
      <c r="AI90" s="5">
        <v>-17537</v>
      </c>
      <c r="AJ90" s="5">
        <v>0</v>
      </c>
      <c r="AK90" s="5">
        <v>13500</v>
      </c>
      <c r="AL90" s="5">
        <v>-55006</v>
      </c>
      <c r="AM90" s="5">
        <v>0</v>
      </c>
      <c r="AN90" s="5">
        <v>31998</v>
      </c>
      <c r="AO90" s="5">
        <v>-17157</v>
      </c>
      <c r="AP90" s="5">
        <v>0</v>
      </c>
      <c r="AQ90" s="5">
        <v>-730</v>
      </c>
      <c r="AR90" s="5">
        <v>38432</v>
      </c>
      <c r="AS90" s="5">
        <v>13644</v>
      </c>
      <c r="AT90" s="5">
        <v>0</v>
      </c>
      <c r="AU90" s="5">
        <v>61168</v>
      </c>
      <c r="AV90" s="5">
        <v>-16812</v>
      </c>
      <c r="AW90" s="5">
        <v>65354</v>
      </c>
      <c r="AX90" s="5">
        <v>0</v>
      </c>
      <c r="AY90" s="5">
        <v>0</v>
      </c>
      <c r="AZ90" s="5">
        <v>90610</v>
      </c>
      <c r="BA90" s="5">
        <v>215636</v>
      </c>
      <c r="BB90" s="5">
        <v>240329</v>
      </c>
      <c r="BC90" s="5">
        <v>34467</v>
      </c>
      <c r="BD90" s="5">
        <v>1997289</v>
      </c>
    </row>
    <row r="91" spans="1:56" ht="15" customHeight="1" x14ac:dyDescent="0.35">
      <c r="A91" s="3" t="s">
        <v>197</v>
      </c>
      <c r="B91" s="4" t="s">
        <v>198</v>
      </c>
      <c r="C91" s="4" t="str">
        <f>VLOOKUP(A91,'TB Apr 24'!$A$11:$D$103,4,0)</f>
        <v>Beverages Cost</v>
      </c>
      <c r="D91" s="5">
        <v>562</v>
      </c>
      <c r="E91" s="5">
        <v>12583</v>
      </c>
      <c r="F91" s="5">
        <v>0</v>
      </c>
      <c r="G91" s="5">
        <v>3235</v>
      </c>
      <c r="H91" s="5">
        <v>0</v>
      </c>
      <c r="I91" s="5">
        <v>0</v>
      </c>
      <c r="J91" s="5">
        <v>0</v>
      </c>
      <c r="K91" s="5">
        <v>2256</v>
      </c>
      <c r="L91" s="5">
        <v>1200</v>
      </c>
      <c r="M91" s="5">
        <v>0</v>
      </c>
      <c r="N91" s="5">
        <v>0</v>
      </c>
      <c r="O91" s="5">
        <v>0</v>
      </c>
      <c r="P91" s="5">
        <v>0</v>
      </c>
      <c r="Q91" s="5">
        <v>4611</v>
      </c>
      <c r="R91" s="5">
        <v>4856</v>
      </c>
      <c r="S91" s="5">
        <v>0</v>
      </c>
      <c r="T91" s="5">
        <v>6396</v>
      </c>
      <c r="U91" s="5">
        <v>12022</v>
      </c>
      <c r="V91" s="5">
        <v>0</v>
      </c>
      <c r="W91" s="5">
        <v>0</v>
      </c>
      <c r="X91" s="5">
        <v>0</v>
      </c>
      <c r="Y91" s="5">
        <v>1413</v>
      </c>
      <c r="Z91" s="5">
        <v>689</v>
      </c>
      <c r="AA91" s="5">
        <v>7261</v>
      </c>
      <c r="AB91" s="5">
        <v>7338</v>
      </c>
      <c r="AC91" s="5">
        <v>4135</v>
      </c>
      <c r="AD91" s="5">
        <v>2625</v>
      </c>
      <c r="AE91" s="5">
        <v>8181</v>
      </c>
      <c r="AF91" s="5">
        <v>0</v>
      </c>
      <c r="AG91" s="5">
        <v>1412</v>
      </c>
      <c r="AH91" s="5">
        <v>0</v>
      </c>
      <c r="AI91" s="5">
        <v>0</v>
      </c>
      <c r="AJ91" s="5">
        <v>0</v>
      </c>
      <c r="AK91" s="5">
        <v>0</v>
      </c>
      <c r="AL91" s="5">
        <v>59575</v>
      </c>
      <c r="AM91" s="5">
        <v>0</v>
      </c>
      <c r="AN91" s="5">
        <v>0</v>
      </c>
      <c r="AO91" s="5">
        <v>0</v>
      </c>
      <c r="AP91" s="5">
        <v>0</v>
      </c>
      <c r="AQ91" s="5">
        <v>5739</v>
      </c>
      <c r="AR91" s="5">
        <v>0</v>
      </c>
      <c r="AS91" s="5">
        <v>0</v>
      </c>
      <c r="AT91" s="5">
        <v>0</v>
      </c>
      <c r="AU91" s="5">
        <v>3311</v>
      </c>
      <c r="AV91" s="5">
        <v>3311</v>
      </c>
      <c r="AW91" s="5">
        <v>7877</v>
      </c>
      <c r="AX91" s="5">
        <v>0</v>
      </c>
      <c r="AY91" s="5">
        <v>0</v>
      </c>
      <c r="AZ91" s="5">
        <v>23058</v>
      </c>
      <c r="BA91" s="5">
        <v>0</v>
      </c>
      <c r="BB91" s="5">
        <v>30750</v>
      </c>
      <c r="BC91" s="5">
        <v>0</v>
      </c>
      <c r="BD91" s="5">
        <v>214396</v>
      </c>
    </row>
    <row r="92" spans="1:56" ht="15" customHeight="1" x14ac:dyDescent="0.35">
      <c r="A92" s="3" t="s">
        <v>199</v>
      </c>
      <c r="B92" s="4" t="s">
        <v>200</v>
      </c>
      <c r="C92" s="4" t="str">
        <f>VLOOKUP(A92,'TB Apr 24'!$A$11:$D$103,4,0)</f>
        <v>Food and Beverage Cost</v>
      </c>
      <c r="D92" s="5">
        <v>22541</v>
      </c>
      <c r="E92" s="5">
        <v>258053</v>
      </c>
      <c r="F92" s="5">
        <v>0</v>
      </c>
      <c r="G92" s="5">
        <v>303783</v>
      </c>
      <c r="H92" s="5">
        <v>257186</v>
      </c>
      <c r="I92" s="5">
        <v>0</v>
      </c>
      <c r="J92" s="5">
        <v>363239</v>
      </c>
      <c r="K92" s="5">
        <v>783369</v>
      </c>
      <c r="L92" s="5">
        <v>1690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189000</v>
      </c>
      <c r="S92" s="5">
        <v>0</v>
      </c>
      <c r="T92" s="5">
        <v>196515</v>
      </c>
      <c r="U92" s="5">
        <v>8820</v>
      </c>
      <c r="V92" s="5">
        <v>65676</v>
      </c>
      <c r="W92" s="5">
        <v>92640</v>
      </c>
      <c r="X92" s="5">
        <v>87588</v>
      </c>
      <c r="Y92" s="5">
        <v>41850</v>
      </c>
      <c r="Z92" s="5">
        <v>246050</v>
      </c>
      <c r="AA92" s="5">
        <v>0</v>
      </c>
      <c r="AB92" s="5">
        <v>136327</v>
      </c>
      <c r="AC92" s="5">
        <v>399226</v>
      </c>
      <c r="AD92" s="5">
        <v>8384</v>
      </c>
      <c r="AE92" s="5">
        <v>337233</v>
      </c>
      <c r="AF92" s="5">
        <v>0</v>
      </c>
      <c r="AG92" s="5">
        <v>357505</v>
      </c>
      <c r="AH92" s="5">
        <v>34522</v>
      </c>
      <c r="AI92" s="5">
        <v>50755</v>
      </c>
      <c r="AJ92" s="5">
        <v>113783</v>
      </c>
      <c r="AK92" s="5">
        <v>0</v>
      </c>
      <c r="AL92" s="5">
        <v>36299</v>
      </c>
      <c r="AM92" s="5">
        <v>0</v>
      </c>
      <c r="AN92" s="5">
        <v>229798</v>
      </c>
      <c r="AO92" s="5">
        <v>0</v>
      </c>
      <c r="AP92" s="5">
        <v>0</v>
      </c>
      <c r="AQ92" s="5">
        <v>299619</v>
      </c>
      <c r="AR92" s="5">
        <v>48058</v>
      </c>
      <c r="AS92" s="5">
        <v>100992</v>
      </c>
      <c r="AT92" s="5">
        <v>0</v>
      </c>
      <c r="AU92" s="5">
        <v>100341.5</v>
      </c>
      <c r="AV92" s="5">
        <v>94426.5</v>
      </c>
      <c r="AW92" s="5">
        <v>46482</v>
      </c>
      <c r="AX92" s="5">
        <v>0</v>
      </c>
      <c r="AY92" s="5">
        <v>0</v>
      </c>
      <c r="AZ92" s="5">
        <v>386852</v>
      </c>
      <c r="BA92" s="5">
        <v>32768</v>
      </c>
      <c r="BB92" s="5">
        <v>359642</v>
      </c>
      <c r="BC92" s="5">
        <v>125809</v>
      </c>
      <c r="BD92" s="5">
        <v>6216822</v>
      </c>
    </row>
    <row r="93" spans="1:56" ht="15" customHeight="1" x14ac:dyDescent="0.35">
      <c r="A93" s="3" t="s">
        <v>201</v>
      </c>
      <c r="B93" s="4" t="s">
        <v>202</v>
      </c>
      <c r="C93" s="4" t="str">
        <f>VLOOKUP(A93,'TB Apr 24'!$A$11:$D$103,4,0)</f>
        <v>Food and Beverage Cost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1045</v>
      </c>
      <c r="S93" s="5">
        <v>32645</v>
      </c>
      <c r="T93" s="5">
        <v>3871</v>
      </c>
      <c r="U93" s="5">
        <v>8718</v>
      </c>
      <c r="V93" s="5">
        <v>0</v>
      </c>
      <c r="W93" s="5">
        <v>0</v>
      </c>
      <c r="X93" s="5">
        <v>0</v>
      </c>
      <c r="Y93" s="5">
        <v>2720</v>
      </c>
      <c r="Z93" s="5">
        <v>0</v>
      </c>
      <c r="AA93" s="5">
        <v>0</v>
      </c>
      <c r="AB93" s="5">
        <v>3402</v>
      </c>
      <c r="AC93" s="5">
        <v>640</v>
      </c>
      <c r="AD93" s="5">
        <v>1930</v>
      </c>
      <c r="AE93" s="5">
        <v>1280</v>
      </c>
      <c r="AF93" s="5">
        <v>0</v>
      </c>
      <c r="AG93" s="5">
        <v>0</v>
      </c>
      <c r="AH93" s="5">
        <v>2330</v>
      </c>
      <c r="AI93" s="5">
        <v>608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6975</v>
      </c>
      <c r="AR93" s="5">
        <v>0</v>
      </c>
      <c r="AS93" s="5">
        <v>0</v>
      </c>
      <c r="AT93" s="5">
        <v>0</v>
      </c>
      <c r="AU93" s="5">
        <v>4725</v>
      </c>
      <c r="AV93" s="5">
        <v>4725</v>
      </c>
      <c r="AW93" s="5">
        <v>1730</v>
      </c>
      <c r="AX93" s="5">
        <v>0</v>
      </c>
      <c r="AY93" s="5">
        <v>0</v>
      </c>
      <c r="AZ93" s="5">
        <v>3210</v>
      </c>
      <c r="BA93" s="5">
        <v>0</v>
      </c>
      <c r="BB93" s="5">
        <v>5873</v>
      </c>
      <c r="BC93" s="5">
        <v>0</v>
      </c>
      <c r="BD93" s="5">
        <v>86427</v>
      </c>
    </row>
    <row r="94" spans="1:56" ht="15" customHeight="1" x14ac:dyDescent="0.35">
      <c r="A94" s="3" t="s">
        <v>203</v>
      </c>
      <c r="B94" s="4" t="s">
        <v>204</v>
      </c>
      <c r="C94" s="4" t="str">
        <f>VLOOKUP(A94,'TB Apr 24'!$A$11:$D$103,4,0)</f>
        <v>Liquor Cost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123375</v>
      </c>
      <c r="J94" s="5">
        <v>123375</v>
      </c>
      <c r="K94" s="5">
        <v>0</v>
      </c>
      <c r="L94" s="5">
        <v>129471</v>
      </c>
      <c r="M94" s="5">
        <v>123375</v>
      </c>
      <c r="N94" s="5">
        <v>-224669.62</v>
      </c>
      <c r="O94" s="5">
        <v>0</v>
      </c>
      <c r="P94" s="5">
        <v>0</v>
      </c>
      <c r="Q94" s="5">
        <v>0</v>
      </c>
      <c r="R94" s="5">
        <v>530191.5</v>
      </c>
      <c r="S94" s="5">
        <v>0</v>
      </c>
      <c r="T94" s="5">
        <v>192814</v>
      </c>
      <c r="U94" s="5">
        <v>0</v>
      </c>
      <c r="V94" s="5">
        <v>-183945</v>
      </c>
      <c r="W94" s="5">
        <v>-311989</v>
      </c>
      <c r="X94" s="5">
        <v>-20137</v>
      </c>
      <c r="Y94" s="5">
        <v>17775</v>
      </c>
      <c r="Z94" s="5">
        <v>2821</v>
      </c>
      <c r="AA94" s="5">
        <v>0</v>
      </c>
      <c r="AB94" s="5">
        <v>542937</v>
      </c>
      <c r="AC94" s="5">
        <v>-44699</v>
      </c>
      <c r="AD94" s="5">
        <v>0</v>
      </c>
      <c r="AE94" s="5">
        <v>-27328</v>
      </c>
      <c r="AF94" s="5">
        <v>0</v>
      </c>
      <c r="AG94" s="5">
        <v>-22874</v>
      </c>
      <c r="AH94" s="5">
        <v>175000</v>
      </c>
      <c r="AI94" s="5">
        <v>624752</v>
      </c>
      <c r="AJ94" s="5">
        <v>0</v>
      </c>
      <c r="AK94" s="5">
        <v>0</v>
      </c>
      <c r="AL94" s="5">
        <v>0</v>
      </c>
      <c r="AM94" s="5">
        <v>180</v>
      </c>
      <c r="AN94" s="5">
        <v>1678817</v>
      </c>
      <c r="AO94" s="5">
        <v>0</v>
      </c>
      <c r="AP94" s="5">
        <v>0</v>
      </c>
      <c r="AQ94" s="5">
        <v>-8710</v>
      </c>
      <c r="AR94" s="5">
        <v>143460</v>
      </c>
      <c r="AS94" s="5">
        <v>65491</v>
      </c>
      <c r="AT94" s="5">
        <v>0</v>
      </c>
      <c r="AU94" s="5">
        <v>177202.5</v>
      </c>
      <c r="AV94" s="5">
        <v>132929.5</v>
      </c>
      <c r="AW94" s="5">
        <v>0</v>
      </c>
      <c r="AX94" s="5">
        <v>0</v>
      </c>
      <c r="AY94" s="5">
        <v>0</v>
      </c>
      <c r="AZ94" s="5">
        <v>-733379</v>
      </c>
      <c r="BA94" s="5">
        <v>0</v>
      </c>
      <c r="BB94" s="5">
        <v>-487378</v>
      </c>
      <c r="BC94" s="5">
        <v>0</v>
      </c>
      <c r="BD94" s="5">
        <v>2718857.88</v>
      </c>
    </row>
    <row r="95" spans="1:56" ht="15" customHeight="1" x14ac:dyDescent="0.35">
      <c r="A95" s="3" t="s">
        <v>205</v>
      </c>
      <c r="B95" s="6" t="s">
        <v>206</v>
      </c>
      <c r="C95" s="4" t="str">
        <f>VLOOKUP(A95,'TB Apr 24'!$A$11:$D$103,4,0)</f>
        <v>Other Operational Expenses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11.8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11.8</v>
      </c>
    </row>
    <row r="96" spans="1:56" ht="15" customHeight="1" x14ac:dyDescent="0.35">
      <c r="A96" s="3"/>
      <c r="B96" s="8" t="s">
        <v>56</v>
      </c>
      <c r="C96" s="8"/>
      <c r="D96" s="9">
        <f>SUM(D7:D95)</f>
        <v>-371811.03640000022</v>
      </c>
      <c r="E96" s="9">
        <f t="shared" ref="E96:BD96" si="0">SUM(E7:E95)</f>
        <v>35920.445500000147</v>
      </c>
      <c r="F96" s="9">
        <f t="shared" si="0"/>
        <v>2318133</v>
      </c>
      <c r="G96" s="9">
        <f t="shared" si="0"/>
        <v>-953465.32030000025</v>
      </c>
      <c r="H96" s="9">
        <f t="shared" si="0"/>
        <v>-139535.65779999993</v>
      </c>
      <c r="I96" s="9">
        <f t="shared" si="0"/>
        <v>-1328661.3177333332</v>
      </c>
      <c r="J96" s="9">
        <f t="shared" si="0"/>
        <v>-1750594.6856999998</v>
      </c>
      <c r="K96" s="9">
        <f t="shared" si="0"/>
        <v>5689679</v>
      </c>
      <c r="L96" s="9">
        <f t="shared" si="0"/>
        <v>-2172139.3934333338</v>
      </c>
      <c r="M96" s="9">
        <f t="shared" si="0"/>
        <v>-1600997.3039333336</v>
      </c>
      <c r="N96" s="9">
        <f t="shared" si="0"/>
        <v>12235210.800000003</v>
      </c>
      <c r="O96" s="9">
        <f t="shared" si="0"/>
        <v>0</v>
      </c>
      <c r="P96" s="9">
        <f t="shared" si="0"/>
        <v>2130626</v>
      </c>
      <c r="Q96" s="9">
        <f t="shared" si="0"/>
        <v>-1489380.4106000001</v>
      </c>
      <c r="R96" s="9">
        <f t="shared" si="0"/>
        <v>129178.57410000009</v>
      </c>
      <c r="S96" s="9">
        <f t="shared" si="0"/>
        <v>-209205.88</v>
      </c>
      <c r="T96" s="9">
        <f t="shared" si="0"/>
        <v>-1181779.5281333332</v>
      </c>
      <c r="U96" s="9">
        <f t="shared" si="0"/>
        <v>2196589</v>
      </c>
      <c r="V96" s="9">
        <f t="shared" si="0"/>
        <v>-112487.08376666665</v>
      </c>
      <c r="W96" s="9">
        <f t="shared" si="0"/>
        <v>-1127597.5839666668</v>
      </c>
      <c r="X96" s="9">
        <f t="shared" si="0"/>
        <v>-619792.10696666664</v>
      </c>
      <c r="Y96" s="9">
        <f t="shared" si="0"/>
        <v>132732.99419999984</v>
      </c>
      <c r="Z96" s="9">
        <f t="shared" si="0"/>
        <v>-416092.93076666654</v>
      </c>
      <c r="AA96" s="9">
        <f t="shared" si="0"/>
        <v>5815375</v>
      </c>
      <c r="AB96" s="9">
        <f t="shared" si="0"/>
        <v>-1170733.0987524502</v>
      </c>
      <c r="AC96" s="9">
        <f t="shared" si="0"/>
        <v>-1757383.9472117806</v>
      </c>
      <c r="AD96" s="9">
        <f t="shared" si="0"/>
        <v>608243.94818127993</v>
      </c>
      <c r="AE96" s="9">
        <f t="shared" si="0"/>
        <v>-111355.23435038165</v>
      </c>
      <c r="AF96" s="9">
        <f t="shared" si="0"/>
        <v>-589531.6272333333</v>
      </c>
      <c r="AG96" s="9">
        <f t="shared" si="0"/>
        <v>21508.880233333213</v>
      </c>
      <c r="AH96" s="9">
        <f t="shared" si="0"/>
        <v>-1064539.0169000002</v>
      </c>
      <c r="AI96" s="9">
        <f t="shared" si="0"/>
        <v>-1115359.0619000001</v>
      </c>
      <c r="AJ96" s="9">
        <f t="shared" si="0"/>
        <v>128426</v>
      </c>
      <c r="AK96" s="9">
        <f t="shared" si="0"/>
        <v>56863</v>
      </c>
      <c r="AL96" s="9">
        <f t="shared" si="0"/>
        <v>4699840</v>
      </c>
      <c r="AM96" s="9">
        <f t="shared" si="0"/>
        <v>180</v>
      </c>
      <c r="AN96" s="9">
        <f t="shared" si="0"/>
        <v>-1142167.2798000001</v>
      </c>
      <c r="AO96" s="9">
        <f t="shared" si="0"/>
        <v>-307042.65399999998</v>
      </c>
      <c r="AP96" s="9">
        <f t="shared" si="0"/>
        <v>57505.5</v>
      </c>
      <c r="AQ96" s="9">
        <f t="shared" si="0"/>
        <v>-2982084.7093000002</v>
      </c>
      <c r="AR96" s="9">
        <f t="shared" si="0"/>
        <v>-320372.02810000046</v>
      </c>
      <c r="AS96" s="9">
        <f t="shared" si="0"/>
        <v>-567089.25193333311</v>
      </c>
      <c r="AT96" s="9">
        <f t="shared" si="0"/>
        <v>2367429</v>
      </c>
      <c r="AU96" s="9">
        <f t="shared" si="0"/>
        <v>-563645.17683333345</v>
      </c>
      <c r="AV96" s="9">
        <f t="shared" si="0"/>
        <v>-781205.10213333322</v>
      </c>
      <c r="AW96" s="9">
        <f t="shared" si="0"/>
        <v>350379.35210000013</v>
      </c>
      <c r="AX96" s="9">
        <f t="shared" si="0"/>
        <v>4389920</v>
      </c>
      <c r="AY96" s="9">
        <f t="shared" si="0"/>
        <v>0</v>
      </c>
      <c r="AZ96" s="9">
        <f t="shared" si="0"/>
        <v>-418541.23309999937</v>
      </c>
      <c r="BA96" s="9">
        <f t="shared" si="0"/>
        <v>679126.35980000009</v>
      </c>
      <c r="BB96" s="9">
        <f t="shared" si="0"/>
        <v>-1314043.9671999998</v>
      </c>
      <c r="BC96" s="9">
        <f t="shared" si="0"/>
        <v>684196.66259999992</v>
      </c>
      <c r="BD96" s="9">
        <f t="shared" si="0"/>
        <v>17048429.170000009</v>
      </c>
    </row>
    <row r="98" spans="4:56" x14ac:dyDescent="0.35">
      <c r="D98" s="66">
        <f>D20+D21</f>
        <v>-22754.55</v>
      </c>
      <c r="E98" s="66">
        <f t="shared" ref="E98:BC98" si="1">E20+E21</f>
        <v>-32495.93</v>
      </c>
      <c r="F98" s="66">
        <f t="shared" si="1"/>
        <v>0</v>
      </c>
      <c r="G98" s="66">
        <f t="shared" si="1"/>
        <v>-67508.259999999995</v>
      </c>
      <c r="H98" s="66">
        <f t="shared" si="1"/>
        <v>-11263.37</v>
      </c>
      <c r="I98" s="66">
        <f t="shared" si="1"/>
        <v>-54243.020000000004</v>
      </c>
      <c r="J98" s="66">
        <f t="shared" si="1"/>
        <v>-75777.31</v>
      </c>
      <c r="K98" s="66">
        <f t="shared" si="1"/>
        <v>0</v>
      </c>
      <c r="L98" s="66">
        <f t="shared" si="1"/>
        <v>-74765.430000000008</v>
      </c>
      <c r="M98" s="66">
        <f t="shared" si="1"/>
        <v>-63092.04</v>
      </c>
      <c r="N98" s="66">
        <f t="shared" si="1"/>
        <v>0</v>
      </c>
      <c r="O98" s="66">
        <f t="shared" si="1"/>
        <v>0</v>
      </c>
      <c r="P98" s="66">
        <f t="shared" si="1"/>
        <v>0</v>
      </c>
      <c r="Q98" s="66">
        <f t="shared" si="1"/>
        <v>-49281.93</v>
      </c>
      <c r="R98" s="66">
        <f t="shared" si="1"/>
        <v>-51603.520000000004</v>
      </c>
      <c r="S98" s="66">
        <f t="shared" si="1"/>
        <v>0</v>
      </c>
      <c r="T98" s="66">
        <f t="shared" si="1"/>
        <v>-84819.41</v>
      </c>
      <c r="U98" s="66">
        <f t="shared" si="1"/>
        <v>0</v>
      </c>
      <c r="V98" s="66">
        <f t="shared" si="1"/>
        <v>-23734.32</v>
      </c>
      <c r="W98" s="66">
        <f t="shared" si="1"/>
        <v>-48517.82</v>
      </c>
      <c r="X98" s="66">
        <f t="shared" si="1"/>
        <v>-43434.96</v>
      </c>
      <c r="Y98" s="66">
        <f t="shared" si="1"/>
        <v>-32246.53</v>
      </c>
      <c r="Z98" s="66">
        <f t="shared" si="1"/>
        <v>-41099.99</v>
      </c>
      <c r="AA98" s="66">
        <f t="shared" si="1"/>
        <v>0</v>
      </c>
      <c r="AB98" s="66">
        <f t="shared" si="1"/>
        <v>-90293.079999999987</v>
      </c>
      <c r="AC98" s="66">
        <f t="shared" si="1"/>
        <v>-87632.72</v>
      </c>
      <c r="AD98" s="66">
        <f t="shared" si="1"/>
        <v>-6347.54</v>
      </c>
      <c r="AE98" s="66">
        <f t="shared" si="1"/>
        <v>-52865.189999999995</v>
      </c>
      <c r="AF98" s="66">
        <f t="shared" si="1"/>
        <v>-34218.29</v>
      </c>
      <c r="AG98" s="66">
        <f t="shared" si="1"/>
        <v>-27582.12</v>
      </c>
      <c r="AH98" s="504">
        <f t="shared" si="1"/>
        <v>10552.71</v>
      </c>
      <c r="AI98" s="66">
        <f t="shared" si="1"/>
        <v>-175805.62</v>
      </c>
      <c r="AJ98" s="66">
        <f t="shared" si="1"/>
        <v>0</v>
      </c>
      <c r="AK98" s="66">
        <f t="shared" si="1"/>
        <v>0</v>
      </c>
      <c r="AL98" s="66">
        <f t="shared" si="1"/>
        <v>0</v>
      </c>
      <c r="AM98" s="66">
        <f t="shared" si="1"/>
        <v>0</v>
      </c>
      <c r="AN98" s="66">
        <f t="shared" si="1"/>
        <v>-127122.4</v>
      </c>
      <c r="AO98" s="66">
        <f t="shared" si="1"/>
        <v>-5229.6000000000004</v>
      </c>
      <c r="AP98" s="66">
        <f t="shared" si="1"/>
        <v>0</v>
      </c>
      <c r="AQ98" s="66">
        <f t="shared" si="1"/>
        <v>-134166.32</v>
      </c>
      <c r="AR98" s="66">
        <f t="shared" si="1"/>
        <v>-49535.199999999997</v>
      </c>
      <c r="AS98" s="504">
        <f t="shared" si="1"/>
        <v>87195.290000000008</v>
      </c>
      <c r="AT98" s="66">
        <f t="shared" si="1"/>
        <v>0</v>
      </c>
      <c r="AU98" s="66">
        <f t="shared" si="1"/>
        <v>-42469.24</v>
      </c>
      <c r="AV98" s="66">
        <f t="shared" si="1"/>
        <v>-33650.880000000005</v>
      </c>
      <c r="AW98" s="66">
        <f t="shared" si="1"/>
        <v>-26506.25</v>
      </c>
      <c r="AX98" s="66">
        <f t="shared" si="1"/>
        <v>0</v>
      </c>
      <c r="AY98" s="66">
        <f t="shared" si="1"/>
        <v>0</v>
      </c>
      <c r="AZ98" s="66">
        <f t="shared" si="1"/>
        <v>-56989.409999999996</v>
      </c>
      <c r="BA98" s="66">
        <f t="shared" si="1"/>
        <v>-26804.98</v>
      </c>
      <c r="BB98" s="66">
        <f t="shared" si="1"/>
        <v>-102283.93</v>
      </c>
      <c r="BC98" s="66">
        <f t="shared" si="1"/>
        <v>-14211.56</v>
      </c>
      <c r="BD98" s="66">
        <f>SUBTOTAL(9,BD7:BD95)</f>
        <v>17048429.170000009</v>
      </c>
    </row>
  </sheetData>
  <autoFilter ref="A6:BD96" xr:uid="{00000000-0009-0000-0000-00000E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59"/>
  <sheetViews>
    <sheetView topLeftCell="C1" workbookViewId="0">
      <selection activeCell="F5" sqref="F5"/>
    </sheetView>
  </sheetViews>
  <sheetFormatPr defaultRowHeight="14.5" x14ac:dyDescent="0.35"/>
  <cols>
    <col min="4" max="4" width="11.1796875" bestFit="1" customWidth="1"/>
    <col min="5" max="5" width="35.6328125" customWidth="1"/>
    <col min="6" max="14" width="10.54296875" customWidth="1"/>
  </cols>
  <sheetData>
    <row r="1" spans="2:14" x14ac:dyDescent="0.35">
      <c r="E1" s="24" t="s">
        <v>316</v>
      </c>
      <c r="F1" s="82" t="s">
        <v>215</v>
      </c>
    </row>
    <row r="3" spans="2:14" x14ac:dyDescent="0.35">
      <c r="E3" s="24" t="s">
        <v>317</v>
      </c>
      <c r="F3" s="82" t="s">
        <v>225</v>
      </c>
    </row>
    <row r="5" spans="2:14" x14ac:dyDescent="0.35">
      <c r="E5" s="14" t="s">
        <v>236</v>
      </c>
      <c r="F5" s="25"/>
      <c r="G5" s="25"/>
    </row>
    <row r="6" spans="2:14" ht="15" thickBot="1" x14ac:dyDescent="0.4">
      <c r="E6" s="15" t="s">
        <v>270</v>
      </c>
      <c r="F6" s="15"/>
      <c r="G6" s="15"/>
    </row>
    <row r="7" spans="2:14" ht="15" thickBot="1" x14ac:dyDescent="0.4">
      <c r="B7" s="785">
        <v>45017</v>
      </c>
      <c r="C7" s="791"/>
      <c r="D7" s="793"/>
      <c r="E7" s="771" t="s">
        <v>237</v>
      </c>
      <c r="F7" s="785">
        <v>45383</v>
      </c>
      <c r="G7" s="791"/>
      <c r="H7" s="793"/>
      <c r="I7" s="785">
        <v>45352</v>
      </c>
      <c r="J7" s="791"/>
      <c r="K7" s="793"/>
      <c r="L7" s="785" t="s">
        <v>251</v>
      </c>
      <c r="M7" s="791"/>
      <c r="N7" s="793"/>
    </row>
    <row r="8" spans="2:14" ht="15" thickBot="1" x14ac:dyDescent="0.4">
      <c r="B8" s="26" t="s">
        <v>248</v>
      </c>
      <c r="C8" s="27" t="s">
        <v>249</v>
      </c>
      <c r="D8" s="28" t="s">
        <v>250</v>
      </c>
      <c r="E8" s="772"/>
      <c r="F8" s="26" t="s">
        <v>248</v>
      </c>
      <c r="G8" s="27" t="s">
        <v>249</v>
      </c>
      <c r="H8" s="28" t="s">
        <v>250</v>
      </c>
      <c r="I8" s="26" t="s">
        <v>248</v>
      </c>
      <c r="J8" s="27" t="s">
        <v>249</v>
      </c>
      <c r="K8" s="28" t="s">
        <v>250</v>
      </c>
      <c r="L8" s="26" t="s">
        <v>248</v>
      </c>
      <c r="M8" s="27" t="s">
        <v>249</v>
      </c>
      <c r="N8" s="28" t="s">
        <v>250</v>
      </c>
    </row>
    <row r="9" spans="2:14" x14ac:dyDescent="0.35">
      <c r="B9" s="34">
        <f>SUM(B10:B13)</f>
        <v>0</v>
      </c>
      <c r="C9" s="34">
        <f>SUM(C10:C13)</f>
        <v>0</v>
      </c>
      <c r="D9" s="29"/>
      <c r="E9" s="16" t="s">
        <v>238</v>
      </c>
      <c r="F9" s="34" t="e">
        <f>SUM(F10:F13)</f>
        <v>#VALUE!</v>
      </c>
      <c r="G9" s="34">
        <f>SUM(G10:G13)</f>
        <v>0</v>
      </c>
      <c r="H9" s="29"/>
      <c r="I9" s="34">
        <f>SUM(I10:I13)</f>
        <v>0</v>
      </c>
      <c r="J9" s="34">
        <f>SUM(J10:J13)</f>
        <v>0</v>
      </c>
      <c r="K9" s="29"/>
      <c r="L9" s="34">
        <f>SUM(L10:L13)</f>
        <v>0</v>
      </c>
      <c r="M9" s="34">
        <f>SUM(M10:M13)</f>
        <v>0</v>
      </c>
      <c r="N9" s="29"/>
    </row>
    <row r="10" spans="2:14" x14ac:dyDescent="0.35">
      <c r="B10" s="32"/>
      <c r="C10" s="32"/>
      <c r="D10" s="30"/>
      <c r="E10" s="41" t="s">
        <v>66</v>
      </c>
      <c r="F10" s="35" t="e">
        <f>_xlfn.FILTERXML(Table1[#All],Table1[[#This Row],[Amount]])</f>
        <v>#VALUE!</v>
      </c>
      <c r="G10" s="36">
        <f>Budget!C5</f>
        <v>0</v>
      </c>
      <c r="H10" s="75" t="e">
        <f>G10/F10-1</f>
        <v>#VALUE!</v>
      </c>
      <c r="I10" s="32"/>
      <c r="J10" s="32"/>
      <c r="K10" s="30"/>
      <c r="L10" s="32"/>
      <c r="M10" s="32"/>
      <c r="N10" s="30"/>
    </row>
    <row r="11" spans="2:14" x14ac:dyDescent="0.35">
      <c r="B11" s="32"/>
      <c r="C11" s="32"/>
      <c r="D11" s="30"/>
      <c r="E11" s="41" t="s">
        <v>252</v>
      </c>
      <c r="F11" s="35">
        <f>-SUMIF('TB Apr 24'!$D$13:$D$103,MIS!E11,'TB Apr 24'!$E$13:$E$103)</f>
        <v>176597.09</v>
      </c>
      <c r="G11" s="36">
        <f>Budget!C6</f>
        <v>0</v>
      </c>
      <c r="H11" s="30"/>
      <c r="I11" s="32"/>
      <c r="J11" s="32"/>
      <c r="K11" s="30"/>
      <c r="L11" s="32"/>
      <c r="M11" s="32"/>
      <c r="N11" s="30"/>
    </row>
    <row r="12" spans="2:14" x14ac:dyDescent="0.35">
      <c r="B12" s="32"/>
      <c r="C12" s="32"/>
      <c r="D12" s="30"/>
      <c r="E12" s="41" t="s">
        <v>70</v>
      </c>
      <c r="F12" s="35">
        <f>-SUMIF('TB Apr 24'!$D$13:$D$103,MIS!E12,'TB Apr 24'!$E$13:$E$103)</f>
        <v>0</v>
      </c>
      <c r="G12" s="36">
        <f>Budget!C7</f>
        <v>0</v>
      </c>
      <c r="H12" s="30"/>
      <c r="I12" s="32"/>
      <c r="J12" s="32"/>
      <c r="K12" s="30"/>
      <c r="L12" s="32"/>
      <c r="M12" s="32"/>
      <c r="N12" s="30"/>
    </row>
    <row r="13" spans="2:14" x14ac:dyDescent="0.35">
      <c r="B13" s="32"/>
      <c r="C13" s="32"/>
      <c r="D13" s="30"/>
      <c r="E13" s="41" t="s">
        <v>253</v>
      </c>
      <c r="F13" s="35">
        <f>-SUMIF('TB Apr 24'!$D$13:$D$103,MIS!E13,'TB Apr 24'!$E$13:$E$103)</f>
        <v>5644.86</v>
      </c>
      <c r="G13" s="36">
        <f>Budget!C8</f>
        <v>0</v>
      </c>
      <c r="H13" s="30"/>
      <c r="I13" s="32"/>
      <c r="J13" s="32"/>
      <c r="K13" s="30"/>
      <c r="L13" s="32"/>
      <c r="M13" s="32"/>
      <c r="N13" s="30"/>
    </row>
    <row r="14" spans="2:14" x14ac:dyDescent="0.35">
      <c r="B14" s="36">
        <f>SUM(B15:B18)</f>
        <v>0</v>
      </c>
      <c r="C14" s="36">
        <f>SUM(C15:C18)</f>
        <v>0</v>
      </c>
      <c r="D14" s="30"/>
      <c r="E14" s="18" t="s">
        <v>239</v>
      </c>
      <c r="F14" s="36">
        <f>SUM(F15:F18)</f>
        <v>0</v>
      </c>
      <c r="G14" s="36">
        <f>SUM(G15:G18)</f>
        <v>0</v>
      </c>
      <c r="H14" s="42"/>
      <c r="I14" s="43">
        <f>SUM(I15:I18)</f>
        <v>0</v>
      </c>
      <c r="J14" s="43">
        <f>SUM(J15:J18)</f>
        <v>0</v>
      </c>
      <c r="K14" s="42"/>
      <c r="L14" s="43">
        <f>SUM(L15:L18)</f>
        <v>0</v>
      </c>
      <c r="M14" s="43">
        <f>SUM(M15:M18)</f>
        <v>0</v>
      </c>
      <c r="N14" s="30"/>
    </row>
    <row r="15" spans="2:14" x14ac:dyDescent="0.35">
      <c r="B15" s="32"/>
      <c r="C15" s="32"/>
      <c r="D15" s="30"/>
      <c r="E15" s="41" t="s">
        <v>254</v>
      </c>
      <c r="F15" s="35">
        <f>SUMIF('TB Apr 24'!$D$13:$D$103,MIS!E15,'TB Apr 24'!$E$13:$E$103)</f>
        <v>0</v>
      </c>
      <c r="G15" s="35">
        <f>Budget!C10</f>
        <v>0</v>
      </c>
      <c r="H15" s="30"/>
      <c r="I15" s="32"/>
      <c r="J15" s="32"/>
      <c r="K15" s="30"/>
      <c r="L15" s="32"/>
      <c r="M15" s="32"/>
      <c r="N15" s="30"/>
    </row>
    <row r="16" spans="2:14" x14ac:dyDescent="0.35">
      <c r="B16" s="32"/>
      <c r="C16" s="32"/>
      <c r="D16" s="30"/>
      <c r="E16" s="41" t="s">
        <v>255</v>
      </c>
      <c r="F16" s="35">
        <f>SUMIF('TB Apr 24'!$D$13:$D$103,MIS!E16,'TB Apr 24'!$E$13:$E$103)</f>
        <v>0</v>
      </c>
      <c r="G16" s="35">
        <f>Budget!C11</f>
        <v>0</v>
      </c>
      <c r="H16" s="30"/>
      <c r="I16" s="32"/>
      <c r="J16" s="32"/>
      <c r="K16" s="30"/>
      <c r="L16" s="32"/>
      <c r="M16" s="32"/>
      <c r="N16" s="30"/>
    </row>
    <row r="17" spans="2:14" x14ac:dyDescent="0.35">
      <c r="B17" s="32"/>
      <c r="C17" s="32"/>
      <c r="D17" s="30"/>
      <c r="E17" s="41" t="s">
        <v>256</v>
      </c>
      <c r="F17" s="35">
        <f>SUMIF('TB Apr 24'!$D$13:$D$103,MIS!E17,'TB Apr 24'!$E$13:$E$103)</f>
        <v>0</v>
      </c>
      <c r="G17" s="35">
        <f>Budget!C12</f>
        <v>0</v>
      </c>
      <c r="H17" s="30"/>
      <c r="I17" s="32"/>
      <c r="J17" s="32"/>
      <c r="K17" s="30"/>
      <c r="L17" s="32"/>
      <c r="M17" s="32"/>
      <c r="N17" s="30"/>
    </row>
    <row r="18" spans="2:14" x14ac:dyDescent="0.35">
      <c r="B18" s="32"/>
      <c r="C18" s="32"/>
      <c r="D18" s="30"/>
      <c r="E18" s="41" t="s">
        <v>257</v>
      </c>
      <c r="F18" s="35">
        <f>SUMIF('TB Apr 24'!$D$13:$D$103,MIS!E18,'TB Apr 24'!$E$13:$E$103)</f>
        <v>0</v>
      </c>
      <c r="G18" s="35">
        <f>Budget!C13</f>
        <v>0</v>
      </c>
      <c r="H18" s="30"/>
      <c r="I18" s="32"/>
      <c r="J18" s="32"/>
      <c r="K18" s="30"/>
      <c r="L18" s="32"/>
      <c r="M18" s="32"/>
      <c r="N18" s="30"/>
    </row>
    <row r="19" spans="2:14" x14ac:dyDescent="0.35">
      <c r="B19" s="36">
        <f>B9-B14</f>
        <v>0</v>
      </c>
      <c r="C19" s="36">
        <f>C9-C14</f>
        <v>0</v>
      </c>
      <c r="D19" s="30"/>
      <c r="E19" s="18" t="s">
        <v>240</v>
      </c>
      <c r="F19" s="36" t="e">
        <f>F9-F14</f>
        <v>#VALUE!</v>
      </c>
      <c r="G19" s="36">
        <f t="shared" ref="G19:M19" si="0">G9-G14</f>
        <v>0</v>
      </c>
      <c r="H19" s="36"/>
      <c r="I19" s="36">
        <f t="shared" si="0"/>
        <v>0</v>
      </c>
      <c r="J19" s="36">
        <f t="shared" si="0"/>
        <v>0</v>
      </c>
      <c r="K19" s="36"/>
      <c r="L19" s="36">
        <f t="shared" si="0"/>
        <v>0</v>
      </c>
      <c r="M19" s="36">
        <f t="shared" si="0"/>
        <v>0</v>
      </c>
      <c r="N19" s="30"/>
    </row>
    <row r="20" spans="2:14" x14ac:dyDescent="0.35">
      <c r="B20" s="36"/>
      <c r="C20" s="36"/>
      <c r="D20" s="30"/>
      <c r="E20" s="45" t="s">
        <v>258</v>
      </c>
      <c r="F20" s="36"/>
      <c r="G20" s="36"/>
      <c r="H20" s="44"/>
      <c r="I20" s="36"/>
      <c r="J20" s="36"/>
      <c r="K20" s="44"/>
      <c r="L20" s="36"/>
      <c r="M20" s="36"/>
      <c r="N20" s="30"/>
    </row>
    <row r="21" spans="2:14" x14ac:dyDescent="0.35">
      <c r="B21" s="36">
        <f>SUM(B22:B25)</f>
        <v>0</v>
      </c>
      <c r="C21" s="36">
        <f>SUM(C22:C25)</f>
        <v>0</v>
      </c>
      <c r="D21" s="30"/>
      <c r="E21" s="55" t="s">
        <v>259</v>
      </c>
      <c r="F21" s="36">
        <f>SUM(F22:F25)</f>
        <v>358404.72359999997</v>
      </c>
      <c r="G21" s="36">
        <f>SUM(G22:G25)</f>
        <v>0</v>
      </c>
      <c r="H21" s="44"/>
      <c r="I21" s="36">
        <f>SUM(I22:I25)</f>
        <v>0</v>
      </c>
      <c r="J21" s="36">
        <f>SUM(J22:J25)</f>
        <v>0</v>
      </c>
      <c r="K21" s="44"/>
      <c r="L21" s="36">
        <f>SUM(L22:L25)</f>
        <v>0</v>
      </c>
      <c r="M21" s="36">
        <f>SUM(M22:M25)</f>
        <v>0</v>
      </c>
      <c r="N21" s="30"/>
    </row>
    <row r="22" spans="2:14" x14ac:dyDescent="0.35">
      <c r="B22" s="36"/>
      <c r="C22" s="36"/>
      <c r="D22" s="30"/>
      <c r="E22" s="56" t="s">
        <v>268</v>
      </c>
      <c r="F22" s="35">
        <f>SUMIF('TB Apr 24'!$D$13:$D$103,MIS!E22,'TB Apr 24'!$E$13:$E$103)</f>
        <v>126941.62360000001</v>
      </c>
      <c r="G22" s="36">
        <f>Budget!C17</f>
        <v>0</v>
      </c>
      <c r="H22" s="44"/>
      <c r="I22" s="36"/>
      <c r="J22" s="36"/>
      <c r="K22" s="44"/>
      <c r="L22" s="36"/>
      <c r="M22" s="36"/>
      <c r="N22" s="30"/>
    </row>
    <row r="23" spans="2:14" x14ac:dyDescent="0.35">
      <c r="B23" s="36"/>
      <c r="C23" s="36"/>
      <c r="D23" s="30"/>
      <c r="E23" s="56" t="s">
        <v>269</v>
      </c>
      <c r="F23" s="35">
        <f>SUMIF('TB Apr 24'!$D$13:$D$103,MIS!E23,'TB Apr 24'!$E$13:$E$103)</f>
        <v>84876</v>
      </c>
      <c r="G23" s="36">
        <f>Budget!C18</f>
        <v>0</v>
      </c>
      <c r="H23" s="44"/>
      <c r="I23" s="36"/>
      <c r="J23" s="36"/>
      <c r="K23" s="44"/>
      <c r="L23" s="36"/>
      <c r="M23" s="36"/>
      <c r="N23" s="30"/>
    </row>
    <row r="24" spans="2:14" x14ac:dyDescent="0.35">
      <c r="B24" s="36"/>
      <c r="C24" s="36"/>
      <c r="D24" s="30"/>
      <c r="E24" s="60" t="s">
        <v>287</v>
      </c>
      <c r="F24" s="35">
        <f>SUMIF('TB Apr 24'!$D$13:$D$103,MIS!E24,'TB Apr 24'!$E$13:$E$103)</f>
        <v>127176</v>
      </c>
      <c r="G24" s="36">
        <f>Budget!C19</f>
        <v>0</v>
      </c>
      <c r="H24" s="44"/>
      <c r="I24" s="36"/>
      <c r="J24" s="36"/>
      <c r="K24" s="44"/>
      <c r="L24" s="36"/>
      <c r="M24" s="36"/>
      <c r="N24" s="30"/>
    </row>
    <row r="25" spans="2:14" x14ac:dyDescent="0.35">
      <c r="B25" s="36"/>
      <c r="C25" s="36"/>
      <c r="D25" s="30"/>
      <c r="E25" s="60" t="s">
        <v>288</v>
      </c>
      <c r="F25" s="35">
        <f>SUMIF('TB Apr 24'!$D$13:$D$103,MIS!E25,'TB Apr 24'!$E$13:$E$103)</f>
        <v>19411.099999999999</v>
      </c>
      <c r="G25" s="36">
        <f>Budget!C20</f>
        <v>0</v>
      </c>
      <c r="H25" s="44"/>
      <c r="I25" s="36"/>
      <c r="J25" s="36"/>
      <c r="K25" s="44"/>
      <c r="L25" s="36"/>
      <c r="M25" s="36"/>
      <c r="N25" s="30"/>
    </row>
    <row r="26" spans="2:14" x14ac:dyDescent="0.35">
      <c r="B26" s="36">
        <f>SUM(B27:B30)</f>
        <v>0</v>
      </c>
      <c r="C26" s="36">
        <f>SUM(C27:C30)</f>
        <v>0</v>
      </c>
      <c r="D26" s="30"/>
      <c r="E26" s="18" t="s">
        <v>260</v>
      </c>
      <c r="F26" s="36">
        <f>SUM(F27:F30)</f>
        <v>532971.65277041122</v>
      </c>
      <c r="G26" s="36">
        <f>SUM(G27:G30)</f>
        <v>0</v>
      </c>
      <c r="H26" s="44"/>
      <c r="I26" s="36">
        <f>SUM(I27:I30)</f>
        <v>0</v>
      </c>
      <c r="J26" s="36">
        <f>SUM(J27:J30)</f>
        <v>0</v>
      </c>
      <c r="K26" s="44"/>
      <c r="L26" s="36">
        <f>SUM(L27:L30)</f>
        <v>0</v>
      </c>
      <c r="M26" s="36">
        <f>SUM(M27:M30)</f>
        <v>0</v>
      </c>
      <c r="N26" s="30"/>
    </row>
    <row r="27" spans="2:14" x14ac:dyDescent="0.35">
      <c r="B27" s="36"/>
      <c r="C27" s="36"/>
      <c r="D27" s="30"/>
      <c r="E27" s="17" t="s">
        <v>289</v>
      </c>
      <c r="F27" s="35">
        <f>SUMIF('TB Apr 24'!$D$13:$D$103,MIS!E27,'TB Apr 24'!$E$13:$E$103)</f>
        <v>447364.5</v>
      </c>
      <c r="G27" s="36">
        <f>Budget!C22</f>
        <v>0</v>
      </c>
      <c r="H27" s="44"/>
      <c r="I27" s="36"/>
      <c r="J27" s="36"/>
      <c r="K27" s="44"/>
      <c r="L27" s="36"/>
      <c r="M27" s="36"/>
      <c r="N27" s="30"/>
    </row>
    <row r="28" spans="2:14" x14ac:dyDescent="0.35">
      <c r="B28" s="36"/>
      <c r="C28" s="36"/>
      <c r="D28" s="30"/>
      <c r="E28" s="17" t="s">
        <v>290</v>
      </c>
      <c r="F28" s="35">
        <f>SUMIF('TB Apr 24'!$D$13:$D$103,MIS!E28,'TB Apr 24'!$E$13:$E$103)</f>
        <v>40545</v>
      </c>
      <c r="G28" s="36">
        <f>Budget!C23</f>
        <v>0</v>
      </c>
      <c r="H28" s="44"/>
      <c r="I28" s="36"/>
      <c r="J28" s="36"/>
      <c r="K28" s="44"/>
      <c r="L28" s="36"/>
      <c r="M28" s="36"/>
      <c r="N28" s="30"/>
    </row>
    <row r="29" spans="2:14" x14ac:dyDescent="0.35">
      <c r="B29" s="36"/>
      <c r="C29" s="36"/>
      <c r="D29" s="30"/>
      <c r="E29" s="17" t="s">
        <v>319</v>
      </c>
      <c r="F29" s="35">
        <f>SUMIF('TB Apr 24'!$D$13:$D$103,MIS!E29,'TB Apr 24'!$E$13:$E$103)</f>
        <v>0</v>
      </c>
      <c r="G29" s="36"/>
      <c r="H29" s="44"/>
      <c r="I29" s="36"/>
      <c r="J29" s="36"/>
      <c r="K29" s="44"/>
      <c r="L29" s="36"/>
      <c r="M29" s="36"/>
      <c r="N29" s="30"/>
    </row>
    <row r="30" spans="2:14" x14ac:dyDescent="0.35">
      <c r="B30" s="36"/>
      <c r="C30" s="36"/>
      <c r="D30" s="30"/>
      <c r="E30" s="17" t="s">
        <v>291</v>
      </c>
      <c r="F30" s="35">
        <f>SUMIF('TB Apr 24'!$D$13:$D$103,MIS!E30,'TB Apr 24'!$E$13:$E$103)</f>
        <v>45062.152770411187</v>
      </c>
      <c r="G30" s="36">
        <f>Budget!C24</f>
        <v>0</v>
      </c>
      <c r="H30" s="44"/>
      <c r="I30" s="36"/>
      <c r="J30" s="36"/>
      <c r="K30" s="44"/>
      <c r="L30" s="36"/>
      <c r="M30" s="36"/>
      <c r="N30" s="30"/>
    </row>
    <row r="31" spans="2:14" x14ac:dyDescent="0.35">
      <c r="B31" s="36">
        <f>SUM(B32:B36)</f>
        <v>0</v>
      </c>
      <c r="C31" s="36">
        <f>SUM(C32:C36)</f>
        <v>0</v>
      </c>
      <c r="D31" s="30"/>
      <c r="E31" s="18" t="s">
        <v>261</v>
      </c>
      <c r="F31" s="36">
        <f>SUM(F32:F36)</f>
        <v>128026.26</v>
      </c>
      <c r="G31" s="36">
        <f>SUM(G32:G36)</f>
        <v>0</v>
      </c>
      <c r="H31" s="30"/>
      <c r="I31" s="36">
        <f>SUM(I32:I36)</f>
        <v>0</v>
      </c>
      <c r="J31" s="36">
        <f>SUM(J32:J36)</f>
        <v>0</v>
      </c>
      <c r="K31" s="30"/>
      <c r="L31" s="36">
        <f>SUM(L32:L36)</f>
        <v>0</v>
      </c>
      <c r="M31" s="36">
        <f>SUM(M32:M36)</f>
        <v>0</v>
      </c>
      <c r="N31" s="30"/>
    </row>
    <row r="32" spans="2:14" x14ac:dyDescent="0.35">
      <c r="B32" s="32"/>
      <c r="C32" s="32"/>
      <c r="D32" s="30"/>
      <c r="E32" s="17" t="s">
        <v>292</v>
      </c>
      <c r="F32" s="35">
        <f>SUMIF('TB Apr 24'!$D$13:$D$103,MIS!E32,'TB Apr 24'!$E$13:$E$103)</f>
        <v>0</v>
      </c>
      <c r="G32" s="35">
        <f>Budget!C26</f>
        <v>0</v>
      </c>
      <c r="H32" s="30"/>
      <c r="I32" s="32"/>
      <c r="J32" s="32"/>
      <c r="K32" s="30"/>
      <c r="L32" s="32"/>
      <c r="M32" s="32"/>
      <c r="N32" s="30"/>
    </row>
    <row r="33" spans="2:14" x14ac:dyDescent="0.35">
      <c r="B33" s="32"/>
      <c r="C33" s="32"/>
      <c r="D33" s="30"/>
      <c r="E33" s="17" t="s">
        <v>293</v>
      </c>
      <c r="F33" s="35">
        <f>SUMIF('TB Apr 24'!$D$13:$D$103,MIS!E33,'TB Apr 24'!$E$13:$E$103)</f>
        <v>0</v>
      </c>
      <c r="G33" s="35">
        <f>Budget!C27</f>
        <v>0</v>
      </c>
      <c r="H33" s="30"/>
      <c r="I33" s="32"/>
      <c r="J33" s="32"/>
      <c r="K33" s="30"/>
      <c r="L33" s="32"/>
      <c r="M33" s="32"/>
      <c r="N33" s="30"/>
    </row>
    <row r="34" spans="2:14" x14ac:dyDescent="0.35">
      <c r="B34" s="32"/>
      <c r="C34" s="32"/>
      <c r="D34" s="30"/>
      <c r="E34" s="17" t="s">
        <v>294</v>
      </c>
      <c r="F34" s="35">
        <f>SUMIF('TB Apr 24'!$D$13:$D$103,MIS!E34,'TB Apr 24'!$E$13:$E$103)</f>
        <v>95777.22</v>
      </c>
      <c r="G34" s="35">
        <f>Budget!C28</f>
        <v>0</v>
      </c>
      <c r="H34" s="30"/>
      <c r="I34" s="32"/>
      <c r="J34" s="32"/>
      <c r="K34" s="30"/>
      <c r="L34" s="32"/>
      <c r="M34" s="32"/>
      <c r="N34" s="30"/>
    </row>
    <row r="35" spans="2:14" x14ac:dyDescent="0.35">
      <c r="B35" s="32"/>
      <c r="C35" s="32"/>
      <c r="D35" s="30"/>
      <c r="E35" s="17" t="s">
        <v>298</v>
      </c>
      <c r="F35" s="35">
        <f>SUMIF('TB Apr 24'!$D$13:$D$103,MIS!E35,'TB Apr 24'!$E$13:$E$103)</f>
        <v>32249.039999999997</v>
      </c>
      <c r="G35" s="35">
        <f>Budget!C29</f>
        <v>0</v>
      </c>
      <c r="H35" s="30"/>
      <c r="I35" s="32"/>
      <c r="J35" s="32"/>
      <c r="K35" s="30"/>
      <c r="L35" s="32"/>
      <c r="M35" s="32"/>
      <c r="N35" s="30"/>
    </row>
    <row r="36" spans="2:14" x14ac:dyDescent="0.35">
      <c r="B36" s="32"/>
      <c r="C36" s="32"/>
      <c r="D36" s="30"/>
      <c r="E36" s="17" t="s">
        <v>299</v>
      </c>
      <c r="F36" s="35">
        <f>SUMIF('TB Apr 24'!$D$13:$D$103,MIS!E36,'TB Apr 24'!$E$13:$E$103)</f>
        <v>0</v>
      </c>
      <c r="G36" s="35">
        <f>Budget!C30</f>
        <v>0</v>
      </c>
      <c r="H36" s="30"/>
      <c r="I36" s="32"/>
      <c r="J36" s="32"/>
      <c r="K36" s="30"/>
      <c r="L36" s="32"/>
      <c r="M36" s="32"/>
      <c r="N36" s="30"/>
    </row>
    <row r="37" spans="2:14" x14ac:dyDescent="0.35">
      <c r="B37" s="36">
        <f>SUM(B38:B48)</f>
        <v>0</v>
      </c>
      <c r="C37" s="36">
        <f>SUM(C38:C48)</f>
        <v>0</v>
      </c>
      <c r="D37" s="30"/>
      <c r="E37" s="18" t="s">
        <v>262</v>
      </c>
      <c r="F37" s="36">
        <f>SUM(F38:F48)</f>
        <v>84689</v>
      </c>
      <c r="G37" s="36">
        <f>SUM(G38:G48)</f>
        <v>0</v>
      </c>
      <c r="H37" s="30"/>
      <c r="I37" s="36">
        <f>SUM(I38:I48)</f>
        <v>0</v>
      </c>
      <c r="J37" s="36">
        <f>SUM(J38:J48)</f>
        <v>0</v>
      </c>
      <c r="K37" s="30"/>
      <c r="L37" s="36">
        <f>SUM(L38:L48)</f>
        <v>0</v>
      </c>
      <c r="M37" s="36">
        <f>SUM(M38:M48)</f>
        <v>0</v>
      </c>
      <c r="N37" s="30"/>
    </row>
    <row r="38" spans="2:14" x14ac:dyDescent="0.35">
      <c r="B38" s="32"/>
      <c r="C38" s="32"/>
      <c r="D38" s="30"/>
      <c r="E38" s="17" t="s">
        <v>297</v>
      </c>
      <c r="F38" s="35">
        <f>SUMIF('TB Apr 24'!$D$13:$D$103,MIS!E38,'TB Apr 24'!$E$13:$E$103)</f>
        <v>0</v>
      </c>
      <c r="G38" s="35">
        <f>Budget!C32</f>
        <v>0</v>
      </c>
      <c r="H38" s="30"/>
      <c r="I38" s="32"/>
      <c r="J38" s="32"/>
      <c r="K38" s="30"/>
      <c r="L38" s="32"/>
      <c r="M38" s="32"/>
      <c r="N38" s="30"/>
    </row>
    <row r="39" spans="2:14" x14ac:dyDescent="0.35">
      <c r="B39" s="32"/>
      <c r="C39" s="32"/>
      <c r="D39" s="30"/>
      <c r="E39" s="17" t="s">
        <v>296</v>
      </c>
      <c r="F39" s="35">
        <f>SUMIF('TB Apr 24'!$D$13:$D$103,MIS!E39,'TB Apr 24'!$E$13:$E$103)</f>
        <v>0</v>
      </c>
      <c r="G39" s="35">
        <f>Budget!C33</f>
        <v>0</v>
      </c>
      <c r="H39" s="30"/>
      <c r="I39" s="32"/>
      <c r="J39" s="32"/>
      <c r="K39" s="30"/>
      <c r="L39" s="32"/>
      <c r="M39" s="32"/>
      <c r="N39" s="30"/>
    </row>
    <row r="40" spans="2:14" x14ac:dyDescent="0.35">
      <c r="B40" s="32"/>
      <c r="C40" s="32"/>
      <c r="D40" s="30"/>
      <c r="E40" s="17" t="s">
        <v>295</v>
      </c>
      <c r="F40" s="35">
        <f>SUMIF('TB Apr 24'!$D$13:$D$103,MIS!E40,'TB Apr 24'!$E$13:$E$103)</f>
        <v>0</v>
      </c>
      <c r="G40" s="35">
        <f>Budget!C34</f>
        <v>0</v>
      </c>
      <c r="H40" s="30"/>
      <c r="I40" s="32"/>
      <c r="J40" s="32"/>
      <c r="K40" s="30"/>
      <c r="L40" s="32"/>
      <c r="M40" s="32"/>
      <c r="N40" s="30"/>
    </row>
    <row r="41" spans="2:14" x14ac:dyDescent="0.35">
      <c r="B41" s="32"/>
      <c r="C41" s="32"/>
      <c r="D41" s="30"/>
      <c r="E41" s="17" t="s">
        <v>300</v>
      </c>
      <c r="F41" s="35">
        <f>SUMIF('TB Apr 24'!$D$13:$D$103,MIS!E41,'TB Apr 24'!$E$13:$E$103)</f>
        <v>62319</v>
      </c>
      <c r="G41" s="35">
        <f>Budget!C35</f>
        <v>0</v>
      </c>
      <c r="H41" s="30"/>
      <c r="I41" s="32"/>
      <c r="J41" s="32"/>
      <c r="K41" s="30"/>
      <c r="L41" s="32"/>
      <c r="M41" s="32"/>
      <c r="N41" s="30"/>
    </row>
    <row r="42" spans="2:14" x14ac:dyDescent="0.35">
      <c r="B42" s="32"/>
      <c r="C42" s="32"/>
      <c r="D42" s="30"/>
      <c r="E42" s="17" t="s">
        <v>320</v>
      </c>
      <c r="F42" s="35">
        <f>SUMIF('TB Apr 24'!$D$13:$D$103,MIS!E42,'TB Apr 24'!$E$13:$E$103)</f>
        <v>1800</v>
      </c>
      <c r="G42" s="35">
        <f>Budget!C36</f>
        <v>0</v>
      </c>
      <c r="H42" s="30"/>
      <c r="I42" s="32"/>
      <c r="J42" s="32"/>
      <c r="K42" s="30"/>
      <c r="L42" s="32"/>
      <c r="M42" s="32"/>
      <c r="N42" s="30"/>
    </row>
    <row r="43" spans="2:14" x14ac:dyDescent="0.35">
      <c r="B43" s="32"/>
      <c r="C43" s="32"/>
      <c r="D43" s="30"/>
      <c r="E43" s="17" t="s">
        <v>321</v>
      </c>
      <c r="F43" s="35">
        <f>SUMIF('TB Apr 24'!$D$13:$D$103,MIS!E43,'TB Apr 24'!$E$13:$E$103)</f>
        <v>2958</v>
      </c>
      <c r="G43" s="35"/>
      <c r="H43" s="30"/>
      <c r="I43" s="32"/>
      <c r="J43" s="32"/>
      <c r="K43" s="30"/>
      <c r="L43" s="32"/>
      <c r="M43" s="32"/>
      <c r="N43" s="30"/>
    </row>
    <row r="44" spans="2:14" x14ac:dyDescent="0.35">
      <c r="B44" s="32"/>
      <c r="C44" s="32"/>
      <c r="D44" s="30"/>
      <c r="E44" s="17" t="s">
        <v>323</v>
      </c>
      <c r="F44" s="35">
        <f>SUMIF('TB Apr 24'!$D$13:$D$103,MIS!E44,'TB Apr 24'!$E$13:$E$103)</f>
        <v>2761</v>
      </c>
      <c r="G44" s="35">
        <f>Budget!C37</f>
        <v>0</v>
      </c>
      <c r="H44" s="30"/>
      <c r="I44" s="32"/>
      <c r="J44" s="32"/>
      <c r="K44" s="30"/>
      <c r="L44" s="32"/>
      <c r="M44" s="32"/>
      <c r="N44" s="30"/>
    </row>
    <row r="45" spans="2:14" x14ac:dyDescent="0.35">
      <c r="B45" s="32"/>
      <c r="C45" s="32"/>
      <c r="D45" s="30"/>
      <c r="E45" s="17" t="s">
        <v>322</v>
      </c>
      <c r="F45" s="35">
        <f>SUMIF('TB Apr 24'!$D$13:$D$103,MIS!E45,'TB Apr 24'!$E$13:$E$103)</f>
        <v>14851</v>
      </c>
      <c r="G45" s="35">
        <f>Budget!C38</f>
        <v>0</v>
      </c>
      <c r="H45" s="30"/>
      <c r="I45" s="32"/>
      <c r="J45" s="32"/>
      <c r="K45" s="30"/>
      <c r="L45" s="32"/>
      <c r="M45" s="32"/>
      <c r="N45" s="30"/>
    </row>
    <row r="46" spans="2:14" ht="29" x14ac:dyDescent="0.35">
      <c r="B46" s="32"/>
      <c r="C46" s="32"/>
      <c r="D46" s="30"/>
      <c r="E46" s="17" t="s">
        <v>304</v>
      </c>
      <c r="F46" s="35">
        <f>SUMIF('TB Apr 24'!$D$13:$D$103,MIS!E46,'TB Apr 24'!$E$13:$E$103)</f>
        <v>0</v>
      </c>
      <c r="G46" s="35">
        <f>Budget!C39</f>
        <v>0</v>
      </c>
      <c r="H46" s="30"/>
      <c r="I46" s="32"/>
      <c r="J46" s="32"/>
      <c r="K46" s="30"/>
      <c r="L46" s="32"/>
      <c r="M46" s="32"/>
      <c r="N46" s="30"/>
    </row>
    <row r="47" spans="2:14" x14ac:dyDescent="0.35">
      <c r="B47" s="32"/>
      <c r="C47" s="32"/>
      <c r="D47" s="30"/>
      <c r="E47" s="17" t="s">
        <v>303</v>
      </c>
      <c r="F47" s="35">
        <f>SUMIF('TB Apr 24'!$D$13:$D$103,MIS!E47,'TB Apr 24'!$E$13:$E$103)</f>
        <v>0</v>
      </c>
      <c r="G47" s="35">
        <f>Budget!C40</f>
        <v>0</v>
      </c>
      <c r="H47" s="30"/>
      <c r="I47" s="32"/>
      <c r="J47" s="32"/>
      <c r="K47" s="30"/>
      <c r="L47" s="32"/>
      <c r="M47" s="32"/>
      <c r="N47" s="30"/>
    </row>
    <row r="48" spans="2:14" x14ac:dyDescent="0.35">
      <c r="B48" s="32"/>
      <c r="C48" s="32"/>
      <c r="D48" s="30"/>
      <c r="E48" s="17"/>
      <c r="F48" s="35"/>
      <c r="G48" s="35"/>
      <c r="H48" s="30"/>
      <c r="I48" s="32"/>
      <c r="J48" s="32"/>
      <c r="K48" s="30"/>
      <c r="L48" s="32"/>
      <c r="M48" s="32"/>
      <c r="N48" s="30"/>
    </row>
    <row r="49" spans="2:14" x14ac:dyDescent="0.35">
      <c r="B49" s="36">
        <f>B21+B26+B31+B37</f>
        <v>0</v>
      </c>
      <c r="C49" s="36">
        <f>C21+C26+C31+C37</f>
        <v>0</v>
      </c>
      <c r="D49" s="30"/>
      <c r="E49" s="18" t="s">
        <v>241</v>
      </c>
      <c r="F49" s="36">
        <f>F21+F26+F31+F37</f>
        <v>1104091.6363704111</v>
      </c>
      <c r="G49" s="36">
        <f>G21+G26+G31+G37</f>
        <v>0</v>
      </c>
      <c r="H49" s="30"/>
      <c r="I49" s="36">
        <f>I21+I26+I31+I37</f>
        <v>0</v>
      </c>
      <c r="J49" s="36">
        <f>J21+J26+J31+J37</f>
        <v>0</v>
      </c>
      <c r="K49" s="30"/>
      <c r="L49" s="36">
        <f>L21+L26+L31+L37</f>
        <v>0</v>
      </c>
      <c r="M49" s="36">
        <f>M21+M26+M31+M37</f>
        <v>0</v>
      </c>
      <c r="N49" s="30"/>
    </row>
    <row r="50" spans="2:14" x14ac:dyDescent="0.35">
      <c r="B50" s="32"/>
      <c r="C50" s="32"/>
      <c r="D50" s="30"/>
      <c r="E50" s="18" t="s">
        <v>263</v>
      </c>
      <c r="F50" s="36" t="e">
        <f>F19-F49</f>
        <v>#VALUE!</v>
      </c>
      <c r="G50" s="36">
        <f>G19-G49</f>
        <v>0</v>
      </c>
      <c r="H50" s="30"/>
      <c r="I50" s="36">
        <f>I19-I49</f>
        <v>0</v>
      </c>
      <c r="J50" s="36">
        <f>J19-J49</f>
        <v>0</v>
      </c>
      <c r="K50" s="30"/>
      <c r="L50" s="36">
        <f>L19-L49</f>
        <v>0</v>
      </c>
      <c r="M50" s="36">
        <f>M19-M49</f>
        <v>0</v>
      </c>
      <c r="N50" s="30"/>
    </row>
    <row r="51" spans="2:14" ht="29" x14ac:dyDescent="0.35">
      <c r="B51" s="47"/>
      <c r="C51" s="47"/>
      <c r="D51" s="48"/>
      <c r="E51" s="49" t="s">
        <v>265</v>
      </c>
      <c r="F51" s="50"/>
      <c r="G51" s="50"/>
      <c r="H51" s="48"/>
      <c r="I51" s="50"/>
      <c r="J51" s="50"/>
      <c r="K51" s="48"/>
      <c r="L51" s="50"/>
      <c r="M51" s="50"/>
      <c r="N51" s="48"/>
    </row>
    <row r="52" spans="2:14" ht="29" x14ac:dyDescent="0.35">
      <c r="B52" s="51"/>
      <c r="C52" s="51"/>
      <c r="D52" s="52"/>
      <c r="E52" s="53" t="s">
        <v>266</v>
      </c>
      <c r="F52" s="54"/>
      <c r="G52" s="54"/>
      <c r="H52" s="52"/>
      <c r="I52" s="54"/>
      <c r="J52" s="54"/>
      <c r="K52" s="52"/>
      <c r="L52" s="54"/>
      <c r="M52" s="54"/>
      <c r="N52" s="52"/>
    </row>
    <row r="53" spans="2:14" ht="29" x14ac:dyDescent="0.35">
      <c r="B53" s="32"/>
      <c r="C53" s="32"/>
      <c r="D53" s="30"/>
      <c r="E53" s="19" t="s">
        <v>264</v>
      </c>
      <c r="F53" s="37">
        <f>SUM(F54:F56)</f>
        <v>0</v>
      </c>
      <c r="G53" s="37">
        <f>SUM(G54:G56)</f>
        <v>0</v>
      </c>
      <c r="H53" s="30"/>
      <c r="I53" s="37">
        <f>SUM(I54:I56)</f>
        <v>0</v>
      </c>
      <c r="J53" s="37">
        <f>SUM(J54:J56)</f>
        <v>0</v>
      </c>
      <c r="K53" s="30"/>
      <c r="L53" s="37">
        <f>SUM(L54:L56)</f>
        <v>0</v>
      </c>
      <c r="M53" s="37">
        <f>SUM(M54:M56)</f>
        <v>0</v>
      </c>
      <c r="N53" s="30"/>
    </row>
    <row r="54" spans="2:14" x14ac:dyDescent="0.35">
      <c r="B54" s="32"/>
      <c r="C54" s="32"/>
      <c r="D54" s="30"/>
      <c r="E54" s="20" t="s">
        <v>242</v>
      </c>
      <c r="F54" s="38">
        <f>SUMIF('TB Apr 24'!$D$13:$D$103,MIS!E54,'TB Apr 24'!$E$13:$E$103)</f>
        <v>0</v>
      </c>
      <c r="G54" s="38">
        <f>Budget!C44</f>
        <v>0</v>
      </c>
      <c r="H54" s="30"/>
      <c r="I54" s="32"/>
      <c r="J54" s="32"/>
      <c r="K54" s="30"/>
      <c r="L54" s="32"/>
      <c r="M54" s="32"/>
      <c r="N54" s="30"/>
    </row>
    <row r="55" spans="2:14" x14ac:dyDescent="0.35">
      <c r="B55" s="32"/>
      <c r="C55" s="32"/>
      <c r="D55" s="30"/>
      <c r="E55" s="20" t="s">
        <v>243</v>
      </c>
      <c r="F55" s="38">
        <f>SUMIF('TB Apr 24'!$D$13:$D$103,MIS!E55,'TB Apr 24'!$E$13:$E$103)</f>
        <v>0</v>
      </c>
      <c r="G55" s="38">
        <f>Budget!C45</f>
        <v>0</v>
      </c>
      <c r="H55" s="30"/>
      <c r="I55" s="32"/>
      <c r="J55" s="32"/>
      <c r="K55" s="30"/>
      <c r="L55" s="32"/>
      <c r="M55" s="32"/>
      <c r="N55" s="30"/>
    </row>
    <row r="56" spans="2:14" ht="29" x14ac:dyDescent="0.35">
      <c r="B56" s="32"/>
      <c r="C56" s="32"/>
      <c r="D56" s="30"/>
      <c r="E56" s="20" t="s">
        <v>244</v>
      </c>
      <c r="F56" s="38">
        <f>SUMIF('TB Apr 24'!$D$13:$D$103,MIS!E56,'TB Apr 24'!$E$13:$E$103)</f>
        <v>0</v>
      </c>
      <c r="G56" s="38">
        <f>Budget!C46</f>
        <v>0</v>
      </c>
      <c r="H56" s="30"/>
      <c r="I56" s="32"/>
      <c r="J56" s="32"/>
      <c r="K56" s="30"/>
      <c r="L56" s="32"/>
      <c r="M56" s="32"/>
      <c r="N56" s="30"/>
    </row>
    <row r="57" spans="2:14" x14ac:dyDescent="0.35">
      <c r="B57" s="39">
        <f>B50-B53</f>
        <v>0</v>
      </c>
      <c r="C57" s="39">
        <f>C50-C53</f>
        <v>0</v>
      </c>
      <c r="D57" s="30"/>
      <c r="E57" s="21" t="s">
        <v>245</v>
      </c>
      <c r="F57" s="39" t="e">
        <f>F50-F53</f>
        <v>#VALUE!</v>
      </c>
      <c r="G57" s="39">
        <f>G50-G53</f>
        <v>0</v>
      </c>
      <c r="H57" s="30"/>
      <c r="I57" s="39">
        <f>I50-I53</f>
        <v>0</v>
      </c>
      <c r="J57" s="39">
        <f>J50-J53</f>
        <v>0</v>
      </c>
      <c r="K57" s="30"/>
      <c r="L57" s="39">
        <f>L50-L53</f>
        <v>0</v>
      </c>
      <c r="M57" s="39">
        <f>M50-M53</f>
        <v>0</v>
      </c>
      <c r="N57" s="30"/>
    </row>
    <row r="58" spans="2:14" x14ac:dyDescent="0.35">
      <c r="B58" s="32"/>
      <c r="C58" s="32"/>
      <c r="D58" s="30"/>
      <c r="E58" s="21" t="s">
        <v>246</v>
      </c>
      <c r="F58" s="39"/>
      <c r="G58" s="39"/>
      <c r="H58" s="30"/>
      <c r="I58" s="32"/>
      <c r="J58" s="32"/>
      <c r="K58" s="30"/>
      <c r="L58" s="32"/>
      <c r="M58" s="32"/>
      <c r="N58" s="30"/>
    </row>
    <row r="59" spans="2:14" ht="15" thickBot="1" x14ac:dyDescent="0.4">
      <c r="B59" s="33"/>
      <c r="C59" s="33"/>
      <c r="D59" s="31"/>
      <c r="E59" s="22" t="s">
        <v>247</v>
      </c>
      <c r="F59" s="40"/>
      <c r="G59" s="40"/>
      <c r="H59" s="31"/>
      <c r="I59" s="33"/>
      <c r="J59" s="33"/>
      <c r="K59" s="31"/>
      <c r="L59" s="33"/>
      <c r="M59" s="33"/>
      <c r="N59" s="31"/>
    </row>
  </sheetData>
  <mergeCells count="5">
    <mergeCell ref="B7:D7"/>
    <mergeCell ref="L7:N7"/>
    <mergeCell ref="E7:E8"/>
    <mergeCell ref="F7:H7"/>
    <mergeCell ref="I7:K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0000000}">
          <x14:formula1>
            <xm:f>'List of Outlets'!$G$3:$G$17</xm:f>
          </x14:formula1>
          <xm:sqref>F3</xm:sqref>
        </x14:dataValidation>
        <x14:dataValidation type="list" allowBlank="1" showInputMessage="1" showErrorMessage="1" xr:uid="{00000000-0002-0000-0F00-000001000000}">
          <x14:formula1>
            <xm:f>'List of Outlets'!$E$3:$E$11</xm:f>
          </x14:formula1>
          <xm:sqref>F1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F104"/>
  <sheetViews>
    <sheetView topLeftCell="A6" workbookViewId="0">
      <pane xSplit="3" ySplit="1" topLeftCell="BA85" activePane="bottomRight" state="frozen"/>
      <selection activeCell="A6" sqref="A6"/>
      <selection pane="topRight" activeCell="D6" sqref="D6"/>
      <selection pane="bottomLeft" activeCell="A7" sqref="A7"/>
      <selection pane="bottomRight" activeCell="BD100" sqref="BD100"/>
    </sheetView>
  </sheetViews>
  <sheetFormatPr defaultColWidth="9.1796875" defaultRowHeight="14.5" x14ac:dyDescent="0.35"/>
  <cols>
    <col min="1" max="1" width="11.453125" customWidth="1"/>
    <col min="2" max="3" width="37.1796875" customWidth="1"/>
    <col min="4" max="56" width="12.81640625" customWidth="1"/>
    <col min="57" max="57" width="9.54296875" bestFit="1" customWidth="1"/>
    <col min="58" max="58" width="14.36328125" bestFit="1" customWidth="1"/>
  </cols>
  <sheetData>
    <row r="1" spans="1:58" ht="15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 spans="1:58" ht="15" customHeight="1" x14ac:dyDescent="0.3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8" ht="15.75" customHeight="1" x14ac:dyDescent="0.3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</row>
    <row r="4" spans="1:58" ht="15" customHeight="1" x14ac:dyDescent="0.35">
      <c r="A4" s="10" t="s">
        <v>306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</row>
    <row r="5" spans="1:58" ht="15" customHeight="1" x14ac:dyDescent="0.35">
      <c r="A5" s="10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 spans="1:58" ht="15" customHeight="1" x14ac:dyDescent="0.35">
      <c r="A6" s="1" t="s">
        <v>315</v>
      </c>
      <c r="B6" s="2" t="s">
        <v>237</v>
      </c>
      <c r="C6" s="2" t="s">
        <v>267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  <c r="W6" s="1" t="s">
        <v>23</v>
      </c>
      <c r="X6" s="1" t="s">
        <v>24</v>
      </c>
      <c r="Y6" s="1" t="s">
        <v>25</v>
      </c>
      <c r="Z6" s="1" t="s">
        <v>26</v>
      </c>
      <c r="AA6" s="1" t="s">
        <v>27</v>
      </c>
      <c r="AB6" s="1" t="s">
        <v>28</v>
      </c>
      <c r="AC6" s="1" t="s">
        <v>29</v>
      </c>
      <c r="AD6" s="1" t="s">
        <v>30</v>
      </c>
      <c r="AE6" s="1" t="s">
        <v>31</v>
      </c>
      <c r="AF6" s="1" t="s">
        <v>32</v>
      </c>
      <c r="AG6" s="1" t="s">
        <v>33</v>
      </c>
      <c r="AH6" s="1" t="s">
        <v>34</v>
      </c>
      <c r="AI6" s="1" t="s">
        <v>35</v>
      </c>
      <c r="AJ6" s="1" t="s">
        <v>36</v>
      </c>
      <c r="AK6" s="1" t="s">
        <v>37</v>
      </c>
      <c r="AL6" s="1" t="s">
        <v>38</v>
      </c>
      <c r="AM6" s="1" t="s">
        <v>39</v>
      </c>
      <c r="AN6" s="1" t="s">
        <v>40</v>
      </c>
      <c r="AO6" s="1" t="s">
        <v>41</v>
      </c>
      <c r="AP6" s="1" t="s">
        <v>42</v>
      </c>
      <c r="AQ6" s="1" t="s">
        <v>43</v>
      </c>
      <c r="AR6" s="1" t="s">
        <v>44</v>
      </c>
      <c r="AS6" s="1" t="s">
        <v>45</v>
      </c>
      <c r="AT6" s="1" t="s">
        <v>46</v>
      </c>
      <c r="AU6" s="1" t="s">
        <v>47</v>
      </c>
      <c r="AV6" s="1" t="s">
        <v>48</v>
      </c>
      <c r="AW6" s="1" t="s">
        <v>49</v>
      </c>
      <c r="AX6" s="1" t="s">
        <v>50</v>
      </c>
      <c r="AY6" s="1" t="s">
        <v>51</v>
      </c>
      <c r="AZ6" s="1" t="s">
        <v>52</v>
      </c>
      <c r="BA6" s="1" t="s">
        <v>53</v>
      </c>
      <c r="BB6" s="1" t="s">
        <v>54</v>
      </c>
      <c r="BC6" s="1" t="s">
        <v>55</v>
      </c>
      <c r="BD6" s="1" t="s">
        <v>56</v>
      </c>
      <c r="BE6" s="12" t="s">
        <v>979</v>
      </c>
      <c r="BF6" s="12" t="s">
        <v>980</v>
      </c>
    </row>
    <row r="7" spans="1:58" ht="15" customHeight="1" x14ac:dyDescent="0.35">
      <c r="A7" s="3" t="s">
        <v>949</v>
      </c>
      <c r="B7" s="4" t="s">
        <v>950</v>
      </c>
      <c r="C7" s="4" t="str">
        <f>VLOOKUP(A7,'TB Apr 24'!$A$11:$D$103,4,0)</f>
        <v>Other Sale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-2517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-2517</v>
      </c>
      <c r="BE7">
        <v>-2517</v>
      </c>
      <c r="BF7" s="66">
        <f>BD7-BE7</f>
        <v>0</v>
      </c>
    </row>
    <row r="8" spans="1:58" ht="15" customHeight="1" x14ac:dyDescent="0.35">
      <c r="A8" s="3" t="s">
        <v>951</v>
      </c>
      <c r="B8" s="4" t="s">
        <v>952</v>
      </c>
      <c r="C8" s="4" t="str">
        <f>VLOOKUP(A8,'TB Apr 24'!$A$11:$D$103,4,0)</f>
        <v>Other Sale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-2214.4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-2214.4</v>
      </c>
      <c r="BE8">
        <v>-2214.4</v>
      </c>
      <c r="BF8">
        <f t="shared" ref="BF8:BF71" si="0">BD8-BE8</f>
        <v>0</v>
      </c>
    </row>
    <row r="9" spans="1:58" ht="15" customHeight="1" x14ac:dyDescent="0.35">
      <c r="A9" s="3" t="s">
        <v>57</v>
      </c>
      <c r="B9" s="4" t="s">
        <v>58</v>
      </c>
      <c r="C9" s="4" t="str">
        <f>VLOOKUP(A9,'TB Apr 24'!$A$11:$D$103,4,0)</f>
        <v>Other Sale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-500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-500</v>
      </c>
      <c r="BE9">
        <v>-500</v>
      </c>
      <c r="BF9">
        <f t="shared" si="0"/>
        <v>0</v>
      </c>
    </row>
    <row r="10" spans="1:58" ht="15" customHeight="1" x14ac:dyDescent="0.35">
      <c r="A10" s="3" t="s">
        <v>307</v>
      </c>
      <c r="B10" s="4" t="s">
        <v>308</v>
      </c>
      <c r="C10" s="4" t="str">
        <f>VLOOKUP(A10,'TB Apr 24'!$A$11:$D$103,4,0)</f>
        <v>Other Sale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2341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2341</v>
      </c>
      <c r="BE10">
        <v>2341</v>
      </c>
      <c r="BF10">
        <f t="shared" si="0"/>
        <v>0</v>
      </c>
    </row>
    <row r="11" spans="1:58" ht="15" customHeight="1" x14ac:dyDescent="0.35">
      <c r="A11" s="3" t="s">
        <v>59</v>
      </c>
      <c r="B11" s="4" t="s">
        <v>60</v>
      </c>
      <c r="C11" s="4" t="str">
        <f>VLOOKUP(A11,'TB Apr 24'!$A$11:$D$103,4,0)</f>
        <v>Other Sale</v>
      </c>
      <c r="D11" s="5">
        <v>-3.24</v>
      </c>
      <c r="E11" s="5">
        <v>-24.05</v>
      </c>
      <c r="F11" s="5">
        <v>0</v>
      </c>
      <c r="G11" s="5">
        <v>-31.69</v>
      </c>
      <c r="H11" s="5">
        <v>23.4</v>
      </c>
      <c r="I11" s="5">
        <v>-26.47</v>
      </c>
      <c r="J11" s="5">
        <v>-29.63</v>
      </c>
      <c r="K11" s="5">
        <v>0</v>
      </c>
      <c r="L11" s="5">
        <v>-34.36</v>
      </c>
      <c r="M11" s="5">
        <v>-20.41</v>
      </c>
      <c r="N11" s="5">
        <v>0</v>
      </c>
      <c r="O11" s="5">
        <v>0</v>
      </c>
      <c r="P11" s="5">
        <v>0</v>
      </c>
      <c r="Q11" s="5">
        <v>-26</v>
      </c>
      <c r="R11" s="5">
        <v>-33.72</v>
      </c>
      <c r="S11" s="5">
        <v>0</v>
      </c>
      <c r="T11" s="5">
        <v>-25.46</v>
      </c>
      <c r="U11" s="5">
        <v>0</v>
      </c>
      <c r="V11" s="5">
        <v>-24.24</v>
      </c>
      <c r="W11" s="5">
        <v>-27.06</v>
      </c>
      <c r="X11" s="5">
        <v>-22.36</v>
      </c>
      <c r="Y11" s="5">
        <v>-50.89</v>
      </c>
      <c r="Z11" s="5">
        <v>-61.61</v>
      </c>
      <c r="AA11" s="5">
        <v>0</v>
      </c>
      <c r="AB11" s="5">
        <v>-15.03</v>
      </c>
      <c r="AC11" s="5">
        <v>-57.44</v>
      </c>
      <c r="AD11" s="5">
        <v>-21.4</v>
      </c>
      <c r="AE11" s="5">
        <v>-20.170000000000002</v>
      </c>
      <c r="AF11" s="5">
        <v>-52.04</v>
      </c>
      <c r="AG11" s="5">
        <v>-44.71</v>
      </c>
      <c r="AH11" s="5">
        <v>-22.95</v>
      </c>
      <c r="AI11" s="5">
        <v>-26.78</v>
      </c>
      <c r="AJ11" s="5">
        <v>0</v>
      </c>
      <c r="AK11" s="5">
        <v>0</v>
      </c>
      <c r="AL11" s="5">
        <v>0</v>
      </c>
      <c r="AM11" s="5">
        <v>0</v>
      </c>
      <c r="AN11" s="5">
        <v>-30.88</v>
      </c>
      <c r="AO11" s="5">
        <v>0</v>
      </c>
      <c r="AP11" s="5">
        <v>0</v>
      </c>
      <c r="AQ11" s="5">
        <v>-58.15</v>
      </c>
      <c r="AR11" s="5">
        <v>-41.22</v>
      </c>
      <c r="AS11" s="5">
        <v>-30.46</v>
      </c>
      <c r="AT11" s="5">
        <v>0</v>
      </c>
      <c r="AU11" s="5">
        <v>-12.02</v>
      </c>
      <c r="AV11" s="5">
        <v>-11.1</v>
      </c>
      <c r="AW11" s="5">
        <v>-11.51</v>
      </c>
      <c r="AX11" s="5">
        <v>0</v>
      </c>
      <c r="AY11" s="5">
        <v>0</v>
      </c>
      <c r="AZ11" s="5">
        <v>-6.16</v>
      </c>
      <c r="BA11" s="5">
        <v>-2.86</v>
      </c>
      <c r="BB11" s="5">
        <v>-44.75</v>
      </c>
      <c r="BC11" s="5">
        <v>16.760000000000002</v>
      </c>
      <c r="BD11" s="5">
        <v>-910.66</v>
      </c>
      <c r="BE11">
        <v>-910.66</v>
      </c>
      <c r="BF11">
        <f t="shared" si="0"/>
        <v>0</v>
      </c>
    </row>
    <row r="12" spans="1:58" ht="15" customHeight="1" x14ac:dyDescent="0.35">
      <c r="A12" s="3" t="s">
        <v>61</v>
      </c>
      <c r="B12" s="4" t="s">
        <v>62</v>
      </c>
      <c r="C12" s="4" t="str">
        <f>VLOOKUP(A12,'TB Apr 24'!$A$11:$D$103,4,0)</f>
        <v>Food Sale</v>
      </c>
      <c r="D12" s="5">
        <v>-120165.39</v>
      </c>
      <c r="E12" s="5">
        <v>-282436.05</v>
      </c>
      <c r="F12" s="5">
        <v>0</v>
      </c>
      <c r="G12" s="5">
        <v>-92001.55</v>
      </c>
      <c r="H12" s="5">
        <v>-433081.29</v>
      </c>
      <c r="I12" s="5">
        <v>-28431.07</v>
      </c>
      <c r="J12" s="5">
        <v>-60415.37</v>
      </c>
      <c r="K12" s="5">
        <v>0</v>
      </c>
      <c r="L12" s="5">
        <v>-18583.95</v>
      </c>
      <c r="M12" s="5">
        <v>-19676.03</v>
      </c>
      <c r="N12" s="5">
        <v>0</v>
      </c>
      <c r="O12" s="5">
        <v>0</v>
      </c>
      <c r="P12" s="5">
        <v>0</v>
      </c>
      <c r="Q12" s="5">
        <v>-269043</v>
      </c>
      <c r="R12" s="5">
        <v>-11098.02</v>
      </c>
      <c r="S12" s="5">
        <v>0</v>
      </c>
      <c r="T12" s="5">
        <v>-52499.9</v>
      </c>
      <c r="U12" s="5">
        <v>0</v>
      </c>
      <c r="V12" s="5">
        <v>-7364.03</v>
      </c>
      <c r="W12" s="5">
        <v>-63316</v>
      </c>
      <c r="X12" s="5">
        <v>-44565.47</v>
      </c>
      <c r="Y12" s="5">
        <v>-136727.46</v>
      </c>
      <c r="Z12" s="5">
        <v>-146149.63</v>
      </c>
      <c r="AA12" s="5">
        <v>0</v>
      </c>
      <c r="AB12" s="5">
        <v>-43298.54</v>
      </c>
      <c r="AC12" s="5">
        <v>-370749.76</v>
      </c>
      <c r="AD12" s="5">
        <v>-11655.42</v>
      </c>
      <c r="AE12" s="5">
        <v>-45763.99</v>
      </c>
      <c r="AF12" s="5">
        <v>-90101.28</v>
      </c>
      <c r="AG12" s="5">
        <v>-588490.54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-6355.01</v>
      </c>
      <c r="AO12" s="5">
        <v>0</v>
      </c>
      <c r="AP12" s="5">
        <v>0</v>
      </c>
      <c r="AQ12" s="5">
        <v>-57946.2</v>
      </c>
      <c r="AR12" s="5">
        <v>-49154.38</v>
      </c>
      <c r="AS12" s="5">
        <v>-164046.57</v>
      </c>
      <c r="AT12" s="5">
        <v>0</v>
      </c>
      <c r="AU12" s="5">
        <v>-8240.01</v>
      </c>
      <c r="AV12" s="5">
        <v>-12981.05</v>
      </c>
      <c r="AW12" s="5">
        <v>-16775.46</v>
      </c>
      <c r="AX12" s="5">
        <v>0</v>
      </c>
      <c r="AY12" s="5">
        <v>0</v>
      </c>
      <c r="AZ12" s="5">
        <v>-11376</v>
      </c>
      <c r="BA12" s="5">
        <v>-2515</v>
      </c>
      <c r="BB12" s="5">
        <v>-9341.01</v>
      </c>
      <c r="BC12" s="5">
        <v>-8027.04</v>
      </c>
      <c r="BD12" s="5">
        <v>-3282371.47</v>
      </c>
      <c r="BE12">
        <v>-3282371.4699999988</v>
      </c>
      <c r="BF12">
        <f t="shared" si="0"/>
        <v>0</v>
      </c>
    </row>
    <row r="13" spans="1:58" ht="15" customHeight="1" x14ac:dyDescent="0.35">
      <c r="A13" s="3" t="s">
        <v>63</v>
      </c>
      <c r="B13" s="4" t="s">
        <v>64</v>
      </c>
      <c r="C13" s="4" t="str">
        <f>VLOOKUP(A13,'TB Apr 24'!$A$11:$D$103,4,0)</f>
        <v>Beverages Sale</v>
      </c>
      <c r="D13" s="5">
        <v>0</v>
      </c>
      <c r="E13" s="5">
        <v>0</v>
      </c>
      <c r="F13" s="5">
        <v>0</v>
      </c>
      <c r="G13" s="5">
        <v>0</v>
      </c>
      <c r="H13" s="5">
        <v>-12265.79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-206.52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-12472.31</v>
      </c>
      <c r="BE13">
        <v>-12472.310000000001</v>
      </c>
      <c r="BF13">
        <f t="shared" si="0"/>
        <v>0</v>
      </c>
    </row>
    <row r="14" spans="1:58" ht="15" customHeight="1" x14ac:dyDescent="0.35">
      <c r="A14" s="3" t="s">
        <v>65</v>
      </c>
      <c r="B14" s="4" t="s">
        <v>66</v>
      </c>
      <c r="C14" s="4" t="str">
        <f>VLOOKUP(A14,'TB Apr 24'!$A$11:$D$103,4,0)</f>
        <v>Food Sale</v>
      </c>
      <c r="D14" s="5">
        <v>-828852.87</v>
      </c>
      <c r="E14" s="5">
        <v>-1085092.93</v>
      </c>
      <c r="F14" s="5">
        <v>0</v>
      </c>
      <c r="G14" s="5">
        <v>-2326688.83</v>
      </c>
      <c r="H14" s="5">
        <v>-381792.86</v>
      </c>
      <c r="I14" s="5">
        <v>-1399369.58</v>
      </c>
      <c r="J14" s="5">
        <v>-2106452.66</v>
      </c>
      <c r="K14" s="5">
        <v>0</v>
      </c>
      <c r="L14" s="5">
        <v>-1555056.49</v>
      </c>
      <c r="M14" s="5">
        <v>-1884843.44</v>
      </c>
      <c r="N14" s="5">
        <v>0</v>
      </c>
      <c r="O14" s="5">
        <v>0</v>
      </c>
      <c r="P14" s="5">
        <v>0</v>
      </c>
      <c r="Q14" s="5">
        <v>-2197625.2599999998</v>
      </c>
      <c r="R14" s="5">
        <v>-1032048.64</v>
      </c>
      <c r="S14" s="5">
        <v>0</v>
      </c>
      <c r="T14" s="5">
        <v>-2238125.19</v>
      </c>
      <c r="U14" s="5">
        <v>0</v>
      </c>
      <c r="V14" s="5">
        <v>-534094.43000000005</v>
      </c>
      <c r="W14" s="5">
        <v>-1128693.8999999999</v>
      </c>
      <c r="X14" s="5">
        <v>-1083881.42</v>
      </c>
      <c r="Y14" s="5">
        <v>-885707.8</v>
      </c>
      <c r="Z14" s="5">
        <v>-1365880.45</v>
      </c>
      <c r="AA14" s="5">
        <v>0</v>
      </c>
      <c r="AB14" s="5">
        <v>-1882010.36</v>
      </c>
      <c r="AC14" s="5">
        <v>-2874874.73</v>
      </c>
      <c r="AD14" s="5">
        <v>-214062.9</v>
      </c>
      <c r="AE14" s="5">
        <v>-1287772.48</v>
      </c>
      <c r="AF14" s="5">
        <v>-1226354.92</v>
      </c>
      <c r="AG14" s="5">
        <v>-678314.5</v>
      </c>
      <c r="AH14" s="5">
        <v>-1190789.77</v>
      </c>
      <c r="AI14" s="5">
        <v>-1619618.45</v>
      </c>
      <c r="AJ14" s="5">
        <v>0</v>
      </c>
      <c r="AK14" s="5">
        <v>0</v>
      </c>
      <c r="AL14" s="5">
        <v>0</v>
      </c>
      <c r="AM14" s="5">
        <v>0</v>
      </c>
      <c r="AN14" s="5">
        <v>-3158627.72</v>
      </c>
      <c r="AO14" s="5">
        <v>-142519</v>
      </c>
      <c r="AP14" s="5">
        <v>0</v>
      </c>
      <c r="AQ14" s="5">
        <v>-3827277.11</v>
      </c>
      <c r="AR14" s="5">
        <v>-1285933.1000000001</v>
      </c>
      <c r="AS14" s="5">
        <v>-1133956.8999999999</v>
      </c>
      <c r="AT14" s="5">
        <v>0</v>
      </c>
      <c r="AU14" s="5">
        <v>-878847.38</v>
      </c>
      <c r="AV14" s="5">
        <v>-1605947.02</v>
      </c>
      <c r="AW14" s="5">
        <v>-854060.22</v>
      </c>
      <c r="AX14" s="5">
        <v>0</v>
      </c>
      <c r="AY14" s="5">
        <v>0</v>
      </c>
      <c r="AZ14" s="5">
        <v>-2011912.95</v>
      </c>
      <c r="BA14" s="5">
        <v>-731786.99</v>
      </c>
      <c r="BB14" s="5">
        <v>-2745993.54</v>
      </c>
      <c r="BC14" s="5">
        <v>-457407.72</v>
      </c>
      <c r="BD14" s="5">
        <v>-51842274.509999998</v>
      </c>
      <c r="BE14">
        <v>-51842274.510000005</v>
      </c>
      <c r="BF14">
        <f t="shared" si="0"/>
        <v>0</v>
      </c>
    </row>
    <row r="15" spans="1:58" ht="15" customHeight="1" x14ac:dyDescent="0.35">
      <c r="A15" s="3" t="s">
        <v>67</v>
      </c>
      <c r="B15" s="4" t="s">
        <v>68</v>
      </c>
      <c r="C15" s="4" t="str">
        <f>VLOOKUP(A15,'TB Apr 24'!$A$11:$D$103,4,0)</f>
        <v>Beverages Sale</v>
      </c>
      <c r="D15" s="5">
        <v>-176597.09</v>
      </c>
      <c r="E15" s="5">
        <v>-168776.09</v>
      </c>
      <c r="F15" s="5">
        <v>0</v>
      </c>
      <c r="G15" s="5">
        <v>-404033.54</v>
      </c>
      <c r="H15" s="5">
        <v>-69000.63</v>
      </c>
      <c r="I15" s="5">
        <v>-353862.42</v>
      </c>
      <c r="J15" s="5">
        <v>-351603.13</v>
      </c>
      <c r="K15" s="5">
        <v>0</v>
      </c>
      <c r="L15" s="5">
        <v>-309537.02</v>
      </c>
      <c r="M15" s="5">
        <v>-364928.3</v>
      </c>
      <c r="N15" s="5">
        <v>0</v>
      </c>
      <c r="O15" s="5">
        <v>0</v>
      </c>
      <c r="P15" s="5">
        <v>0</v>
      </c>
      <c r="Q15" s="5">
        <v>-267034.34999999998</v>
      </c>
      <c r="R15" s="5">
        <v>-162365.70000000001</v>
      </c>
      <c r="S15" s="5">
        <v>0</v>
      </c>
      <c r="T15" s="5">
        <v>-239174.22</v>
      </c>
      <c r="U15" s="5">
        <v>0</v>
      </c>
      <c r="V15" s="5">
        <v>-164228.06</v>
      </c>
      <c r="W15" s="5">
        <v>-281762.88</v>
      </c>
      <c r="X15" s="5">
        <v>-327717.46000000002</v>
      </c>
      <c r="Y15" s="5">
        <v>-238327.7</v>
      </c>
      <c r="Z15" s="5">
        <v>-213208.67</v>
      </c>
      <c r="AA15" s="5">
        <v>0</v>
      </c>
      <c r="AB15" s="5">
        <v>-314557.96999999997</v>
      </c>
      <c r="AC15" s="5">
        <v>-224420.77</v>
      </c>
      <c r="AD15" s="5">
        <v>-78345.8</v>
      </c>
      <c r="AE15" s="5">
        <v>-103445.98</v>
      </c>
      <c r="AF15" s="5">
        <v>-169331.98</v>
      </c>
      <c r="AG15" s="5">
        <v>-125558.47</v>
      </c>
      <c r="AH15" s="5">
        <v>-324037.96999999997</v>
      </c>
      <c r="AI15" s="5">
        <v>-151343.49</v>
      </c>
      <c r="AJ15" s="5">
        <v>0</v>
      </c>
      <c r="AK15" s="5">
        <v>0</v>
      </c>
      <c r="AL15" s="5">
        <v>0</v>
      </c>
      <c r="AM15" s="5">
        <v>0</v>
      </c>
      <c r="AN15" s="5">
        <v>-404459.15</v>
      </c>
      <c r="AO15" s="5">
        <v>-79710</v>
      </c>
      <c r="AP15" s="5">
        <v>0</v>
      </c>
      <c r="AQ15" s="5">
        <v>-754993.53</v>
      </c>
      <c r="AR15" s="5">
        <v>-242009.09</v>
      </c>
      <c r="AS15" s="5">
        <v>-136767.69</v>
      </c>
      <c r="AT15" s="5">
        <v>0</v>
      </c>
      <c r="AU15" s="5">
        <v>-125820.44</v>
      </c>
      <c r="AV15" s="5">
        <v>-133851.37</v>
      </c>
      <c r="AW15" s="5">
        <v>-181479.65</v>
      </c>
      <c r="AX15" s="5">
        <v>0</v>
      </c>
      <c r="AY15" s="5">
        <v>0</v>
      </c>
      <c r="AZ15" s="5">
        <v>-256082.11</v>
      </c>
      <c r="BA15" s="5">
        <v>-421422.35</v>
      </c>
      <c r="BB15" s="5">
        <v>-634797.46</v>
      </c>
      <c r="BC15" s="5">
        <v>-72961.16</v>
      </c>
      <c r="BD15" s="5">
        <v>-9027553.6899999995</v>
      </c>
      <c r="BE15">
        <v>-9027553.6900000013</v>
      </c>
      <c r="BF15">
        <f t="shared" si="0"/>
        <v>0</v>
      </c>
    </row>
    <row r="16" spans="1:58" ht="15" customHeight="1" x14ac:dyDescent="0.35">
      <c r="A16" s="3" t="s">
        <v>69</v>
      </c>
      <c r="B16" s="4" t="s">
        <v>70</v>
      </c>
      <c r="C16" s="4" t="str">
        <f>VLOOKUP(A16,'TB Apr 24'!$A$11:$D$103,4,0)</f>
        <v>Liquor Sale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-358723.56</v>
      </c>
      <c r="J16" s="5">
        <v>-594311.47</v>
      </c>
      <c r="K16" s="5">
        <v>0</v>
      </c>
      <c r="L16" s="5">
        <v>-1605395.9</v>
      </c>
      <c r="M16" s="5">
        <v>-337006.14</v>
      </c>
      <c r="N16" s="5">
        <v>0</v>
      </c>
      <c r="O16" s="5">
        <v>0</v>
      </c>
      <c r="P16" s="5">
        <v>0</v>
      </c>
      <c r="Q16" s="5">
        <v>0</v>
      </c>
      <c r="R16" s="5">
        <v>-883050.65</v>
      </c>
      <c r="S16" s="5">
        <v>0</v>
      </c>
      <c r="T16" s="5">
        <v>-901277.86</v>
      </c>
      <c r="U16" s="5">
        <v>0</v>
      </c>
      <c r="V16" s="5">
        <v>-297235.34000000003</v>
      </c>
      <c r="W16" s="5">
        <v>-407270.57</v>
      </c>
      <c r="X16" s="5">
        <v>-158815.45000000001</v>
      </c>
      <c r="Y16" s="5">
        <v>-107628.5</v>
      </c>
      <c r="Z16" s="5">
        <v>0</v>
      </c>
      <c r="AA16" s="5">
        <v>0</v>
      </c>
      <c r="AB16" s="5">
        <v>-1158234.0900000001</v>
      </c>
      <c r="AC16" s="5">
        <v>-389327.25</v>
      </c>
      <c r="AD16" s="5">
        <v>-3318</v>
      </c>
      <c r="AE16" s="5">
        <v>-468601.3</v>
      </c>
      <c r="AF16" s="5">
        <v>0</v>
      </c>
      <c r="AG16" s="5">
        <v>-324707.21000000002</v>
      </c>
      <c r="AH16" s="5">
        <v>-274449.12</v>
      </c>
      <c r="AI16" s="5">
        <v>-227143.37</v>
      </c>
      <c r="AJ16" s="5">
        <v>0</v>
      </c>
      <c r="AK16" s="5">
        <v>0</v>
      </c>
      <c r="AL16" s="5">
        <v>0</v>
      </c>
      <c r="AM16" s="5">
        <v>0</v>
      </c>
      <c r="AN16" s="5">
        <v>-962189.65</v>
      </c>
      <c r="AO16" s="5">
        <v>0</v>
      </c>
      <c r="AP16" s="5">
        <v>0</v>
      </c>
      <c r="AQ16" s="5">
        <v>-590816.56000000006</v>
      </c>
      <c r="AR16" s="5">
        <v>-411124.06</v>
      </c>
      <c r="AS16" s="5">
        <v>-171780.96</v>
      </c>
      <c r="AT16" s="5">
        <v>0</v>
      </c>
      <c r="AU16" s="5">
        <v>-952915.24</v>
      </c>
      <c r="AV16" s="5">
        <v>-217013.56</v>
      </c>
      <c r="AW16" s="5">
        <v>-2700</v>
      </c>
      <c r="AX16" s="5">
        <v>0</v>
      </c>
      <c r="AY16" s="5">
        <v>0</v>
      </c>
      <c r="AZ16" s="5">
        <v>-212555.66</v>
      </c>
      <c r="BA16" s="5">
        <v>0</v>
      </c>
      <c r="BB16" s="5">
        <v>-248525.79</v>
      </c>
      <c r="BC16" s="5">
        <v>-30038.49</v>
      </c>
      <c r="BD16" s="5">
        <v>-12296155.75</v>
      </c>
      <c r="BE16">
        <v>-12296155.750000002</v>
      </c>
      <c r="BF16">
        <f t="shared" si="0"/>
        <v>0</v>
      </c>
    </row>
    <row r="17" spans="1:58" ht="15" customHeight="1" x14ac:dyDescent="0.35">
      <c r="A17" s="3" t="s">
        <v>71</v>
      </c>
      <c r="B17" s="4" t="s">
        <v>72</v>
      </c>
      <c r="C17" s="4" t="str">
        <f>VLOOKUP(A17,'TB Apr 24'!$A$11:$D$103,4,0)</f>
        <v>Other Sale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-21552.68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-2794.51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-4657.5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-29004.69</v>
      </c>
      <c r="BE17">
        <v>-29004.690000000002</v>
      </c>
      <c r="BF17">
        <f t="shared" si="0"/>
        <v>0</v>
      </c>
    </row>
    <row r="18" spans="1:58" ht="15" customHeight="1" x14ac:dyDescent="0.35">
      <c r="A18" s="3" t="s">
        <v>73</v>
      </c>
      <c r="B18" s="4" t="s">
        <v>74</v>
      </c>
      <c r="C18" s="4" t="str">
        <f>VLOOKUP(A18,'TB Apr 24'!$A$11:$D$103,4,0)</f>
        <v>Other Sale</v>
      </c>
      <c r="D18" s="5">
        <v>-5641.62</v>
      </c>
      <c r="E18" s="5">
        <v>-1725</v>
      </c>
      <c r="F18" s="5">
        <v>0</v>
      </c>
      <c r="G18" s="5">
        <v>-4551.3999999999996</v>
      </c>
      <c r="H18" s="5">
        <v>-28393.48</v>
      </c>
      <c r="I18" s="5">
        <v>-1420.84</v>
      </c>
      <c r="J18" s="5">
        <v>-1290.56</v>
      </c>
      <c r="K18" s="5">
        <v>0</v>
      </c>
      <c r="L18" s="5">
        <v>-771.26</v>
      </c>
      <c r="M18" s="5">
        <v>-890.18</v>
      </c>
      <c r="N18" s="5">
        <v>0</v>
      </c>
      <c r="O18" s="5">
        <v>0</v>
      </c>
      <c r="P18" s="5">
        <v>0</v>
      </c>
      <c r="Q18" s="5">
        <v>-552</v>
      </c>
      <c r="R18" s="5">
        <v>-555.54999999999995</v>
      </c>
      <c r="S18" s="5">
        <v>0</v>
      </c>
      <c r="T18" s="5">
        <v>-2922.28</v>
      </c>
      <c r="U18" s="5">
        <v>0</v>
      </c>
      <c r="V18" s="5">
        <v>-363.89</v>
      </c>
      <c r="W18" s="5">
        <v>-3189.8</v>
      </c>
      <c r="X18" s="5">
        <v>-2312.71</v>
      </c>
      <c r="Y18" s="5">
        <v>-462.5</v>
      </c>
      <c r="Z18" s="5">
        <v>-6446.16</v>
      </c>
      <c r="AA18" s="5">
        <v>0</v>
      </c>
      <c r="AB18" s="5">
        <v>-1756.19</v>
      </c>
      <c r="AC18" s="5">
        <v>-18601.84</v>
      </c>
      <c r="AD18" s="5">
        <v>-637.64</v>
      </c>
      <c r="AE18" s="5">
        <v>-1923.6</v>
      </c>
      <c r="AF18" s="5">
        <v>-5049.78</v>
      </c>
      <c r="AG18" s="5">
        <v>-30965.86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-111.01</v>
      </c>
      <c r="AO18" s="5">
        <v>0</v>
      </c>
      <c r="AP18" s="5">
        <v>0</v>
      </c>
      <c r="AQ18" s="5">
        <v>-1134.5</v>
      </c>
      <c r="AR18" s="5">
        <v>-2771.24</v>
      </c>
      <c r="AS18" s="5">
        <v>-10622.45</v>
      </c>
      <c r="AT18" s="5">
        <v>0</v>
      </c>
      <c r="AU18" s="5">
        <v>-472.32</v>
      </c>
      <c r="AV18" s="5">
        <v>-638.44000000000005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-446.45</v>
      </c>
      <c r="BD18" s="5">
        <v>-136620.54999999999</v>
      </c>
      <c r="BE18">
        <v>-136620.55000000002</v>
      </c>
      <c r="BF18">
        <f t="shared" si="0"/>
        <v>0</v>
      </c>
    </row>
    <row r="19" spans="1:58" ht="15" customHeight="1" x14ac:dyDescent="0.35">
      <c r="A19" s="3" t="s">
        <v>75</v>
      </c>
      <c r="B19" s="4" t="s">
        <v>76</v>
      </c>
      <c r="C19" s="4" t="str">
        <f>VLOOKUP(A19,'TB Apr 24'!$A$11:$D$103,4,0)</f>
        <v>Other Sale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-247733.88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-247733.88</v>
      </c>
      <c r="BE19">
        <v>-247733.88</v>
      </c>
      <c r="BF19">
        <f t="shared" si="0"/>
        <v>0</v>
      </c>
    </row>
    <row r="20" spans="1:58" ht="15" customHeight="1" x14ac:dyDescent="0.35">
      <c r="A20" s="3" t="s">
        <v>77</v>
      </c>
      <c r="B20" s="4" t="s">
        <v>78</v>
      </c>
      <c r="C20" s="4" t="str">
        <f>VLOOKUP(A20,'TB Apr 24'!$A$11:$D$103,4,0)</f>
        <v>Service Charge</v>
      </c>
      <c r="D20" s="5">
        <v>-22754.55</v>
      </c>
      <c r="E20" s="5">
        <v>-32495.93</v>
      </c>
      <c r="F20" s="5">
        <v>0</v>
      </c>
      <c r="G20" s="5">
        <v>-67508.259999999995</v>
      </c>
      <c r="H20" s="5">
        <v>-11263.37</v>
      </c>
      <c r="I20" s="5">
        <v>-27375.07</v>
      </c>
      <c r="J20" s="5">
        <v>-28421.24</v>
      </c>
      <c r="K20" s="5">
        <v>0</v>
      </c>
      <c r="L20" s="5">
        <v>33148.28</v>
      </c>
      <c r="M20" s="5">
        <v>-33937.120000000003</v>
      </c>
      <c r="N20" s="5">
        <v>0</v>
      </c>
      <c r="O20" s="5">
        <v>0</v>
      </c>
      <c r="P20" s="5">
        <v>0</v>
      </c>
      <c r="Q20" s="5">
        <v>-49281.93</v>
      </c>
      <c r="R20" s="5">
        <v>27828.78</v>
      </c>
      <c r="S20" s="5">
        <v>0</v>
      </c>
      <c r="T20" s="5">
        <v>1458.19</v>
      </c>
      <c r="U20" s="5">
        <v>0</v>
      </c>
      <c r="V20" s="5">
        <v>-2775.96</v>
      </c>
      <c r="W20" s="5">
        <v>-15029.72</v>
      </c>
      <c r="X20" s="5">
        <v>-28956.26</v>
      </c>
      <c r="Y20" s="5">
        <v>-22418.43</v>
      </c>
      <c r="Z20" s="5">
        <v>-41099.99</v>
      </c>
      <c r="AA20" s="5">
        <v>0</v>
      </c>
      <c r="AB20" s="5">
        <v>11841.1</v>
      </c>
      <c r="AC20" s="5">
        <v>-53521.97</v>
      </c>
      <c r="AD20" s="5">
        <v>-6109.54</v>
      </c>
      <c r="AE20" s="5">
        <v>-7079.31</v>
      </c>
      <c r="AF20" s="5">
        <v>-34218.29</v>
      </c>
      <c r="AG20" s="5">
        <v>230.38</v>
      </c>
      <c r="AH20" s="5">
        <v>35129.43</v>
      </c>
      <c r="AI20" s="5">
        <v>-156165.19</v>
      </c>
      <c r="AJ20" s="5">
        <v>0</v>
      </c>
      <c r="AK20" s="5">
        <v>0</v>
      </c>
      <c r="AL20" s="5">
        <v>0</v>
      </c>
      <c r="AM20" s="5">
        <v>0</v>
      </c>
      <c r="AN20" s="5">
        <v>-42295.040000000001</v>
      </c>
      <c r="AO20" s="5">
        <v>-5229.6000000000004</v>
      </c>
      <c r="AP20" s="5">
        <v>0</v>
      </c>
      <c r="AQ20" s="5">
        <v>-85987.1</v>
      </c>
      <c r="AR20" s="5">
        <v>-16849.12</v>
      </c>
      <c r="AS20" s="5">
        <v>101984.99</v>
      </c>
      <c r="AT20" s="5">
        <v>0</v>
      </c>
      <c r="AU20" s="5">
        <v>23890.57</v>
      </c>
      <c r="AV20" s="5">
        <v>-15583.48</v>
      </c>
      <c r="AW20" s="5">
        <v>-26380.25</v>
      </c>
      <c r="AX20" s="5">
        <v>0</v>
      </c>
      <c r="AY20" s="5">
        <v>0</v>
      </c>
      <c r="AZ20" s="5">
        <v>-41691.839999999997</v>
      </c>
      <c r="BA20" s="5">
        <v>-26804.98</v>
      </c>
      <c r="BB20" s="5">
        <v>-79024.23</v>
      </c>
      <c r="BC20" s="5">
        <v>-11964.38</v>
      </c>
      <c r="BD20" s="5">
        <v>-756710.43</v>
      </c>
      <c r="BE20">
        <v>-756710.42999999993</v>
      </c>
      <c r="BF20">
        <f t="shared" si="0"/>
        <v>0</v>
      </c>
    </row>
    <row r="21" spans="1:58" ht="15" customHeight="1" x14ac:dyDescent="0.35">
      <c r="A21" s="3" t="s">
        <v>79</v>
      </c>
      <c r="B21" s="4" t="s">
        <v>80</v>
      </c>
      <c r="C21" s="4" t="str">
        <f>VLOOKUP(A21,'TB Apr 24'!$A$11:$D$103,4,0)</f>
        <v>Service Charge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-26867.95</v>
      </c>
      <c r="J21" s="5">
        <v>-47356.07</v>
      </c>
      <c r="K21" s="5">
        <v>0</v>
      </c>
      <c r="L21" s="5">
        <v>-107913.71</v>
      </c>
      <c r="M21" s="5">
        <v>-29154.92</v>
      </c>
      <c r="N21" s="5">
        <v>0</v>
      </c>
      <c r="O21" s="5">
        <v>0</v>
      </c>
      <c r="P21" s="5">
        <v>0</v>
      </c>
      <c r="Q21" s="5">
        <v>0</v>
      </c>
      <c r="R21" s="5">
        <v>-79432.3</v>
      </c>
      <c r="S21" s="5">
        <v>0</v>
      </c>
      <c r="T21" s="5">
        <v>-86277.6</v>
      </c>
      <c r="U21" s="5">
        <v>0</v>
      </c>
      <c r="V21" s="5">
        <v>-20958.36</v>
      </c>
      <c r="W21" s="5">
        <v>-33488.1</v>
      </c>
      <c r="X21" s="5">
        <v>-14478.7</v>
      </c>
      <c r="Y21" s="5">
        <v>-9828.1</v>
      </c>
      <c r="Z21" s="5">
        <v>0</v>
      </c>
      <c r="AA21" s="5">
        <v>0</v>
      </c>
      <c r="AB21" s="5">
        <v>-102134.18</v>
      </c>
      <c r="AC21" s="5">
        <v>-34110.75</v>
      </c>
      <c r="AD21" s="5">
        <v>-238</v>
      </c>
      <c r="AE21" s="5">
        <v>-45785.88</v>
      </c>
      <c r="AF21" s="5">
        <v>0</v>
      </c>
      <c r="AG21" s="5">
        <v>-27812.5</v>
      </c>
      <c r="AH21" s="5">
        <v>-24576.720000000001</v>
      </c>
      <c r="AI21" s="5">
        <v>-19640.43</v>
      </c>
      <c r="AJ21" s="5">
        <v>0</v>
      </c>
      <c r="AK21" s="5">
        <v>0</v>
      </c>
      <c r="AL21" s="5">
        <v>0</v>
      </c>
      <c r="AM21" s="5">
        <v>0</v>
      </c>
      <c r="AN21" s="5">
        <v>-84827.36</v>
      </c>
      <c r="AO21" s="5">
        <v>0</v>
      </c>
      <c r="AP21" s="5">
        <v>0</v>
      </c>
      <c r="AQ21" s="5">
        <v>-48179.22</v>
      </c>
      <c r="AR21" s="5">
        <v>-32686.080000000002</v>
      </c>
      <c r="AS21" s="5">
        <v>-14789.7</v>
      </c>
      <c r="AT21" s="5">
        <v>0</v>
      </c>
      <c r="AU21" s="5">
        <v>-66359.81</v>
      </c>
      <c r="AV21" s="5">
        <v>-18067.400000000001</v>
      </c>
      <c r="AW21" s="5">
        <v>-126</v>
      </c>
      <c r="AX21" s="5">
        <v>0</v>
      </c>
      <c r="AY21" s="5">
        <v>0</v>
      </c>
      <c r="AZ21" s="5">
        <v>-15297.57</v>
      </c>
      <c r="BA21" s="5">
        <v>0</v>
      </c>
      <c r="BB21" s="5">
        <v>-23259.7</v>
      </c>
      <c r="BC21" s="5">
        <v>-2247.1799999999998</v>
      </c>
      <c r="BD21" s="5">
        <v>-1015894.29</v>
      </c>
      <c r="BE21">
        <v>-1015894.2899999999</v>
      </c>
      <c r="BF21">
        <f t="shared" si="0"/>
        <v>0</v>
      </c>
    </row>
    <row r="22" spans="1:58" ht="15" customHeight="1" x14ac:dyDescent="0.35">
      <c r="A22" s="3" t="s">
        <v>81</v>
      </c>
      <c r="B22" s="4" t="s">
        <v>82</v>
      </c>
      <c r="C22" s="4" t="str">
        <f>VLOOKUP(A22,'TB Apr 24'!$A$11:$D$103,4,0)</f>
        <v>Outsourced Manpower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7434</v>
      </c>
      <c r="S22" s="5">
        <v>0</v>
      </c>
      <c r="T22" s="5">
        <v>0</v>
      </c>
      <c r="U22" s="5">
        <v>0</v>
      </c>
      <c r="V22" s="5">
        <v>7834</v>
      </c>
      <c r="W22" s="5">
        <v>7834</v>
      </c>
      <c r="X22" s="5">
        <v>7834</v>
      </c>
      <c r="Y22" s="5">
        <v>52864</v>
      </c>
      <c r="Z22" s="5">
        <v>0</v>
      </c>
      <c r="AA22" s="5">
        <v>0</v>
      </c>
      <c r="AB22" s="5">
        <v>52864</v>
      </c>
      <c r="AC22" s="5">
        <v>0</v>
      </c>
      <c r="AD22" s="5">
        <v>22400</v>
      </c>
      <c r="AE22" s="5">
        <v>3894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162958</v>
      </c>
      <c r="BE22">
        <v>162958</v>
      </c>
      <c r="BF22">
        <f t="shared" si="0"/>
        <v>0</v>
      </c>
    </row>
    <row r="23" spans="1:58" ht="15" customHeight="1" x14ac:dyDescent="0.35">
      <c r="A23" s="3" t="s">
        <v>83</v>
      </c>
      <c r="B23" s="4" t="s">
        <v>84</v>
      </c>
      <c r="C23" s="4" t="str">
        <f>VLOOKUP(A23,'TB Apr 24'!$A$11:$D$103,4,0)</f>
        <v>Outsourced Manpower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6450</v>
      </c>
      <c r="M23" s="5">
        <v>0</v>
      </c>
      <c r="N23" s="5">
        <v>0</v>
      </c>
      <c r="O23" s="5">
        <v>0</v>
      </c>
      <c r="P23" s="5">
        <v>0</v>
      </c>
      <c r="Q23" s="5">
        <v>29500</v>
      </c>
      <c r="R23" s="5">
        <v>0</v>
      </c>
      <c r="S23" s="5">
        <v>0</v>
      </c>
      <c r="T23" s="5">
        <v>2950</v>
      </c>
      <c r="U23" s="5">
        <v>0</v>
      </c>
      <c r="V23" s="5">
        <v>0</v>
      </c>
      <c r="W23" s="5">
        <v>0</v>
      </c>
      <c r="X23" s="5">
        <v>0</v>
      </c>
      <c r="Y23" s="5">
        <v>2000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40900</v>
      </c>
      <c r="BE23">
        <v>40900</v>
      </c>
      <c r="BF23">
        <f t="shared" si="0"/>
        <v>0</v>
      </c>
    </row>
    <row r="24" spans="1:58" ht="15" customHeight="1" x14ac:dyDescent="0.35">
      <c r="A24" s="3" t="s">
        <v>85</v>
      </c>
      <c r="B24" s="4" t="s">
        <v>86</v>
      </c>
      <c r="C24" s="4" t="str">
        <f>VLOOKUP(A24,'TB Apr 24'!$A$11:$D$103,4,0)</f>
        <v>Employee Benefit Expenses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600</v>
      </c>
      <c r="N24" s="5">
        <v>0</v>
      </c>
      <c r="O24" s="5">
        <v>0</v>
      </c>
      <c r="P24" s="5">
        <v>0</v>
      </c>
      <c r="Q24" s="5">
        <v>3498</v>
      </c>
      <c r="R24" s="5">
        <v>2920</v>
      </c>
      <c r="S24" s="5">
        <v>0</v>
      </c>
      <c r="T24" s="5">
        <v>0</v>
      </c>
      <c r="U24" s="5">
        <v>0</v>
      </c>
      <c r="V24" s="5">
        <v>65940</v>
      </c>
      <c r="W24" s="5">
        <v>12717</v>
      </c>
      <c r="X24" s="5">
        <v>13150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15482</v>
      </c>
      <c r="AF24" s="5">
        <v>0</v>
      </c>
      <c r="AG24" s="5">
        <v>0</v>
      </c>
      <c r="AH24" s="5">
        <v>0</v>
      </c>
      <c r="AI24" s="5">
        <v>8381</v>
      </c>
      <c r="AJ24" s="5">
        <v>0</v>
      </c>
      <c r="AK24" s="5">
        <v>0</v>
      </c>
      <c r="AL24" s="5">
        <v>29396</v>
      </c>
      <c r="AM24" s="5">
        <v>0</v>
      </c>
      <c r="AN24" s="5">
        <v>0</v>
      </c>
      <c r="AO24" s="5">
        <v>0</v>
      </c>
      <c r="AP24" s="5">
        <v>0</v>
      </c>
      <c r="AQ24" s="5">
        <v>950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153034</v>
      </c>
      <c r="BE24">
        <v>153034.00000000003</v>
      </c>
      <c r="BF24">
        <f t="shared" si="0"/>
        <v>0</v>
      </c>
    </row>
    <row r="25" spans="1:58" ht="15" customHeight="1" x14ac:dyDescent="0.35">
      <c r="A25" s="3" t="s">
        <v>88</v>
      </c>
      <c r="B25" s="4" t="s">
        <v>89</v>
      </c>
      <c r="C25" s="4" t="str">
        <f>VLOOKUP(A25,'TB Apr 24'!$A$11:$D$103,4,0)</f>
        <v>Repairs and Maintenance Expenses</v>
      </c>
      <c r="D25" s="5">
        <v>52394</v>
      </c>
      <c r="E25" s="5">
        <v>14795</v>
      </c>
      <c r="F25" s="5">
        <v>0</v>
      </c>
      <c r="G25" s="5">
        <v>14795</v>
      </c>
      <c r="H25" s="5">
        <v>14796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96780</v>
      </c>
      <c r="BE25">
        <v>96780</v>
      </c>
      <c r="BF25">
        <f t="shared" si="0"/>
        <v>0</v>
      </c>
    </row>
    <row r="26" spans="1:58" ht="15" customHeight="1" x14ac:dyDescent="0.35">
      <c r="A26" s="3" t="s">
        <v>90</v>
      </c>
      <c r="B26" s="4" t="s">
        <v>91</v>
      </c>
      <c r="C26" s="4" t="str">
        <f>VLOOKUP(A26,'TB Apr 24'!$A$11:$D$103,4,0)</f>
        <v>Repairs and Maintenance Expenses</v>
      </c>
      <c r="D26" s="5">
        <v>9925</v>
      </c>
      <c r="E26" s="5">
        <v>3575</v>
      </c>
      <c r="F26" s="5">
        <v>0</v>
      </c>
      <c r="G26" s="5">
        <v>7106</v>
      </c>
      <c r="H26" s="5">
        <v>8675</v>
      </c>
      <c r="I26" s="5">
        <v>5650</v>
      </c>
      <c r="J26" s="5">
        <v>14078</v>
      </c>
      <c r="K26" s="5">
        <v>0</v>
      </c>
      <c r="L26" s="5">
        <v>18650</v>
      </c>
      <c r="M26" s="5">
        <v>8780</v>
      </c>
      <c r="N26" s="5">
        <v>0</v>
      </c>
      <c r="O26" s="5">
        <v>0</v>
      </c>
      <c r="P26" s="5">
        <v>0</v>
      </c>
      <c r="Q26" s="5">
        <v>31658</v>
      </c>
      <c r="R26" s="5">
        <v>71556</v>
      </c>
      <c r="S26" s="5">
        <v>0</v>
      </c>
      <c r="T26" s="5">
        <v>58040</v>
      </c>
      <c r="U26" s="5">
        <v>0</v>
      </c>
      <c r="V26" s="5">
        <v>2045</v>
      </c>
      <c r="W26" s="5">
        <v>2325</v>
      </c>
      <c r="X26" s="5">
        <v>4820</v>
      </c>
      <c r="Y26" s="5">
        <v>55402</v>
      </c>
      <c r="Z26" s="5">
        <v>50470</v>
      </c>
      <c r="AA26" s="5">
        <v>0</v>
      </c>
      <c r="AB26" s="5">
        <v>111861</v>
      </c>
      <c r="AC26" s="5">
        <v>85970</v>
      </c>
      <c r="AD26" s="5">
        <v>42878</v>
      </c>
      <c r="AE26" s="5">
        <v>29600</v>
      </c>
      <c r="AF26" s="5">
        <v>33370</v>
      </c>
      <c r="AG26" s="5">
        <v>11146</v>
      </c>
      <c r="AH26" s="5">
        <v>3010</v>
      </c>
      <c r="AI26" s="5">
        <v>1800</v>
      </c>
      <c r="AJ26" s="5">
        <v>0</v>
      </c>
      <c r="AK26" s="5">
        <v>0</v>
      </c>
      <c r="AL26" s="5">
        <v>3520</v>
      </c>
      <c r="AM26" s="5">
        <v>0</v>
      </c>
      <c r="AN26" s="5">
        <v>8360</v>
      </c>
      <c r="AO26" s="5">
        <v>0</v>
      </c>
      <c r="AP26" s="5">
        <v>0</v>
      </c>
      <c r="AQ26" s="5">
        <v>7120</v>
      </c>
      <c r="AR26" s="5">
        <v>13793</v>
      </c>
      <c r="AS26" s="5">
        <v>36010</v>
      </c>
      <c r="AT26" s="5">
        <v>0</v>
      </c>
      <c r="AU26" s="5">
        <v>30830</v>
      </c>
      <c r="AV26" s="5">
        <v>31259</v>
      </c>
      <c r="AW26" s="5">
        <v>0</v>
      </c>
      <c r="AX26" s="5">
        <v>0</v>
      </c>
      <c r="AY26" s="5">
        <v>0</v>
      </c>
      <c r="AZ26" s="5">
        <v>2069</v>
      </c>
      <c r="BA26" s="5">
        <v>919</v>
      </c>
      <c r="BB26" s="5">
        <v>4470</v>
      </c>
      <c r="BC26" s="5">
        <v>800</v>
      </c>
      <c r="BD26" s="5">
        <v>811540</v>
      </c>
      <c r="BE26">
        <v>811540</v>
      </c>
      <c r="BF26">
        <f t="shared" si="0"/>
        <v>0</v>
      </c>
    </row>
    <row r="27" spans="1:58" ht="15" customHeight="1" x14ac:dyDescent="0.35">
      <c r="A27" s="3" t="s">
        <v>92</v>
      </c>
      <c r="B27" s="4" t="s">
        <v>93</v>
      </c>
      <c r="C27" s="4" t="str">
        <f>VLOOKUP(A27,'TB Apr 24'!$A$11:$D$103,4,0)</f>
        <v>Repairs and Maintenance Expenses</v>
      </c>
      <c r="D27" s="501">
        <v>0</v>
      </c>
      <c r="E27" s="501">
        <v>0</v>
      </c>
      <c r="F27" s="501">
        <v>0</v>
      </c>
      <c r="G27" s="501">
        <v>0</v>
      </c>
      <c r="H27" s="501">
        <v>0</v>
      </c>
      <c r="I27" s="501">
        <v>0</v>
      </c>
      <c r="J27" s="501">
        <v>0</v>
      </c>
      <c r="K27" s="501">
        <v>0</v>
      </c>
      <c r="L27" s="501">
        <v>0</v>
      </c>
      <c r="M27" s="501">
        <v>0</v>
      </c>
      <c r="N27" s="501">
        <v>0</v>
      </c>
      <c r="O27" s="501">
        <v>0</v>
      </c>
      <c r="P27" s="501">
        <v>0</v>
      </c>
      <c r="Q27" s="501">
        <v>0</v>
      </c>
      <c r="R27" s="501">
        <v>0</v>
      </c>
      <c r="S27" s="501">
        <v>0</v>
      </c>
      <c r="T27" s="501">
        <v>0</v>
      </c>
      <c r="U27" s="501">
        <v>0</v>
      </c>
      <c r="V27" s="501">
        <v>1250</v>
      </c>
      <c r="W27" s="501">
        <v>0</v>
      </c>
      <c r="X27" s="501">
        <v>0</v>
      </c>
      <c r="Y27" s="501">
        <v>5625</v>
      </c>
      <c r="Z27" s="501">
        <v>0</v>
      </c>
      <c r="AA27" s="501">
        <v>0</v>
      </c>
      <c r="AB27" s="501">
        <v>5625</v>
      </c>
      <c r="AC27" s="501">
        <v>5625</v>
      </c>
      <c r="AD27" s="501">
        <v>5626</v>
      </c>
      <c r="AE27" s="501">
        <v>5625</v>
      </c>
      <c r="AF27" s="501">
        <v>30000</v>
      </c>
      <c r="AG27" s="501">
        <v>11250</v>
      </c>
      <c r="AH27" s="501">
        <v>0</v>
      </c>
      <c r="AI27" s="501">
        <v>0</v>
      </c>
      <c r="AJ27" s="501">
        <v>0</v>
      </c>
      <c r="AK27" s="501">
        <v>0</v>
      </c>
      <c r="AL27" s="501">
        <v>0</v>
      </c>
      <c r="AM27" s="501">
        <v>0</v>
      </c>
      <c r="AN27" s="501">
        <v>0</v>
      </c>
      <c r="AO27" s="501">
        <v>0</v>
      </c>
      <c r="AP27" s="501">
        <v>0</v>
      </c>
      <c r="AQ27" s="501">
        <v>0</v>
      </c>
      <c r="AR27" s="501">
        <v>9000</v>
      </c>
      <c r="AS27" s="501">
        <v>9000</v>
      </c>
      <c r="AT27" s="501">
        <v>0</v>
      </c>
      <c r="AU27" s="501">
        <v>9000</v>
      </c>
      <c r="AV27" s="501">
        <v>9000</v>
      </c>
      <c r="AW27" s="501">
        <v>0</v>
      </c>
      <c r="AX27" s="501">
        <v>0</v>
      </c>
      <c r="AY27" s="501">
        <v>0</v>
      </c>
      <c r="AZ27" s="501">
        <v>0</v>
      </c>
      <c r="BA27" s="501">
        <v>0</v>
      </c>
      <c r="BB27" s="501">
        <v>0</v>
      </c>
      <c r="BC27" s="501">
        <v>0</v>
      </c>
      <c r="BD27" s="501">
        <v>106626</v>
      </c>
      <c r="BE27">
        <v>106626</v>
      </c>
      <c r="BF27">
        <f t="shared" si="0"/>
        <v>0</v>
      </c>
    </row>
    <row r="28" spans="1:58" ht="15" customHeight="1" x14ac:dyDescent="0.35">
      <c r="A28" s="3" t="s">
        <v>542</v>
      </c>
      <c r="B28" s="4" t="s">
        <v>543</v>
      </c>
      <c r="C28" s="4" t="str">
        <f>VLOOKUP(A28,'TB Apr 24'!$A$11:$D$103,4,0)</f>
        <v>Repairs and Maintenance Expenses</v>
      </c>
      <c r="D28" s="502">
        <v>0</v>
      </c>
      <c r="E28" s="502">
        <v>0</v>
      </c>
      <c r="F28" s="502">
        <v>0</v>
      </c>
      <c r="G28" s="502">
        <v>0</v>
      </c>
      <c r="H28" s="502">
        <v>0</v>
      </c>
      <c r="I28" s="502">
        <v>1475</v>
      </c>
      <c r="J28" s="502">
        <v>1475</v>
      </c>
      <c r="K28" s="502">
        <v>0</v>
      </c>
      <c r="L28" s="502">
        <v>1475</v>
      </c>
      <c r="M28" s="502">
        <v>1475</v>
      </c>
      <c r="N28" s="502">
        <v>0</v>
      </c>
      <c r="O28" s="502">
        <v>0</v>
      </c>
      <c r="P28" s="502">
        <v>0</v>
      </c>
      <c r="Q28" s="502">
        <v>0</v>
      </c>
      <c r="R28" s="502">
        <v>0</v>
      </c>
      <c r="S28" s="502">
        <v>0</v>
      </c>
      <c r="T28" s="502">
        <v>0</v>
      </c>
      <c r="U28" s="502">
        <v>0</v>
      </c>
      <c r="V28" s="502">
        <v>984</v>
      </c>
      <c r="W28" s="502">
        <v>984</v>
      </c>
      <c r="X28" s="502">
        <v>984</v>
      </c>
      <c r="Y28" s="502">
        <v>0</v>
      </c>
      <c r="Z28" s="502">
        <v>0</v>
      </c>
      <c r="AA28" s="502">
        <v>0</v>
      </c>
      <c r="AB28" s="502">
        <v>0</v>
      </c>
      <c r="AC28" s="502">
        <v>0</v>
      </c>
      <c r="AD28" s="502">
        <v>0</v>
      </c>
      <c r="AE28" s="502">
        <v>0</v>
      </c>
      <c r="AF28" s="502">
        <v>0</v>
      </c>
      <c r="AG28" s="502">
        <v>0</v>
      </c>
      <c r="AH28" s="502">
        <v>0</v>
      </c>
      <c r="AI28" s="502">
        <v>0</v>
      </c>
      <c r="AJ28" s="502">
        <v>0</v>
      </c>
      <c r="AK28" s="502">
        <v>0</v>
      </c>
      <c r="AL28" s="502">
        <v>0</v>
      </c>
      <c r="AM28" s="502">
        <v>0</v>
      </c>
      <c r="AN28" s="502">
        <v>0</v>
      </c>
      <c r="AO28" s="502">
        <v>0</v>
      </c>
      <c r="AP28" s="502">
        <v>0</v>
      </c>
      <c r="AQ28" s="502">
        <v>0</v>
      </c>
      <c r="AR28" s="502">
        <v>0</v>
      </c>
      <c r="AS28" s="502">
        <v>0</v>
      </c>
      <c r="AT28" s="502">
        <v>0</v>
      </c>
      <c r="AU28" s="502">
        <v>0</v>
      </c>
      <c r="AV28" s="502">
        <v>0</v>
      </c>
      <c r="AW28" s="502">
        <v>0</v>
      </c>
      <c r="AX28" s="502">
        <v>0</v>
      </c>
      <c r="AY28" s="502">
        <v>0</v>
      </c>
      <c r="AZ28" s="502">
        <v>0</v>
      </c>
      <c r="BA28" s="502">
        <v>0</v>
      </c>
      <c r="BB28" s="502">
        <v>0</v>
      </c>
      <c r="BC28" s="502">
        <v>0</v>
      </c>
      <c r="BD28" s="502">
        <v>8852</v>
      </c>
      <c r="BE28">
        <v>8852</v>
      </c>
      <c r="BF28">
        <f t="shared" si="0"/>
        <v>0</v>
      </c>
    </row>
    <row r="29" spans="1:58" ht="15" customHeight="1" x14ac:dyDescent="0.35">
      <c r="A29" s="3" t="s">
        <v>94</v>
      </c>
      <c r="B29" s="4" t="s">
        <v>95</v>
      </c>
      <c r="C29" s="4" t="str">
        <f>VLOOKUP(A29,'TB Apr 24'!$A$11:$D$103,4,0)</f>
        <v>Salaries &amp; Wages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27892319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27892319</v>
      </c>
      <c r="BE29">
        <v>27508206.999999993</v>
      </c>
      <c r="BF29" s="526">
        <f t="shared" si="0"/>
        <v>384112.00000000745</v>
      </c>
    </row>
    <row r="30" spans="1:58" ht="15" customHeight="1" x14ac:dyDescent="0.35">
      <c r="A30" s="3" t="s">
        <v>96</v>
      </c>
      <c r="B30" s="4" t="s">
        <v>97</v>
      </c>
      <c r="C30" s="4" t="str">
        <f>VLOOKUP(A30,'TB Apr 24'!$A$11:$D$103,4,0)</f>
        <v>Salaries &amp; Wages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1091329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1091329</v>
      </c>
      <c r="BE30">
        <v>1091329</v>
      </c>
      <c r="BF30">
        <f t="shared" si="0"/>
        <v>0</v>
      </c>
    </row>
    <row r="31" spans="1:58" ht="15" customHeight="1" x14ac:dyDescent="0.35">
      <c r="A31" s="3" t="s">
        <v>309</v>
      </c>
      <c r="B31" s="4" t="s">
        <v>310</v>
      </c>
      <c r="C31" s="4" t="str">
        <f>VLOOKUP(A31,'TB Apr 24'!$A$11:$D$103,4,0)</f>
        <v>Salaries &amp; Wages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1172</v>
      </c>
      <c r="BA31" s="5">
        <v>3231</v>
      </c>
      <c r="BB31" s="5">
        <v>150</v>
      </c>
      <c r="BC31" s="5">
        <v>0</v>
      </c>
      <c r="BD31" s="5">
        <v>4553</v>
      </c>
      <c r="BE31">
        <v>4553</v>
      </c>
      <c r="BF31">
        <f t="shared" si="0"/>
        <v>0</v>
      </c>
    </row>
    <row r="32" spans="1:58" ht="15" customHeight="1" x14ac:dyDescent="0.35">
      <c r="A32" s="3" t="s">
        <v>567</v>
      </c>
      <c r="B32" s="4" t="s">
        <v>568</v>
      </c>
      <c r="C32" s="4" t="str">
        <f>VLOOKUP(A32,'TB Apr 24'!$A$11:$D$103,4,0)</f>
        <v>Employee Benefit Expenses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2095200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2095200</v>
      </c>
      <c r="BE32">
        <v>2095200</v>
      </c>
      <c r="BF32">
        <f t="shared" si="0"/>
        <v>0</v>
      </c>
    </row>
    <row r="33" spans="1:58" ht="15" customHeight="1" x14ac:dyDescent="0.35">
      <c r="A33" s="3" t="s">
        <v>569</v>
      </c>
      <c r="B33" s="4" t="s">
        <v>570</v>
      </c>
      <c r="C33" s="4" t="str">
        <f>VLOOKUP(A33,'TB Apr 24'!$A$11:$D$103,4,0)</f>
        <v>Employee Benefit Expenses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372415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372415</v>
      </c>
      <c r="BE33">
        <v>372415</v>
      </c>
      <c r="BF33">
        <f t="shared" si="0"/>
        <v>0</v>
      </c>
    </row>
    <row r="34" spans="1:58" ht="15" customHeight="1" x14ac:dyDescent="0.35">
      <c r="A34" s="3" t="s">
        <v>571</v>
      </c>
      <c r="B34" s="4" t="s">
        <v>572</v>
      </c>
      <c r="C34" s="4" t="str">
        <f>VLOOKUP(A34,'TB Apr 24'!$A$11:$D$103,4,0)</f>
        <v>Employee Benefit Expenses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83894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83894</v>
      </c>
      <c r="BE34">
        <v>83894</v>
      </c>
      <c r="BF34">
        <f t="shared" si="0"/>
        <v>0</v>
      </c>
    </row>
    <row r="35" spans="1:58" ht="15" customHeight="1" x14ac:dyDescent="0.35">
      <c r="A35" s="3" t="s">
        <v>98</v>
      </c>
      <c r="B35" s="4" t="s">
        <v>99</v>
      </c>
      <c r="C35" s="4" t="str">
        <f>VLOOKUP(A35,'TB Apr 24'!$A$11:$D$103,4,0)</f>
        <v>Salaries &amp; Wages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97553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97553</v>
      </c>
      <c r="BE35">
        <v>97553</v>
      </c>
      <c r="BF35">
        <f t="shared" si="0"/>
        <v>0</v>
      </c>
    </row>
    <row r="36" spans="1:58" ht="15" customHeight="1" x14ac:dyDescent="0.35">
      <c r="A36" s="3" t="s">
        <v>100</v>
      </c>
      <c r="B36" s="4" t="s">
        <v>101</v>
      </c>
      <c r="C36" s="4" t="str">
        <f>VLOOKUP(A36,'TB Apr 24'!$A$11:$D$103,4,0)</f>
        <v>Employee Benefit Expenses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62787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62787</v>
      </c>
      <c r="BE36">
        <v>62787</v>
      </c>
      <c r="BF36">
        <f t="shared" si="0"/>
        <v>0</v>
      </c>
    </row>
    <row r="37" spans="1:58" ht="15" customHeight="1" x14ac:dyDescent="0.35">
      <c r="A37" s="3" t="s">
        <v>102</v>
      </c>
      <c r="B37" s="4" t="s">
        <v>103</v>
      </c>
      <c r="C37" s="4" t="str">
        <f>VLOOKUP(A37,'TB Apr 24'!$A$11:$D$103,4,0)</f>
        <v>Employee Benefit Expenses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40950</v>
      </c>
      <c r="O37" s="5">
        <v>0</v>
      </c>
      <c r="P37" s="5">
        <v>0</v>
      </c>
      <c r="Q37" s="5">
        <v>28200</v>
      </c>
      <c r="R37" s="5">
        <v>0</v>
      </c>
      <c r="S37" s="5">
        <v>0</v>
      </c>
      <c r="T37" s="5">
        <v>0</v>
      </c>
      <c r="U37" s="5">
        <v>0</v>
      </c>
      <c r="V37" s="5">
        <v>110</v>
      </c>
      <c r="W37" s="5">
        <v>521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69781</v>
      </c>
      <c r="BE37">
        <v>69781</v>
      </c>
      <c r="BF37">
        <f t="shared" si="0"/>
        <v>0</v>
      </c>
    </row>
    <row r="38" spans="1:58" ht="15" customHeight="1" x14ac:dyDescent="0.35">
      <c r="A38" s="3" t="s">
        <v>104</v>
      </c>
      <c r="B38" s="4" t="s">
        <v>105</v>
      </c>
      <c r="C38" s="4" t="str">
        <f>VLOOKUP(A38,'TB Apr 24'!$A$11:$D$103,4,0)</f>
        <v>Employee Benefit Expenses</v>
      </c>
      <c r="D38" s="5">
        <v>0</v>
      </c>
      <c r="E38" s="5">
        <v>1200</v>
      </c>
      <c r="F38" s="5">
        <v>0</v>
      </c>
      <c r="G38" s="5">
        <v>1200</v>
      </c>
      <c r="H38" s="5">
        <v>1200</v>
      </c>
      <c r="I38" s="5">
        <v>3750</v>
      </c>
      <c r="J38" s="5">
        <v>3550</v>
      </c>
      <c r="K38" s="5">
        <v>0</v>
      </c>
      <c r="L38" s="5">
        <v>0</v>
      </c>
      <c r="M38" s="5">
        <v>5400</v>
      </c>
      <c r="N38" s="5">
        <v>5301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2000</v>
      </c>
      <c r="W38" s="5">
        <v>0</v>
      </c>
      <c r="X38" s="5">
        <v>0</v>
      </c>
      <c r="Y38" s="5">
        <v>0</v>
      </c>
      <c r="Z38" s="5">
        <v>0</v>
      </c>
      <c r="AA38" s="5">
        <v>4550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10700</v>
      </c>
      <c r="AP38" s="5">
        <v>0</v>
      </c>
      <c r="AQ38" s="5">
        <v>10168</v>
      </c>
      <c r="AR38" s="5">
        <v>0</v>
      </c>
      <c r="AS38" s="5">
        <v>0</v>
      </c>
      <c r="AT38" s="5">
        <v>0</v>
      </c>
      <c r="AU38" s="5">
        <v>500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49519</v>
      </c>
      <c r="BE38">
        <v>49519</v>
      </c>
      <c r="BF38">
        <f t="shared" si="0"/>
        <v>0</v>
      </c>
    </row>
    <row r="39" spans="1:58" ht="15" customHeight="1" x14ac:dyDescent="0.35">
      <c r="A39" s="3" t="s">
        <v>106</v>
      </c>
      <c r="B39" s="4" t="s">
        <v>107</v>
      </c>
      <c r="C39" s="4" t="str">
        <f>VLOOKUP(A39,'TB Apr 24'!$A$11:$D$103,4,0)</f>
        <v>Telephone, Internet &amp; Other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42541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756</v>
      </c>
      <c r="AR39" s="5">
        <v>0</v>
      </c>
      <c r="AS39" s="5">
        <v>302</v>
      </c>
      <c r="AT39" s="5">
        <v>0</v>
      </c>
      <c r="AU39" s="5">
        <v>1198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44797</v>
      </c>
      <c r="BE39">
        <v>44797</v>
      </c>
      <c r="BF39">
        <f t="shared" si="0"/>
        <v>0</v>
      </c>
    </row>
    <row r="40" spans="1:58" ht="15" customHeight="1" x14ac:dyDescent="0.35">
      <c r="A40" s="3" t="s">
        <v>108</v>
      </c>
      <c r="B40" s="4" t="s">
        <v>109</v>
      </c>
      <c r="C40" s="4" t="str">
        <f>VLOOKUP(A40,'TB Apr 24'!$A$11:$D$103,4,0)</f>
        <v>Telephone, Internet &amp; Other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62</v>
      </c>
      <c r="J40" s="5">
        <v>62</v>
      </c>
      <c r="K40" s="5">
        <v>0</v>
      </c>
      <c r="L40" s="5">
        <v>62</v>
      </c>
      <c r="M40" s="5">
        <v>62</v>
      </c>
      <c r="N40" s="5">
        <v>645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893</v>
      </c>
      <c r="BE40">
        <v>893</v>
      </c>
      <c r="BF40">
        <f t="shared" si="0"/>
        <v>0</v>
      </c>
    </row>
    <row r="41" spans="1:58" ht="15" customHeight="1" x14ac:dyDescent="0.35">
      <c r="A41" s="3" t="s">
        <v>110</v>
      </c>
      <c r="B41" s="4" t="s">
        <v>111</v>
      </c>
      <c r="C41" s="4" t="str">
        <f>VLOOKUP(A41,'TB Apr 24'!$A$11:$D$103,4,0)</f>
        <v>Printing &amp; Stationery, Postage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4000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846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480</v>
      </c>
      <c r="AO41" s="5">
        <v>0</v>
      </c>
      <c r="AP41" s="5">
        <v>0</v>
      </c>
      <c r="AQ41" s="5">
        <v>3000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1050</v>
      </c>
      <c r="BD41" s="5">
        <v>9376</v>
      </c>
      <c r="BE41">
        <v>9376</v>
      </c>
      <c r="BF41">
        <f t="shared" si="0"/>
        <v>0</v>
      </c>
    </row>
    <row r="42" spans="1:58" ht="15" customHeight="1" x14ac:dyDescent="0.35">
      <c r="A42" s="3" t="s">
        <v>112</v>
      </c>
      <c r="B42" s="4" t="s">
        <v>113</v>
      </c>
      <c r="C42" s="4" t="str">
        <f>VLOOKUP(A42,'TB Apr 24'!$A$11:$D$103,4,0)</f>
        <v>Telephone, Internet &amp; Other</v>
      </c>
      <c r="D42" s="5">
        <v>2958</v>
      </c>
      <c r="E42" s="5">
        <v>0</v>
      </c>
      <c r="F42" s="5">
        <v>0</v>
      </c>
      <c r="G42" s="5">
        <v>2958</v>
      </c>
      <c r="H42" s="5">
        <v>2958</v>
      </c>
      <c r="I42" s="5">
        <v>3251</v>
      </c>
      <c r="J42" s="5">
        <v>3250</v>
      </c>
      <c r="K42" s="5">
        <v>0</v>
      </c>
      <c r="L42" s="5">
        <v>3250</v>
      </c>
      <c r="M42" s="5">
        <v>3250</v>
      </c>
      <c r="N42" s="5">
        <v>0</v>
      </c>
      <c r="O42" s="5">
        <v>0</v>
      </c>
      <c r="P42" s="5">
        <v>0</v>
      </c>
      <c r="Q42" s="5">
        <v>0</v>
      </c>
      <c r="R42" s="5">
        <v>3540</v>
      </c>
      <c r="S42" s="5">
        <v>0</v>
      </c>
      <c r="T42" s="5">
        <v>2327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1300</v>
      </c>
      <c r="AC42" s="5">
        <v>1768</v>
      </c>
      <c r="AD42" s="5">
        <v>1060</v>
      </c>
      <c r="AE42" s="5">
        <v>0</v>
      </c>
      <c r="AF42" s="5">
        <v>1063</v>
      </c>
      <c r="AG42" s="5">
        <v>1800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707</v>
      </c>
      <c r="AS42" s="5">
        <v>707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36147</v>
      </c>
      <c r="BE42">
        <v>36147</v>
      </c>
      <c r="BF42">
        <f t="shared" si="0"/>
        <v>0</v>
      </c>
    </row>
    <row r="43" spans="1:58" ht="15" customHeight="1" x14ac:dyDescent="0.35">
      <c r="A43" s="3" t="s">
        <v>452</v>
      </c>
      <c r="B43" s="4" t="s">
        <v>453</v>
      </c>
      <c r="C43" s="4" t="str">
        <f>VLOOKUP(A43,'TB Apr 24'!$A$11:$D$103,4,0)</f>
        <v>Legal and Professional Fees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147500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147500</v>
      </c>
      <c r="BE43">
        <v>147500</v>
      </c>
      <c r="BF43">
        <f t="shared" si="0"/>
        <v>0</v>
      </c>
    </row>
    <row r="44" spans="1:58" ht="15" customHeight="1" x14ac:dyDescent="0.35">
      <c r="A44" s="3" t="s">
        <v>544</v>
      </c>
      <c r="B44" s="4" t="s">
        <v>545</v>
      </c>
      <c r="C44" s="4" t="str">
        <f>VLOOKUP(A44,'TB Apr 24'!$A$11:$D$103,4,0)</f>
        <v>Employee Benefit Expenses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133795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133795</v>
      </c>
      <c r="BE44">
        <v>133795</v>
      </c>
      <c r="BF44">
        <f t="shared" si="0"/>
        <v>0</v>
      </c>
    </row>
    <row r="45" spans="1:58" ht="15" customHeight="1" x14ac:dyDescent="0.35">
      <c r="A45" s="3" t="s">
        <v>311</v>
      </c>
      <c r="B45" s="4" t="s">
        <v>312</v>
      </c>
      <c r="C45" s="4" t="str">
        <f>VLOOKUP(A45,'TB Apr 24'!$A$11:$D$103,4,0)</f>
        <v>Other Utility Charges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178363</v>
      </c>
      <c r="W45" s="5">
        <v>178363</v>
      </c>
      <c r="X45" s="5">
        <v>178363</v>
      </c>
      <c r="Y45" s="5">
        <v>113777</v>
      </c>
      <c r="Z45" s="5">
        <v>119218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121660</v>
      </c>
      <c r="AG45" s="5">
        <v>194302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18945</v>
      </c>
      <c r="AS45" s="5">
        <v>8344</v>
      </c>
      <c r="AT45" s="5">
        <v>0</v>
      </c>
      <c r="AU45" s="5">
        <v>7069</v>
      </c>
      <c r="AV45" s="5">
        <v>4937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1123341</v>
      </c>
      <c r="BE45">
        <v>1123341</v>
      </c>
      <c r="BF45">
        <f t="shared" si="0"/>
        <v>0</v>
      </c>
    </row>
    <row r="46" spans="1:58" ht="15" customHeight="1" x14ac:dyDescent="0.35">
      <c r="A46" s="3" t="s">
        <v>114</v>
      </c>
      <c r="B46" s="4" t="s">
        <v>115</v>
      </c>
      <c r="C46" s="4" t="str">
        <f>VLOOKUP(A46,'TB Apr 24'!$A$11:$D$103,4,0)</f>
        <v>Business Promotion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10000</v>
      </c>
      <c r="BA46" s="5">
        <v>10000</v>
      </c>
      <c r="BB46" s="5">
        <v>10000</v>
      </c>
      <c r="BC46" s="5">
        <v>0</v>
      </c>
      <c r="BD46" s="5">
        <v>30000</v>
      </c>
      <c r="BE46">
        <v>30000</v>
      </c>
      <c r="BF46">
        <f t="shared" si="0"/>
        <v>0</v>
      </c>
    </row>
    <row r="47" spans="1:58" ht="15" customHeight="1" x14ac:dyDescent="0.35">
      <c r="A47" s="3" t="s">
        <v>116</v>
      </c>
      <c r="B47" s="4" t="s">
        <v>117</v>
      </c>
      <c r="C47" s="4" t="str">
        <f>VLOOKUP(A47,'TB Apr 24'!$A$11:$D$103,4,0)</f>
        <v>Legal and Professional Fees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2300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2300</v>
      </c>
      <c r="BE47">
        <v>2300</v>
      </c>
      <c r="BF47">
        <f t="shared" si="0"/>
        <v>0</v>
      </c>
    </row>
    <row r="48" spans="1:58" ht="15" customHeight="1" x14ac:dyDescent="0.35">
      <c r="A48" s="3" t="s">
        <v>118</v>
      </c>
      <c r="B48" s="4" t="s">
        <v>119</v>
      </c>
      <c r="C48" s="4" t="str">
        <f>VLOOKUP(A48,'TB Apr 24'!$A$11:$D$103,4,0)</f>
        <v>Legal and Professional Fees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1227830</v>
      </c>
      <c r="O48" s="5">
        <v>0</v>
      </c>
      <c r="P48" s="5">
        <v>0</v>
      </c>
      <c r="Q48" s="5">
        <v>0</v>
      </c>
      <c r="R48" s="5">
        <v>7000</v>
      </c>
      <c r="S48" s="5">
        <v>0</v>
      </c>
      <c r="T48" s="5">
        <v>7000</v>
      </c>
      <c r="U48" s="5">
        <v>0</v>
      </c>
      <c r="V48" s="5">
        <v>0</v>
      </c>
      <c r="W48" s="5">
        <v>0</v>
      </c>
      <c r="X48" s="5">
        <v>0</v>
      </c>
      <c r="Y48" s="5">
        <v>75000</v>
      </c>
      <c r="Z48" s="5">
        <v>0</v>
      </c>
      <c r="AA48" s="5">
        <v>0</v>
      </c>
      <c r="AB48" s="5">
        <v>2200</v>
      </c>
      <c r="AC48" s="5">
        <v>2200</v>
      </c>
      <c r="AD48" s="5">
        <v>100000</v>
      </c>
      <c r="AE48" s="5">
        <v>0</v>
      </c>
      <c r="AF48" s="5">
        <v>0</v>
      </c>
      <c r="AG48" s="5">
        <v>13600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30500</v>
      </c>
      <c r="AS48" s="5">
        <v>82389</v>
      </c>
      <c r="AT48" s="5">
        <v>0</v>
      </c>
      <c r="AU48" s="5">
        <v>28000</v>
      </c>
      <c r="AV48" s="5">
        <v>28000</v>
      </c>
      <c r="AW48" s="5">
        <v>25250</v>
      </c>
      <c r="AX48" s="5">
        <v>0</v>
      </c>
      <c r="AY48" s="5">
        <v>0</v>
      </c>
      <c r="AZ48" s="5">
        <v>25250</v>
      </c>
      <c r="BA48" s="5">
        <v>0</v>
      </c>
      <c r="BB48" s="5">
        <v>25250</v>
      </c>
      <c r="BC48" s="5">
        <v>25250</v>
      </c>
      <c r="BD48" s="5">
        <v>1704719</v>
      </c>
      <c r="BE48">
        <v>1704719</v>
      </c>
      <c r="BF48">
        <f t="shared" si="0"/>
        <v>0</v>
      </c>
    </row>
    <row r="49" spans="1:58" ht="15" customHeight="1" x14ac:dyDescent="0.35">
      <c r="A49" s="3" t="s">
        <v>120</v>
      </c>
      <c r="B49" s="4" t="s">
        <v>121</v>
      </c>
      <c r="C49" s="4" t="str">
        <f>VLOOKUP(A49,'TB Apr 24'!$A$11:$D$103,4,0)</f>
        <v>Other Operational Expenses</v>
      </c>
      <c r="D49" s="5">
        <v>929</v>
      </c>
      <c r="E49" s="5">
        <v>417</v>
      </c>
      <c r="F49" s="5">
        <v>0</v>
      </c>
      <c r="G49" s="5">
        <v>991</v>
      </c>
      <c r="H49" s="5">
        <v>0</v>
      </c>
      <c r="I49" s="5">
        <v>3302</v>
      </c>
      <c r="J49" s="5">
        <v>1740</v>
      </c>
      <c r="K49" s="5">
        <v>0</v>
      </c>
      <c r="L49" s="5">
        <v>6371</v>
      </c>
      <c r="M49" s="5">
        <v>4904</v>
      </c>
      <c r="N49" s="5">
        <v>0</v>
      </c>
      <c r="O49" s="5">
        <v>0</v>
      </c>
      <c r="P49" s="5">
        <v>0</v>
      </c>
      <c r="Q49" s="5">
        <v>640</v>
      </c>
      <c r="R49" s="5">
        <v>4238</v>
      </c>
      <c r="S49" s="5">
        <v>742</v>
      </c>
      <c r="T49" s="5">
        <v>3580</v>
      </c>
      <c r="U49" s="5">
        <v>0</v>
      </c>
      <c r="V49" s="5">
        <v>862</v>
      </c>
      <c r="W49" s="5">
        <v>907</v>
      </c>
      <c r="X49" s="5">
        <v>2575</v>
      </c>
      <c r="Y49" s="5">
        <v>0</v>
      </c>
      <c r="Z49" s="5">
        <v>735</v>
      </c>
      <c r="AA49" s="5">
        <v>0</v>
      </c>
      <c r="AB49" s="5">
        <v>822</v>
      </c>
      <c r="AC49" s="5">
        <v>2589</v>
      </c>
      <c r="AD49" s="5">
        <v>430</v>
      </c>
      <c r="AE49" s="5">
        <v>2934</v>
      </c>
      <c r="AF49" s="5">
        <v>556</v>
      </c>
      <c r="AG49" s="5">
        <v>1000</v>
      </c>
      <c r="AH49" s="5">
        <v>0</v>
      </c>
      <c r="AI49" s="5">
        <v>5372</v>
      </c>
      <c r="AJ49" s="5">
        <v>0</v>
      </c>
      <c r="AK49" s="5">
        <v>0</v>
      </c>
      <c r="AL49" s="5">
        <v>0</v>
      </c>
      <c r="AM49" s="5">
        <v>0</v>
      </c>
      <c r="AN49" s="5">
        <v>2690</v>
      </c>
      <c r="AO49" s="5">
        <v>5276</v>
      </c>
      <c r="AP49" s="5">
        <v>0</v>
      </c>
      <c r="AQ49" s="5">
        <v>13514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68116</v>
      </c>
      <c r="BE49">
        <v>68116</v>
      </c>
      <c r="BF49">
        <f t="shared" si="0"/>
        <v>0</v>
      </c>
    </row>
    <row r="50" spans="1:58" ht="15" customHeight="1" x14ac:dyDescent="0.35">
      <c r="A50" s="3" t="s">
        <v>122</v>
      </c>
      <c r="B50" s="4" t="s">
        <v>123</v>
      </c>
      <c r="C50" s="4" t="str">
        <f>VLOOKUP(A50,'TB Apr 24'!$A$11:$D$103,4,0)</f>
        <v>Other Operational Expenses</v>
      </c>
      <c r="D50" s="5">
        <v>6143</v>
      </c>
      <c r="E50" s="5">
        <v>860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39922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14856</v>
      </c>
      <c r="W50" s="5">
        <v>14856</v>
      </c>
      <c r="X50" s="5">
        <v>14859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28335.5</v>
      </c>
      <c r="AI50" s="5">
        <v>13003.5</v>
      </c>
      <c r="AJ50" s="5">
        <v>0</v>
      </c>
      <c r="AK50" s="5">
        <v>0</v>
      </c>
      <c r="AL50" s="5">
        <v>0</v>
      </c>
      <c r="AM50" s="5">
        <v>0</v>
      </c>
      <c r="AN50" s="5">
        <v>17362</v>
      </c>
      <c r="AO50" s="5">
        <v>13003.5</v>
      </c>
      <c r="AP50" s="5">
        <v>28335.5</v>
      </c>
      <c r="AQ50" s="5">
        <v>30365.5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221901.5</v>
      </c>
      <c r="BE50">
        <v>193566</v>
      </c>
      <c r="BF50" s="526">
        <f t="shared" si="0"/>
        <v>28335.5</v>
      </c>
    </row>
    <row r="51" spans="1:58" ht="15" customHeight="1" x14ac:dyDescent="0.35">
      <c r="A51" s="3" t="s">
        <v>124</v>
      </c>
      <c r="B51" s="4" t="s">
        <v>125</v>
      </c>
      <c r="C51" s="4" t="str">
        <f>VLOOKUP(A51,'TB Apr 24'!$A$11:$D$103,4,0)</f>
        <v>Other Operational Expenses</v>
      </c>
      <c r="D51" s="5">
        <v>3931</v>
      </c>
      <c r="E51" s="5">
        <v>3931</v>
      </c>
      <c r="F51" s="5">
        <v>0</v>
      </c>
      <c r="G51" s="5">
        <v>3931</v>
      </c>
      <c r="H51" s="5">
        <v>3932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15725</v>
      </c>
      <c r="BE51">
        <v>15725</v>
      </c>
      <c r="BF51">
        <f t="shared" si="0"/>
        <v>0</v>
      </c>
    </row>
    <row r="52" spans="1:58" ht="15" customHeight="1" x14ac:dyDescent="0.35">
      <c r="A52" s="3" t="s">
        <v>126</v>
      </c>
      <c r="B52" s="4" t="s">
        <v>127</v>
      </c>
      <c r="C52" s="4" t="str">
        <f>VLOOKUP(A52,'TB Apr 24'!$A$11:$D$103,4,0)</f>
        <v>Employee Benefit Expenses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21600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21600</v>
      </c>
      <c r="BE52">
        <v>21600</v>
      </c>
      <c r="BF52">
        <f t="shared" si="0"/>
        <v>0</v>
      </c>
    </row>
    <row r="53" spans="1:58" ht="15" customHeight="1" x14ac:dyDescent="0.35">
      <c r="A53" s="3" t="s">
        <v>128</v>
      </c>
      <c r="B53" s="4" t="s">
        <v>129</v>
      </c>
      <c r="C53" s="4" t="str">
        <f>VLOOKUP(A53,'TB Apr 24'!$A$11:$D$103,4,0)</f>
        <v>Other Operational Expenses</v>
      </c>
      <c r="D53" s="5">
        <v>3848</v>
      </c>
      <c r="E53" s="5">
        <v>49981</v>
      </c>
      <c r="F53" s="5">
        <v>0</v>
      </c>
      <c r="G53" s="5">
        <v>17262</v>
      </c>
      <c r="H53" s="5">
        <v>2309</v>
      </c>
      <c r="I53" s="5">
        <v>0</v>
      </c>
      <c r="J53" s="5">
        <v>185</v>
      </c>
      <c r="K53" s="5">
        <v>33758</v>
      </c>
      <c r="L53" s="5">
        <v>1500</v>
      </c>
      <c r="M53" s="5">
        <v>0</v>
      </c>
      <c r="N53" s="5">
        <v>0</v>
      </c>
      <c r="O53" s="5">
        <v>0</v>
      </c>
      <c r="P53" s="5">
        <v>0</v>
      </c>
      <c r="Q53" s="5">
        <v>38869</v>
      </c>
      <c r="R53" s="5">
        <v>31806</v>
      </c>
      <c r="S53" s="5">
        <v>621</v>
      </c>
      <c r="T53" s="5">
        <v>71537</v>
      </c>
      <c r="U53" s="5">
        <v>23903</v>
      </c>
      <c r="V53" s="5">
        <v>545</v>
      </c>
      <c r="W53" s="5">
        <v>1610</v>
      </c>
      <c r="X53" s="5">
        <v>0</v>
      </c>
      <c r="Y53" s="5">
        <v>14048</v>
      </c>
      <c r="Z53" s="5">
        <v>22430</v>
      </c>
      <c r="AA53" s="5">
        <v>375</v>
      </c>
      <c r="AB53" s="5">
        <v>14635</v>
      </c>
      <c r="AC53" s="5">
        <v>73235</v>
      </c>
      <c r="AD53" s="5">
        <v>11538</v>
      </c>
      <c r="AE53" s="5">
        <v>30096</v>
      </c>
      <c r="AF53" s="5">
        <v>29912</v>
      </c>
      <c r="AG53" s="5">
        <v>9650</v>
      </c>
      <c r="AH53" s="5">
        <v>2070</v>
      </c>
      <c r="AI53" s="5">
        <v>0</v>
      </c>
      <c r="AJ53" s="5">
        <v>0</v>
      </c>
      <c r="AK53" s="5">
        <v>0</v>
      </c>
      <c r="AL53" s="5">
        <v>28540</v>
      </c>
      <c r="AM53" s="5">
        <v>0</v>
      </c>
      <c r="AN53" s="5">
        <v>7490</v>
      </c>
      <c r="AO53" s="5">
        <v>0</v>
      </c>
      <c r="AP53" s="5">
        <v>0</v>
      </c>
      <c r="AQ53" s="5">
        <v>60</v>
      </c>
      <c r="AR53" s="5">
        <v>14907</v>
      </c>
      <c r="AS53" s="5">
        <v>1800</v>
      </c>
      <c r="AT53" s="5">
        <v>0</v>
      </c>
      <c r="AU53" s="5">
        <v>38943</v>
      </c>
      <c r="AV53" s="5">
        <v>38943</v>
      </c>
      <c r="AW53" s="5">
        <v>30834</v>
      </c>
      <c r="AX53" s="5">
        <v>0</v>
      </c>
      <c r="AY53" s="5">
        <v>0</v>
      </c>
      <c r="AZ53" s="5">
        <v>69645</v>
      </c>
      <c r="BA53" s="5">
        <v>26342</v>
      </c>
      <c r="BB53" s="5">
        <v>34853</v>
      </c>
      <c r="BC53" s="5">
        <v>8179</v>
      </c>
      <c r="BD53" s="5">
        <v>786259</v>
      </c>
      <c r="BE53">
        <v>786259</v>
      </c>
      <c r="BF53">
        <f t="shared" si="0"/>
        <v>0</v>
      </c>
    </row>
    <row r="54" spans="1:58" ht="15" customHeight="1" x14ac:dyDescent="0.35">
      <c r="A54" s="3" t="s">
        <v>130</v>
      </c>
      <c r="B54" s="4" t="s">
        <v>131</v>
      </c>
      <c r="C54" s="4" t="str">
        <f>VLOOKUP(A54,'TB Apr 24'!$A$11:$D$103,4,0)</f>
        <v>Other Operational Expenses</v>
      </c>
      <c r="D54" s="5">
        <v>0</v>
      </c>
      <c r="E54" s="5">
        <v>0</v>
      </c>
      <c r="F54" s="5">
        <v>0</v>
      </c>
      <c r="G54" s="5">
        <v>0</v>
      </c>
      <c r="H54" s="5">
        <v>700</v>
      </c>
      <c r="I54" s="5">
        <v>0</v>
      </c>
      <c r="J54" s="5">
        <v>455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1540</v>
      </c>
      <c r="R54" s="5">
        <v>465</v>
      </c>
      <c r="S54" s="5">
        <v>0</v>
      </c>
      <c r="T54" s="5">
        <v>1200</v>
      </c>
      <c r="U54" s="5">
        <v>0</v>
      </c>
      <c r="V54" s="5">
        <v>0</v>
      </c>
      <c r="W54" s="5">
        <v>122</v>
      </c>
      <c r="X54" s="5">
        <v>200</v>
      </c>
      <c r="Y54" s="5">
        <v>300</v>
      </c>
      <c r="Z54" s="5">
        <v>300</v>
      </c>
      <c r="AA54" s="5">
        <v>0</v>
      </c>
      <c r="AB54" s="5">
        <v>350</v>
      </c>
      <c r="AC54" s="5">
        <v>300</v>
      </c>
      <c r="AD54" s="5">
        <v>300</v>
      </c>
      <c r="AE54" s="5">
        <v>350</v>
      </c>
      <c r="AF54" s="5">
        <v>400</v>
      </c>
      <c r="AG54" s="5">
        <v>300</v>
      </c>
      <c r="AH54" s="5">
        <v>6750</v>
      </c>
      <c r="AI54" s="5">
        <v>6750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2388</v>
      </c>
      <c r="AP54" s="5">
        <v>0</v>
      </c>
      <c r="AQ54" s="5">
        <v>200</v>
      </c>
      <c r="AR54" s="5">
        <v>70</v>
      </c>
      <c r="AS54" s="5">
        <v>30</v>
      </c>
      <c r="AT54" s="5">
        <v>0</v>
      </c>
      <c r="AU54" s="5">
        <v>356</v>
      </c>
      <c r="AV54" s="5">
        <v>100</v>
      </c>
      <c r="AW54" s="5">
        <v>1646</v>
      </c>
      <c r="AX54" s="5">
        <v>0</v>
      </c>
      <c r="AY54" s="5">
        <v>0</v>
      </c>
      <c r="AZ54" s="5">
        <v>0</v>
      </c>
      <c r="BA54" s="5">
        <v>0</v>
      </c>
      <c r="BB54" s="5">
        <v>4843</v>
      </c>
      <c r="BC54" s="5">
        <v>0</v>
      </c>
      <c r="BD54" s="5">
        <v>30415</v>
      </c>
      <c r="BE54">
        <v>30415</v>
      </c>
      <c r="BF54">
        <f t="shared" si="0"/>
        <v>0</v>
      </c>
    </row>
    <row r="55" spans="1:58" ht="15" customHeight="1" x14ac:dyDescent="0.35">
      <c r="A55" s="3" t="s">
        <v>132</v>
      </c>
      <c r="B55" s="4" t="s">
        <v>133</v>
      </c>
      <c r="C55" s="4" t="str">
        <f>VLOOKUP(A55,'TB Apr 24'!$A$11:$D$103,4,0)</f>
        <v>Printing &amp; Stationery, Postage</v>
      </c>
      <c r="D55" s="5">
        <v>1800</v>
      </c>
      <c r="E55" s="5">
        <v>45720</v>
      </c>
      <c r="F55" s="5">
        <v>0</v>
      </c>
      <c r="G55" s="5">
        <v>24410</v>
      </c>
      <c r="H55" s="5">
        <v>1140</v>
      </c>
      <c r="I55" s="5">
        <v>0</v>
      </c>
      <c r="J55" s="5">
        <v>300</v>
      </c>
      <c r="K55" s="5">
        <v>12625</v>
      </c>
      <c r="L55" s="5">
        <v>900</v>
      </c>
      <c r="M55" s="5">
        <v>10053</v>
      </c>
      <c r="N55" s="5">
        <v>0</v>
      </c>
      <c r="O55" s="5">
        <v>0</v>
      </c>
      <c r="P55" s="5">
        <v>0</v>
      </c>
      <c r="Q55" s="5">
        <v>500</v>
      </c>
      <c r="R55" s="5">
        <v>88623</v>
      </c>
      <c r="S55" s="5">
        <v>0</v>
      </c>
      <c r="T55" s="5">
        <v>29206</v>
      </c>
      <c r="U55" s="5">
        <v>19807</v>
      </c>
      <c r="V55" s="5">
        <v>4979</v>
      </c>
      <c r="W55" s="5">
        <v>3775</v>
      </c>
      <c r="X55" s="5">
        <v>40</v>
      </c>
      <c r="Y55" s="5">
        <v>23976</v>
      </c>
      <c r="Z55" s="5">
        <v>9586</v>
      </c>
      <c r="AA55" s="5">
        <v>5640</v>
      </c>
      <c r="AB55" s="5">
        <v>25166</v>
      </c>
      <c r="AC55" s="5">
        <v>6167</v>
      </c>
      <c r="AD55" s="5">
        <v>3165</v>
      </c>
      <c r="AE55" s="5">
        <v>515</v>
      </c>
      <c r="AF55" s="5">
        <v>54410</v>
      </c>
      <c r="AG55" s="5">
        <v>31710</v>
      </c>
      <c r="AH55" s="5">
        <v>52859</v>
      </c>
      <c r="AI55" s="5">
        <v>750</v>
      </c>
      <c r="AJ55" s="5">
        <v>0</v>
      </c>
      <c r="AK55" s="5">
        <v>0</v>
      </c>
      <c r="AL55" s="5">
        <v>22999</v>
      </c>
      <c r="AM55" s="5">
        <v>0</v>
      </c>
      <c r="AN55" s="5">
        <v>19600</v>
      </c>
      <c r="AO55" s="5">
        <v>890</v>
      </c>
      <c r="AP55" s="5">
        <v>0</v>
      </c>
      <c r="AQ55" s="5">
        <v>16710</v>
      </c>
      <c r="AR55" s="5">
        <v>12410</v>
      </c>
      <c r="AS55" s="5">
        <v>392</v>
      </c>
      <c r="AT55" s="5">
        <v>0</v>
      </c>
      <c r="AU55" s="5">
        <v>1808</v>
      </c>
      <c r="AV55" s="5">
        <v>1808</v>
      </c>
      <c r="AW55" s="5">
        <v>16284</v>
      </c>
      <c r="AX55" s="5">
        <v>0</v>
      </c>
      <c r="AY55" s="5">
        <v>0</v>
      </c>
      <c r="AZ55" s="5">
        <v>13159</v>
      </c>
      <c r="BA55" s="5">
        <v>7700</v>
      </c>
      <c r="BB55" s="5">
        <v>85261</v>
      </c>
      <c r="BC55" s="5">
        <v>9188</v>
      </c>
      <c r="BD55" s="5">
        <v>666031</v>
      </c>
      <c r="BE55">
        <v>1428765.5299999998</v>
      </c>
      <c r="BF55" s="526">
        <f t="shared" si="0"/>
        <v>-762734.5299999998</v>
      </c>
    </row>
    <row r="56" spans="1:58" ht="15" customHeight="1" x14ac:dyDescent="0.35">
      <c r="A56" s="3" t="s">
        <v>134</v>
      </c>
      <c r="B56" s="4" t="s">
        <v>135</v>
      </c>
      <c r="C56" s="4" t="str">
        <f>VLOOKUP(A56,'TB Apr 24'!$A$11:$D$103,4,0)</f>
        <v>Other Operational Expenses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1133</v>
      </c>
      <c r="AT56" s="5">
        <v>0</v>
      </c>
      <c r="AU56" s="5">
        <v>300</v>
      </c>
      <c r="AV56" s="5">
        <v>4818</v>
      </c>
      <c r="AW56" s="5">
        <v>0</v>
      </c>
      <c r="AX56" s="5">
        <v>0</v>
      </c>
      <c r="AY56" s="5">
        <v>0</v>
      </c>
      <c r="AZ56" s="5">
        <v>2786</v>
      </c>
      <c r="BA56" s="5">
        <v>0</v>
      </c>
      <c r="BB56" s="5">
        <v>1590</v>
      </c>
      <c r="BC56" s="5">
        <v>1094</v>
      </c>
      <c r="BD56" s="5">
        <v>11721</v>
      </c>
      <c r="BE56">
        <v>666031</v>
      </c>
      <c r="BF56" s="526">
        <f t="shared" si="0"/>
        <v>-654310</v>
      </c>
    </row>
    <row r="57" spans="1:58" ht="15" customHeight="1" x14ac:dyDescent="0.35">
      <c r="A57" s="3" t="s">
        <v>136</v>
      </c>
      <c r="B57" s="4" t="s">
        <v>137</v>
      </c>
      <c r="C57" s="4" t="str">
        <f>VLOOKUP(A57,'TB Apr 24'!$A$11:$D$103,4,0)</f>
        <v>Other Operational Expenses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350</v>
      </c>
      <c r="AS57" s="5">
        <v>0</v>
      </c>
      <c r="AT57" s="5">
        <v>0</v>
      </c>
      <c r="AU57" s="5">
        <v>760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1110</v>
      </c>
      <c r="BE57">
        <v>11721</v>
      </c>
      <c r="BF57" s="526">
        <f t="shared" si="0"/>
        <v>-10611</v>
      </c>
    </row>
    <row r="58" spans="1:58" s="79" customFormat="1" ht="15" customHeight="1" x14ac:dyDescent="0.35">
      <c r="A58" s="315" t="s">
        <v>973</v>
      </c>
      <c r="B58" s="325" t="s">
        <v>974</v>
      </c>
      <c r="C58" s="4" t="str">
        <f>VLOOKUP(A58,'TB Apr 24'!$A$11:$D$103,4,0)</f>
        <v>Business Promotion</v>
      </c>
      <c r="D58" s="346">
        <v>93489.22</v>
      </c>
      <c r="E58" s="346">
        <v>91125</v>
      </c>
      <c r="F58" s="346">
        <v>0</v>
      </c>
      <c r="G58" s="346">
        <v>83071.329999999987</v>
      </c>
      <c r="H58" s="346">
        <v>114612.49999999997</v>
      </c>
      <c r="I58" s="346">
        <v>44920.98000000001</v>
      </c>
      <c r="J58" s="346">
        <v>43165.479999999996</v>
      </c>
      <c r="K58" s="346">
        <v>0</v>
      </c>
      <c r="L58" s="346">
        <v>16033.59</v>
      </c>
      <c r="M58" s="346">
        <v>46840.36</v>
      </c>
      <c r="N58" s="346">
        <v>0</v>
      </c>
      <c r="O58" s="346">
        <v>0</v>
      </c>
      <c r="P58" s="346">
        <v>0</v>
      </c>
      <c r="Q58" s="346">
        <f>43610.35</f>
        <v>43610.35</v>
      </c>
      <c r="R58" s="346">
        <v>43409.67</v>
      </c>
      <c r="S58" s="346">
        <v>0</v>
      </c>
      <c r="T58" s="346">
        <v>40711</v>
      </c>
      <c r="U58" s="346">
        <v>0</v>
      </c>
      <c r="V58" s="346">
        <v>21784.300000000003</v>
      </c>
      <c r="W58" s="346">
        <v>41419.19</v>
      </c>
      <c r="X58" s="346">
        <v>12474.36</v>
      </c>
      <c r="Y58" s="346">
        <v>44215.89</v>
      </c>
      <c r="Z58" s="346">
        <v>62874.659999999996</v>
      </c>
      <c r="AA58" s="346">
        <v>0</v>
      </c>
      <c r="AB58" s="346">
        <v>47913.53</v>
      </c>
      <c r="AC58" s="346">
        <v>113484.48000000001</v>
      </c>
      <c r="AD58" s="346">
        <v>18434.510000000002</v>
      </c>
      <c r="AE58" s="346">
        <v>48530.570000000007</v>
      </c>
      <c r="AF58" s="346">
        <v>49703.14</v>
      </c>
      <c r="AG58" s="346">
        <v>112753.7</v>
      </c>
      <c r="AH58" s="346">
        <v>0</v>
      </c>
      <c r="AI58" s="346">
        <v>0</v>
      </c>
      <c r="AJ58" s="346">
        <v>0</v>
      </c>
      <c r="AK58" s="346">
        <v>0</v>
      </c>
      <c r="AL58" s="346">
        <v>0</v>
      </c>
      <c r="AM58" s="346">
        <v>0</v>
      </c>
      <c r="AN58" s="346">
        <v>0</v>
      </c>
      <c r="AO58" s="346">
        <v>0</v>
      </c>
      <c r="AP58" s="346">
        <v>0</v>
      </c>
      <c r="AQ58" s="346">
        <v>0</v>
      </c>
      <c r="AR58" s="346">
        <v>36747.15</v>
      </c>
      <c r="AS58" s="346">
        <v>75810.010000000009</v>
      </c>
      <c r="AT58" s="346">
        <v>0</v>
      </c>
      <c r="AU58" s="346">
        <v>46294.840000000004</v>
      </c>
      <c r="AV58" s="346">
        <v>35335.72</v>
      </c>
      <c r="AW58" s="346">
        <v>0</v>
      </c>
      <c r="AX58" s="346">
        <v>0</v>
      </c>
      <c r="AY58" s="346">
        <v>0</v>
      </c>
      <c r="AZ58" s="346">
        <v>0</v>
      </c>
      <c r="BA58" s="346">
        <v>0</v>
      </c>
      <c r="BB58" s="346">
        <v>0</v>
      </c>
      <c r="BC58" s="346">
        <v>0</v>
      </c>
      <c r="BD58" s="346">
        <f>SUM(D58:BC58)</f>
        <v>1428765.5299999998</v>
      </c>
      <c r="BE58" s="346">
        <v>1110</v>
      </c>
      <c r="BF58" s="527">
        <f t="shared" si="0"/>
        <v>1427655.5299999998</v>
      </c>
    </row>
    <row r="59" spans="1:58" ht="15" customHeight="1" x14ac:dyDescent="0.35">
      <c r="A59" s="3" t="s">
        <v>138</v>
      </c>
      <c r="B59" s="4" t="s">
        <v>139</v>
      </c>
      <c r="C59" s="4" t="str">
        <f>VLOOKUP(A59,'TB Apr 24'!$A$11:$D$103,4,0)</f>
        <v>Business Promotion</v>
      </c>
      <c r="D59" s="5">
        <v>1523</v>
      </c>
      <c r="E59" s="5">
        <v>1523</v>
      </c>
      <c r="F59" s="5">
        <v>0</v>
      </c>
      <c r="G59" s="5">
        <v>1523</v>
      </c>
      <c r="H59" s="5">
        <v>1523</v>
      </c>
      <c r="I59" s="5">
        <v>8031</v>
      </c>
      <c r="J59" s="5">
        <v>2031</v>
      </c>
      <c r="K59" s="5">
        <v>0</v>
      </c>
      <c r="L59" s="5">
        <v>7031</v>
      </c>
      <c r="M59" s="5">
        <v>2031</v>
      </c>
      <c r="N59" s="5">
        <v>998059.27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2031</v>
      </c>
      <c r="W59" s="5">
        <v>2031</v>
      </c>
      <c r="X59" s="5">
        <v>2031</v>
      </c>
      <c r="Y59" s="5">
        <v>1016</v>
      </c>
      <c r="Z59" s="5">
        <v>1016</v>
      </c>
      <c r="AA59" s="5">
        <v>0</v>
      </c>
      <c r="AB59" s="5">
        <v>3016</v>
      </c>
      <c r="AC59" s="5">
        <v>1016</v>
      </c>
      <c r="AD59" s="5">
        <v>1016</v>
      </c>
      <c r="AE59" s="5">
        <v>1715</v>
      </c>
      <c r="AF59" s="5">
        <v>1016</v>
      </c>
      <c r="AG59" s="5">
        <v>9716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243690</v>
      </c>
      <c r="AO59" s="5">
        <v>0</v>
      </c>
      <c r="AP59" s="5">
        <v>0</v>
      </c>
      <c r="AQ59" s="5">
        <v>139440</v>
      </c>
      <c r="AR59" s="5">
        <v>2031</v>
      </c>
      <c r="AS59" s="5">
        <v>2031</v>
      </c>
      <c r="AT59" s="5">
        <v>0</v>
      </c>
      <c r="AU59" s="5">
        <v>2031</v>
      </c>
      <c r="AV59" s="5">
        <v>2031</v>
      </c>
      <c r="AW59" s="5">
        <v>2100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1442249.27</v>
      </c>
      <c r="BE59" s="5">
        <v>1442249.27</v>
      </c>
      <c r="BF59">
        <f t="shared" si="0"/>
        <v>0</v>
      </c>
    </row>
    <row r="60" spans="1:58" ht="15" customHeight="1" x14ac:dyDescent="0.35">
      <c r="A60" s="3" t="s">
        <v>140</v>
      </c>
      <c r="B60" s="4" t="s">
        <v>141</v>
      </c>
      <c r="C60" s="4" t="str">
        <f>VLOOKUP(A60,'TB Apr 24'!$A$11:$D$103,4,0)</f>
        <v>Fixed Rent/Revenue Share</v>
      </c>
      <c r="D60" s="5">
        <v>157711</v>
      </c>
      <c r="E60" s="5">
        <v>201458</v>
      </c>
      <c r="F60" s="5">
        <v>0</v>
      </c>
      <c r="G60" s="5">
        <v>358926</v>
      </c>
      <c r="H60" s="5">
        <v>125446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5944144</v>
      </c>
      <c r="O60" s="5">
        <v>0</v>
      </c>
      <c r="P60" s="5">
        <v>0</v>
      </c>
      <c r="Q60" s="5">
        <v>228040</v>
      </c>
      <c r="R60" s="5">
        <v>268262</v>
      </c>
      <c r="S60" s="5">
        <v>0</v>
      </c>
      <c r="T60" s="5">
        <v>347594</v>
      </c>
      <c r="U60" s="5">
        <v>0</v>
      </c>
      <c r="V60" s="5">
        <v>179225</v>
      </c>
      <c r="W60" s="5">
        <v>211585</v>
      </c>
      <c r="X60" s="5">
        <v>179225</v>
      </c>
      <c r="Y60" s="5">
        <v>240189</v>
      </c>
      <c r="Z60" s="5">
        <v>284512</v>
      </c>
      <c r="AA60" s="5">
        <v>-4423175</v>
      </c>
      <c r="AB60" s="5">
        <v>608391</v>
      </c>
      <c r="AC60" s="5">
        <v>778571</v>
      </c>
      <c r="AD60" s="5">
        <v>77612</v>
      </c>
      <c r="AE60" s="5">
        <v>378412</v>
      </c>
      <c r="AF60" s="5">
        <v>259027</v>
      </c>
      <c r="AG60" s="5">
        <v>-175098</v>
      </c>
      <c r="AH60" s="5">
        <v>31951</v>
      </c>
      <c r="AI60" s="5">
        <v>0</v>
      </c>
      <c r="AJ60" s="5">
        <v>0</v>
      </c>
      <c r="AK60" s="5">
        <v>0</v>
      </c>
      <c r="AL60" s="5">
        <v>-89054</v>
      </c>
      <c r="AM60" s="5">
        <v>0</v>
      </c>
      <c r="AN60" s="5">
        <v>546787</v>
      </c>
      <c r="AO60" s="5">
        <v>0</v>
      </c>
      <c r="AP60" s="5">
        <v>0</v>
      </c>
      <c r="AQ60" s="5">
        <v>554825</v>
      </c>
      <c r="AR60" s="5">
        <v>125808</v>
      </c>
      <c r="AS60" s="5">
        <v>182299</v>
      </c>
      <c r="AT60" s="5">
        <v>-109410</v>
      </c>
      <c r="AU60" s="5">
        <v>177491</v>
      </c>
      <c r="AV60" s="5">
        <v>177491</v>
      </c>
      <c r="AW60" s="5">
        <v>99765</v>
      </c>
      <c r="AX60" s="5">
        <v>0</v>
      </c>
      <c r="AY60" s="5">
        <v>-227275</v>
      </c>
      <c r="AZ60" s="5">
        <v>99765</v>
      </c>
      <c r="BA60" s="5">
        <v>145708</v>
      </c>
      <c r="BB60" s="5">
        <v>133461</v>
      </c>
      <c r="BC60" s="5">
        <v>133461</v>
      </c>
      <c r="BD60" s="5">
        <v>8213130</v>
      </c>
      <c r="BE60" s="5">
        <v>8213130.0217999993</v>
      </c>
      <c r="BF60">
        <f t="shared" si="0"/>
        <v>-2.1799999289214611E-2</v>
      </c>
    </row>
    <row r="61" spans="1:58" ht="15" customHeight="1" x14ac:dyDescent="0.35">
      <c r="A61" s="3" t="s">
        <v>142</v>
      </c>
      <c r="B61" s="4" t="s">
        <v>143</v>
      </c>
      <c r="C61" s="4" t="str">
        <f>VLOOKUP(A61,'TB Apr 24'!$A$11:$D$103,4,0)</f>
        <v>CAM</v>
      </c>
      <c r="D61" s="5">
        <v>81548</v>
      </c>
      <c r="E61" s="5">
        <v>104459</v>
      </c>
      <c r="F61" s="5">
        <v>0</v>
      </c>
      <c r="G61" s="5">
        <v>115724</v>
      </c>
      <c r="H61" s="5">
        <v>48815</v>
      </c>
      <c r="I61" s="5">
        <v>83414.34</v>
      </c>
      <c r="J61" s="5">
        <v>74431</v>
      </c>
      <c r="K61" s="5">
        <v>0</v>
      </c>
      <c r="L61" s="5">
        <v>83414.34</v>
      </c>
      <c r="M61" s="5">
        <v>83414.320000000007</v>
      </c>
      <c r="N61" s="5">
        <v>2785531</v>
      </c>
      <c r="O61" s="5">
        <v>0</v>
      </c>
      <c r="P61" s="5">
        <v>0</v>
      </c>
      <c r="Q61" s="5">
        <v>78827</v>
      </c>
      <c r="R61" s="5">
        <v>300550</v>
      </c>
      <c r="S61" s="5">
        <v>0</v>
      </c>
      <c r="T61" s="5">
        <v>150061</v>
      </c>
      <c r="U61" s="5">
        <v>0</v>
      </c>
      <c r="V61" s="5">
        <v>112100</v>
      </c>
      <c r="W61" s="5">
        <v>145375</v>
      </c>
      <c r="X61" s="5">
        <v>112100</v>
      </c>
      <c r="Y61" s="5">
        <v>317784</v>
      </c>
      <c r="Z61" s="5">
        <v>295104</v>
      </c>
      <c r="AA61" s="5">
        <v>-7048819</v>
      </c>
      <c r="AB61" s="5">
        <v>1043507.86</v>
      </c>
      <c r="AC61" s="5">
        <v>1187181.94</v>
      </c>
      <c r="AD61" s="5">
        <v>652386.22</v>
      </c>
      <c r="AE61" s="5">
        <v>1317989.98</v>
      </c>
      <c r="AF61" s="5">
        <v>371767</v>
      </c>
      <c r="AG61" s="5">
        <v>423993</v>
      </c>
      <c r="AH61" s="5">
        <v>107923</v>
      </c>
      <c r="AI61" s="5">
        <v>0</v>
      </c>
      <c r="AJ61" s="5">
        <v>0</v>
      </c>
      <c r="AK61" s="5">
        <v>0</v>
      </c>
      <c r="AL61" s="5">
        <v>-21991</v>
      </c>
      <c r="AM61" s="5">
        <v>0</v>
      </c>
      <c r="AN61" s="5">
        <v>148103</v>
      </c>
      <c r="AO61" s="5">
        <v>0</v>
      </c>
      <c r="AP61" s="5">
        <v>0</v>
      </c>
      <c r="AQ61" s="5">
        <v>156359</v>
      </c>
      <c r="AR61" s="5">
        <v>161805</v>
      </c>
      <c r="AS61" s="5">
        <v>96849</v>
      </c>
      <c r="AT61" s="5">
        <v>-101584</v>
      </c>
      <c r="AU61" s="5">
        <v>88309</v>
      </c>
      <c r="AV61" s="5">
        <v>88310</v>
      </c>
      <c r="AW61" s="5">
        <v>12684</v>
      </c>
      <c r="AX61" s="5">
        <v>0</v>
      </c>
      <c r="AY61" s="5">
        <v>8496</v>
      </c>
      <c r="AZ61" s="5">
        <v>12684</v>
      </c>
      <c r="BA61" s="5">
        <v>7704</v>
      </c>
      <c r="BB61" s="5">
        <v>13824</v>
      </c>
      <c r="BC61" s="5">
        <v>13824</v>
      </c>
      <c r="BD61" s="5">
        <v>3713958</v>
      </c>
      <c r="BE61" s="5">
        <v>3713958</v>
      </c>
      <c r="BF61">
        <f t="shared" si="0"/>
        <v>0</v>
      </c>
    </row>
    <row r="62" spans="1:58" ht="15" customHeight="1" x14ac:dyDescent="0.35">
      <c r="A62" s="3" t="s">
        <v>144</v>
      </c>
      <c r="B62" s="4" t="s">
        <v>145</v>
      </c>
      <c r="C62" s="4" t="str">
        <f>VLOOKUP(A62,'TB Apr 24'!$A$11:$D$103,4,0)</f>
        <v>Electricity</v>
      </c>
      <c r="D62" s="5">
        <v>40549</v>
      </c>
      <c r="E62" s="5">
        <v>51942</v>
      </c>
      <c r="F62" s="5">
        <v>0</v>
      </c>
      <c r="G62" s="5">
        <v>57543</v>
      </c>
      <c r="H62" s="5">
        <v>24273</v>
      </c>
      <c r="I62" s="5">
        <v>48448.41</v>
      </c>
      <c r="J62" s="5">
        <v>43230.75</v>
      </c>
      <c r="K62" s="5">
        <v>0</v>
      </c>
      <c r="L62" s="5">
        <v>48448.42</v>
      </c>
      <c r="M62" s="5">
        <v>48448.42</v>
      </c>
      <c r="N62" s="5">
        <v>-697659</v>
      </c>
      <c r="O62" s="5">
        <v>0</v>
      </c>
      <c r="P62" s="5">
        <v>0</v>
      </c>
      <c r="Q62" s="5">
        <v>35054</v>
      </c>
      <c r="R62" s="5">
        <v>128006</v>
      </c>
      <c r="S62" s="5">
        <v>0</v>
      </c>
      <c r="T62" s="5">
        <v>63912</v>
      </c>
      <c r="U62" s="5">
        <v>0</v>
      </c>
      <c r="V62" s="5">
        <v>27637</v>
      </c>
      <c r="W62" s="5">
        <v>35840</v>
      </c>
      <c r="X62" s="5">
        <v>27637</v>
      </c>
      <c r="Y62" s="5">
        <v>82513</v>
      </c>
      <c r="Z62" s="5">
        <v>76199</v>
      </c>
      <c r="AA62" s="5">
        <v>0</v>
      </c>
      <c r="AB62" s="5">
        <v>109712.36</v>
      </c>
      <c r="AC62" s="5">
        <v>126290.26</v>
      </c>
      <c r="AD62" s="5">
        <v>64582.73</v>
      </c>
      <c r="AE62" s="5">
        <v>141383.65</v>
      </c>
      <c r="AF62" s="5">
        <v>52408</v>
      </c>
      <c r="AG62" s="5">
        <v>92148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96871</v>
      </c>
      <c r="AO62" s="5">
        <v>0</v>
      </c>
      <c r="AP62" s="5">
        <v>0</v>
      </c>
      <c r="AQ62" s="5">
        <v>117556</v>
      </c>
      <c r="AR62" s="5">
        <v>284671</v>
      </c>
      <c r="AS62" s="5">
        <v>190649</v>
      </c>
      <c r="AT62" s="5">
        <v>0</v>
      </c>
      <c r="AU62" s="5">
        <v>149431</v>
      </c>
      <c r="AV62" s="5">
        <v>149433</v>
      </c>
      <c r="AW62" s="5">
        <v>40940</v>
      </c>
      <c r="AX62" s="5">
        <v>0</v>
      </c>
      <c r="AY62" s="5">
        <v>0</v>
      </c>
      <c r="AZ62" s="5">
        <v>40940</v>
      </c>
      <c r="BA62" s="5">
        <v>40571</v>
      </c>
      <c r="BB62" s="5">
        <v>44618</v>
      </c>
      <c r="BC62" s="5">
        <v>44618</v>
      </c>
      <c r="BD62" s="5">
        <v>1928845</v>
      </c>
      <c r="BE62" s="5">
        <v>1928844.97</v>
      </c>
      <c r="BF62">
        <f t="shared" si="0"/>
        <v>3.0000000027939677E-2</v>
      </c>
    </row>
    <row r="63" spans="1:58" ht="15" customHeight="1" x14ac:dyDescent="0.35">
      <c r="A63" s="3" t="s">
        <v>146</v>
      </c>
      <c r="B63" s="4" t="s">
        <v>147</v>
      </c>
      <c r="C63" s="4" t="str">
        <f>VLOOKUP(A63,'TB Apr 24'!$A$11:$D$103,4,0)</f>
        <v>Other Utility Charges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-1273714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576419</v>
      </c>
      <c r="AB63" s="5">
        <v>345357</v>
      </c>
      <c r="AC63" s="5">
        <v>394194</v>
      </c>
      <c r="AD63" s="5">
        <v>212841</v>
      </c>
      <c r="AE63" s="5">
        <v>438512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693609</v>
      </c>
      <c r="BE63" s="5">
        <v>693609.49666666647</v>
      </c>
      <c r="BF63">
        <f t="shared" si="0"/>
        <v>-0.49666666646953672</v>
      </c>
    </row>
    <row r="64" spans="1:58" ht="15" customHeight="1" x14ac:dyDescent="0.35">
      <c r="A64" s="3" t="s">
        <v>148</v>
      </c>
      <c r="B64" s="4" t="s">
        <v>149</v>
      </c>
      <c r="C64" s="4" t="str">
        <f>VLOOKUP(A64,'TB Apr 24'!$A$11:$D$103,4,0)</f>
        <v>Electricity</v>
      </c>
      <c r="D64" s="5">
        <v>71210</v>
      </c>
      <c r="E64" s="5">
        <v>73508</v>
      </c>
      <c r="F64" s="5">
        <v>0</v>
      </c>
      <c r="G64" s="5">
        <v>87272</v>
      </c>
      <c r="H64" s="5">
        <v>47970</v>
      </c>
      <c r="I64" s="5">
        <v>63236.07</v>
      </c>
      <c r="J64" s="5">
        <v>56970.79</v>
      </c>
      <c r="K64" s="5">
        <v>0</v>
      </c>
      <c r="L64" s="5">
        <v>63236.07</v>
      </c>
      <c r="M64" s="5">
        <v>63236.07</v>
      </c>
      <c r="N64" s="5">
        <v>-164411</v>
      </c>
      <c r="O64" s="5">
        <v>0</v>
      </c>
      <c r="P64" s="5">
        <v>0</v>
      </c>
      <c r="Q64" s="5">
        <v>-241703</v>
      </c>
      <c r="R64" s="5">
        <v>-418199</v>
      </c>
      <c r="S64" s="5">
        <v>0</v>
      </c>
      <c r="T64" s="5">
        <v>-173143</v>
      </c>
      <c r="U64" s="5">
        <v>0</v>
      </c>
      <c r="V64" s="5">
        <v>65487</v>
      </c>
      <c r="W64" s="5">
        <v>26904</v>
      </c>
      <c r="X64" s="5">
        <v>65486</v>
      </c>
      <c r="Y64" s="5">
        <v>166020</v>
      </c>
      <c r="Z64" s="5">
        <v>1411516</v>
      </c>
      <c r="AA64" s="5">
        <v>-1715680</v>
      </c>
      <c r="AB64" s="5">
        <v>336972.5</v>
      </c>
      <c r="AC64" s="5">
        <v>385317.49</v>
      </c>
      <c r="AD64" s="5">
        <v>272259.83</v>
      </c>
      <c r="AE64" s="5">
        <v>390569.18</v>
      </c>
      <c r="AF64" s="5">
        <v>114441</v>
      </c>
      <c r="AG64" s="5">
        <v>275851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197110</v>
      </c>
      <c r="AO64" s="5">
        <v>0</v>
      </c>
      <c r="AP64" s="5">
        <v>0</v>
      </c>
      <c r="AQ64" s="5">
        <v>115382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103385</v>
      </c>
      <c r="BB64" s="5">
        <v>360290.5</v>
      </c>
      <c r="BC64" s="5">
        <v>360290.5</v>
      </c>
      <c r="BD64" s="5">
        <v>2460785</v>
      </c>
      <c r="BE64" s="5">
        <v>2460785.04</v>
      </c>
      <c r="BF64">
        <f t="shared" si="0"/>
        <v>-4.0000000037252903E-2</v>
      </c>
    </row>
    <row r="65" spans="1:58" ht="15" customHeight="1" x14ac:dyDescent="0.35">
      <c r="A65" s="3" t="s">
        <v>546</v>
      </c>
      <c r="B65" s="4" t="s">
        <v>547</v>
      </c>
      <c r="C65" s="4" t="str">
        <f>VLOOKUP(A65,'TB Apr 24'!$A$11:$D$103,4,0)</f>
        <v>Electricity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541144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541144</v>
      </c>
      <c r="BE65" s="5">
        <v>541144</v>
      </c>
      <c r="BF65">
        <f t="shared" si="0"/>
        <v>0</v>
      </c>
    </row>
    <row r="66" spans="1:58" ht="15" customHeight="1" x14ac:dyDescent="0.35">
      <c r="A66" s="3" t="s">
        <v>150</v>
      </c>
      <c r="B66" s="4" t="s">
        <v>87</v>
      </c>
      <c r="C66" s="4" t="str">
        <f>VLOOKUP(A66,'TB Apr 24'!$A$11:$D$103,4,0)</f>
        <v>Other Utility Charges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43852.94</v>
      </c>
      <c r="J66" s="5">
        <v>39130.18</v>
      </c>
      <c r="K66" s="5">
        <v>0</v>
      </c>
      <c r="L66" s="5">
        <v>43852.94</v>
      </c>
      <c r="M66" s="5">
        <v>43852.94</v>
      </c>
      <c r="N66" s="5">
        <v>423394</v>
      </c>
      <c r="O66" s="5">
        <v>0</v>
      </c>
      <c r="P66" s="5">
        <v>0</v>
      </c>
      <c r="Q66" s="5">
        <v>107026</v>
      </c>
      <c r="R66" s="5">
        <v>59581</v>
      </c>
      <c r="S66" s="5">
        <v>0</v>
      </c>
      <c r="T66" s="5">
        <v>118954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-449525</v>
      </c>
      <c r="AB66" s="5">
        <v>171231</v>
      </c>
      <c r="AC66" s="5">
        <v>205459</v>
      </c>
      <c r="AD66" s="5">
        <v>70000</v>
      </c>
      <c r="AE66" s="5">
        <v>170325</v>
      </c>
      <c r="AF66" s="5">
        <v>60887</v>
      </c>
      <c r="AG66" s="5">
        <v>90368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90902</v>
      </c>
      <c r="AO66" s="5">
        <v>0</v>
      </c>
      <c r="AP66" s="5">
        <v>0</v>
      </c>
      <c r="AQ66" s="5">
        <v>210250</v>
      </c>
      <c r="AR66" s="5">
        <v>41246</v>
      </c>
      <c r="AS66" s="5">
        <v>84519</v>
      </c>
      <c r="AT66" s="5">
        <v>-93501</v>
      </c>
      <c r="AU66" s="5">
        <v>65770</v>
      </c>
      <c r="AV66" s="5">
        <v>65772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23948</v>
      </c>
      <c r="BC66" s="5">
        <v>23948</v>
      </c>
      <c r="BD66" s="5">
        <v>1711243</v>
      </c>
      <c r="BE66" s="5">
        <v>1711243.1</v>
      </c>
      <c r="BF66">
        <f t="shared" si="0"/>
        <v>-0.10000000009313226</v>
      </c>
    </row>
    <row r="67" spans="1:58" ht="15" customHeight="1" x14ac:dyDescent="0.35">
      <c r="A67" s="3" t="s">
        <v>151</v>
      </c>
      <c r="B67" s="4" t="s">
        <v>152</v>
      </c>
      <c r="C67" s="4" t="str">
        <f>VLOOKUP(A67,'TB Apr 24'!$A$11:$D$103,4,0)</f>
        <v>Other Utility Charges</v>
      </c>
      <c r="D67" s="5">
        <v>0</v>
      </c>
      <c r="E67" s="5">
        <v>8838</v>
      </c>
      <c r="F67" s="5">
        <v>0</v>
      </c>
      <c r="G67" s="5">
        <v>10038</v>
      </c>
      <c r="H67" s="5">
        <v>2644</v>
      </c>
      <c r="I67" s="5">
        <v>0</v>
      </c>
      <c r="J67" s="5">
        <v>2747.08</v>
      </c>
      <c r="K67" s="5">
        <v>0</v>
      </c>
      <c r="L67" s="5">
        <v>4617.96</v>
      </c>
      <c r="M67" s="5">
        <v>4617.96</v>
      </c>
      <c r="N67" s="5">
        <v>11650</v>
      </c>
      <c r="O67" s="5">
        <v>0</v>
      </c>
      <c r="P67" s="5">
        <v>0</v>
      </c>
      <c r="Q67" s="5">
        <v>6721</v>
      </c>
      <c r="R67" s="5">
        <v>3741</v>
      </c>
      <c r="S67" s="5">
        <v>0</v>
      </c>
      <c r="T67" s="5">
        <v>7470</v>
      </c>
      <c r="U67" s="5">
        <v>0</v>
      </c>
      <c r="V67" s="5">
        <v>3604</v>
      </c>
      <c r="W67" s="5">
        <v>2066</v>
      </c>
      <c r="X67" s="5">
        <v>3604</v>
      </c>
      <c r="Y67" s="5">
        <v>0</v>
      </c>
      <c r="Z67" s="5">
        <v>0</v>
      </c>
      <c r="AA67" s="5">
        <v>-85409</v>
      </c>
      <c r="AB67" s="5">
        <v>34535.19</v>
      </c>
      <c r="AC67" s="5">
        <v>41316.97</v>
      </c>
      <c r="AD67" s="5">
        <v>14540.16</v>
      </c>
      <c r="AE67" s="5">
        <v>34911.68</v>
      </c>
      <c r="AF67" s="5">
        <v>9248</v>
      </c>
      <c r="AG67" s="5">
        <v>12236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8370</v>
      </c>
      <c r="AO67" s="5">
        <v>0</v>
      </c>
      <c r="AP67" s="5">
        <v>0</v>
      </c>
      <c r="AQ67" s="5">
        <v>19359</v>
      </c>
      <c r="AR67" s="5">
        <v>2998</v>
      </c>
      <c r="AS67" s="5">
        <v>8341</v>
      </c>
      <c r="AT67" s="5">
        <v>-3601</v>
      </c>
      <c r="AU67" s="5">
        <v>6490</v>
      </c>
      <c r="AV67" s="5">
        <v>6491</v>
      </c>
      <c r="AW67" s="5">
        <v>2862</v>
      </c>
      <c r="AX67" s="5">
        <v>0</v>
      </c>
      <c r="AY67" s="5">
        <v>0</v>
      </c>
      <c r="AZ67" s="5">
        <v>2862</v>
      </c>
      <c r="BA67" s="5">
        <v>0</v>
      </c>
      <c r="BB67" s="5">
        <v>6765</v>
      </c>
      <c r="BC67" s="5">
        <v>6765</v>
      </c>
      <c r="BD67" s="5">
        <v>201440</v>
      </c>
      <c r="BE67" s="5">
        <v>201440.37</v>
      </c>
      <c r="BF67">
        <f t="shared" si="0"/>
        <v>-0.36999999999534339</v>
      </c>
    </row>
    <row r="68" spans="1:58" ht="15" customHeight="1" x14ac:dyDescent="0.35">
      <c r="A68" s="3" t="s">
        <v>153</v>
      </c>
      <c r="B68" s="4" t="s">
        <v>154</v>
      </c>
      <c r="C68" s="4" t="str">
        <f>VLOOKUP(A68,'TB Apr 24'!$A$11:$D$103,4,0)</f>
        <v>Other Utility Charges</v>
      </c>
      <c r="D68" s="5">
        <v>4620</v>
      </c>
      <c r="E68" s="5">
        <v>9818</v>
      </c>
      <c r="F68" s="5">
        <v>0</v>
      </c>
      <c r="G68" s="5">
        <v>11659</v>
      </c>
      <c r="H68" s="5">
        <v>4193</v>
      </c>
      <c r="I68" s="5">
        <v>6484</v>
      </c>
      <c r="J68" s="5">
        <v>38008</v>
      </c>
      <c r="K68" s="5">
        <v>0</v>
      </c>
      <c r="L68" s="5">
        <v>13150</v>
      </c>
      <c r="M68" s="5">
        <v>13150</v>
      </c>
      <c r="N68" s="5">
        <v>27729</v>
      </c>
      <c r="O68" s="5">
        <v>0</v>
      </c>
      <c r="P68" s="5">
        <v>0</v>
      </c>
      <c r="Q68" s="5">
        <v>15390</v>
      </c>
      <c r="R68" s="5">
        <v>12805</v>
      </c>
      <c r="S68" s="5">
        <v>0</v>
      </c>
      <c r="T68" s="5">
        <v>21375</v>
      </c>
      <c r="U68" s="5">
        <v>0</v>
      </c>
      <c r="V68" s="5">
        <v>388</v>
      </c>
      <c r="W68" s="5">
        <v>24372</v>
      </c>
      <c r="X68" s="5">
        <v>388</v>
      </c>
      <c r="Y68" s="5">
        <v>21799</v>
      </c>
      <c r="Z68" s="5">
        <v>22339</v>
      </c>
      <c r="AA68" s="5">
        <v>-101878</v>
      </c>
      <c r="AB68" s="5">
        <v>16772.11</v>
      </c>
      <c r="AC68" s="5">
        <v>29678.57</v>
      </c>
      <c r="AD68" s="5">
        <v>9705.65</v>
      </c>
      <c r="AE68" s="5">
        <v>19976.669999999998</v>
      </c>
      <c r="AF68" s="5">
        <v>27756</v>
      </c>
      <c r="AG68" s="5">
        <v>18468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117960</v>
      </c>
      <c r="AO68" s="5">
        <v>0</v>
      </c>
      <c r="AP68" s="5">
        <v>0</v>
      </c>
      <c r="AQ68" s="5">
        <v>37894</v>
      </c>
      <c r="AR68" s="5">
        <v>21642</v>
      </c>
      <c r="AS68" s="5">
        <v>64910</v>
      </c>
      <c r="AT68" s="5">
        <v>-25430</v>
      </c>
      <c r="AU68" s="5">
        <v>45845</v>
      </c>
      <c r="AV68" s="5">
        <v>45845</v>
      </c>
      <c r="AW68" s="5">
        <v>0</v>
      </c>
      <c r="AX68" s="5">
        <v>0</v>
      </c>
      <c r="AY68" s="5">
        <v>0</v>
      </c>
      <c r="AZ68" s="5">
        <v>0</v>
      </c>
      <c r="BA68" s="5">
        <v>8657</v>
      </c>
      <c r="BB68" s="5">
        <v>52353</v>
      </c>
      <c r="BC68" s="5">
        <v>52353</v>
      </c>
      <c r="BD68" s="5">
        <v>690175</v>
      </c>
      <c r="BE68" s="5">
        <v>690174.72</v>
      </c>
      <c r="BF68">
        <f t="shared" si="0"/>
        <v>0.28000000002793968</v>
      </c>
    </row>
    <row r="69" spans="1:58" ht="15" customHeight="1" x14ac:dyDescent="0.35">
      <c r="A69" s="3" t="s">
        <v>155</v>
      </c>
      <c r="B69" s="4" t="s">
        <v>156</v>
      </c>
      <c r="C69" s="4" t="str">
        <f>VLOOKUP(A69,'TB Apr 24'!$A$11:$D$103,4,0)</f>
        <v>Other Utility Charges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4476.01</v>
      </c>
      <c r="J69" s="5">
        <v>3993.97</v>
      </c>
      <c r="K69" s="5">
        <v>0</v>
      </c>
      <c r="L69" s="5">
        <v>4476.01</v>
      </c>
      <c r="M69" s="5">
        <v>4476.01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2497</v>
      </c>
      <c r="AO69" s="5">
        <v>0</v>
      </c>
      <c r="AP69" s="5">
        <v>0</v>
      </c>
      <c r="AQ69" s="5">
        <v>0</v>
      </c>
      <c r="AR69" s="5">
        <v>2011</v>
      </c>
      <c r="AS69" s="5">
        <v>1276</v>
      </c>
      <c r="AT69" s="5">
        <v>0</v>
      </c>
      <c r="AU69" s="5">
        <v>970</v>
      </c>
      <c r="AV69" s="5">
        <v>970</v>
      </c>
      <c r="AW69" s="5">
        <v>0</v>
      </c>
      <c r="AX69" s="5">
        <v>0</v>
      </c>
      <c r="AY69" s="5">
        <v>0</v>
      </c>
      <c r="AZ69" s="5">
        <v>0</v>
      </c>
      <c r="BA69" s="5">
        <v>177</v>
      </c>
      <c r="BB69" s="5">
        <v>616</v>
      </c>
      <c r="BC69" s="5">
        <v>616</v>
      </c>
      <c r="BD69" s="5">
        <v>26555</v>
      </c>
      <c r="BE69" s="5">
        <v>26555</v>
      </c>
      <c r="BF69">
        <f t="shared" si="0"/>
        <v>0</v>
      </c>
    </row>
    <row r="70" spans="1:58" ht="15" customHeight="1" x14ac:dyDescent="0.35">
      <c r="A70" s="3" t="s">
        <v>157</v>
      </c>
      <c r="B70" s="4" t="s">
        <v>158</v>
      </c>
      <c r="C70" s="4" t="str">
        <f>VLOOKUP(A70,'TB Apr 24'!$A$11:$D$103,4,0)</f>
        <v>Fixed Marketing retainer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5000</v>
      </c>
      <c r="K70" s="5">
        <v>0</v>
      </c>
      <c r="L70" s="5">
        <v>148500</v>
      </c>
      <c r="M70" s="5">
        <v>0</v>
      </c>
      <c r="N70" s="5">
        <v>125000</v>
      </c>
      <c r="O70" s="5">
        <v>0</v>
      </c>
      <c r="P70" s="5">
        <v>0</v>
      </c>
      <c r="Q70" s="5">
        <v>0</v>
      </c>
      <c r="R70" s="5">
        <v>27000</v>
      </c>
      <c r="S70" s="5">
        <v>0</v>
      </c>
      <c r="T70" s="5">
        <v>35000</v>
      </c>
      <c r="U70" s="5">
        <v>0</v>
      </c>
      <c r="V70" s="5">
        <v>99000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35000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21451</v>
      </c>
      <c r="AM70" s="5">
        <v>0</v>
      </c>
      <c r="AN70" s="5">
        <v>3000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60000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558951</v>
      </c>
      <c r="BE70" s="5">
        <v>558951</v>
      </c>
      <c r="BF70">
        <f t="shared" si="0"/>
        <v>0</v>
      </c>
    </row>
    <row r="71" spans="1:58" ht="15" customHeight="1" x14ac:dyDescent="0.35">
      <c r="A71" s="3" t="s">
        <v>159</v>
      </c>
      <c r="B71" s="4" t="s">
        <v>160</v>
      </c>
      <c r="C71" s="4" t="str">
        <f>VLOOKUP(A71,'TB Apr 24'!$A$11:$D$103,4,0)</f>
        <v>Kitchen Equipments and Utensils (Hire)</v>
      </c>
      <c r="D71" s="5">
        <v>2761</v>
      </c>
      <c r="E71" s="5">
        <v>0</v>
      </c>
      <c r="F71" s="5">
        <v>0</v>
      </c>
      <c r="G71" s="5">
        <v>0</v>
      </c>
      <c r="H71" s="5">
        <v>80</v>
      </c>
      <c r="I71" s="5">
        <v>14430</v>
      </c>
      <c r="J71" s="5">
        <v>2900</v>
      </c>
      <c r="K71" s="5">
        <v>0</v>
      </c>
      <c r="L71" s="5">
        <v>3000</v>
      </c>
      <c r="M71" s="5">
        <v>18470</v>
      </c>
      <c r="N71" s="5">
        <v>0</v>
      </c>
      <c r="O71" s="5">
        <v>0</v>
      </c>
      <c r="P71" s="5">
        <v>0</v>
      </c>
      <c r="Q71" s="5">
        <v>0</v>
      </c>
      <c r="R71" s="5">
        <v>4885</v>
      </c>
      <c r="S71" s="5">
        <v>0</v>
      </c>
      <c r="T71" s="5">
        <v>51276</v>
      </c>
      <c r="U71" s="5">
        <v>0</v>
      </c>
      <c r="V71" s="5">
        <v>6800</v>
      </c>
      <c r="W71" s="5">
        <v>0</v>
      </c>
      <c r="X71" s="5">
        <v>1250</v>
      </c>
      <c r="Y71" s="5">
        <v>0</v>
      </c>
      <c r="Z71" s="5">
        <v>0</v>
      </c>
      <c r="AA71" s="5">
        <v>0</v>
      </c>
      <c r="AB71" s="5">
        <v>1400</v>
      </c>
      <c r="AC71" s="5">
        <v>0</v>
      </c>
      <c r="AD71" s="5">
        <v>0</v>
      </c>
      <c r="AE71" s="5">
        <v>39115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17000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163367</v>
      </c>
      <c r="BE71" s="5">
        <v>163367</v>
      </c>
      <c r="BF71">
        <f t="shared" si="0"/>
        <v>0</v>
      </c>
    </row>
    <row r="72" spans="1:58" ht="15" customHeight="1" x14ac:dyDescent="0.35">
      <c r="A72" s="3" t="s">
        <v>548</v>
      </c>
      <c r="B72" s="4" t="s">
        <v>549</v>
      </c>
      <c r="C72" s="4" t="str">
        <f>VLOOKUP(A72,'TB Apr 24'!$A$11:$D$103,4,0)</f>
        <v>License Expenses and Fees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17674</v>
      </c>
      <c r="J72" s="5">
        <v>17674</v>
      </c>
      <c r="K72" s="5">
        <v>0</v>
      </c>
      <c r="L72" s="5">
        <v>17674</v>
      </c>
      <c r="M72" s="5">
        <v>17674</v>
      </c>
      <c r="N72" s="5">
        <v>0</v>
      </c>
      <c r="O72" s="5">
        <v>0</v>
      </c>
      <c r="P72" s="5">
        <v>0</v>
      </c>
      <c r="Q72" s="5">
        <v>4504</v>
      </c>
      <c r="R72" s="5">
        <v>74224</v>
      </c>
      <c r="S72" s="5">
        <v>0</v>
      </c>
      <c r="T72" s="5">
        <v>83366</v>
      </c>
      <c r="U72" s="5">
        <v>0</v>
      </c>
      <c r="V72" s="5">
        <v>62261</v>
      </c>
      <c r="W72" s="5">
        <v>124522</v>
      </c>
      <c r="X72" s="5">
        <v>62261</v>
      </c>
      <c r="Y72" s="5">
        <v>52303</v>
      </c>
      <c r="Z72" s="5">
        <v>0</v>
      </c>
      <c r="AA72" s="5">
        <v>0</v>
      </c>
      <c r="AB72" s="5">
        <v>19680</v>
      </c>
      <c r="AC72" s="5">
        <v>19680</v>
      </c>
      <c r="AD72" s="5">
        <v>19680</v>
      </c>
      <c r="AE72" s="5">
        <v>19680</v>
      </c>
      <c r="AF72" s="5">
        <v>0</v>
      </c>
      <c r="AG72" s="5">
        <v>73048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74223</v>
      </c>
      <c r="AS72" s="5">
        <v>74264</v>
      </c>
      <c r="AT72" s="5">
        <v>0</v>
      </c>
      <c r="AU72" s="5">
        <v>38935</v>
      </c>
      <c r="AV72" s="5">
        <v>38935</v>
      </c>
      <c r="AW72" s="5">
        <v>34029</v>
      </c>
      <c r="AX72" s="5">
        <v>0</v>
      </c>
      <c r="AY72" s="5">
        <v>0</v>
      </c>
      <c r="AZ72" s="5">
        <v>34029</v>
      </c>
      <c r="BA72" s="5">
        <v>0</v>
      </c>
      <c r="BB72" s="5">
        <v>34029</v>
      </c>
      <c r="BC72" s="5">
        <v>34029</v>
      </c>
      <c r="BD72" s="5">
        <v>1048378</v>
      </c>
      <c r="BE72" s="5">
        <v>1048378</v>
      </c>
      <c r="BF72">
        <f t="shared" ref="BF72:BF98" si="1">BD72-BE72</f>
        <v>0</v>
      </c>
    </row>
    <row r="73" spans="1:58" ht="15" customHeight="1" x14ac:dyDescent="0.35">
      <c r="A73" s="3" t="s">
        <v>484</v>
      </c>
      <c r="B73" s="4" t="s">
        <v>485</v>
      </c>
      <c r="C73" s="4" t="str">
        <f>VLOOKUP(A73,'TB Apr 24'!$A$11:$D$103,4,0)</f>
        <v>License Expenses and Fees</v>
      </c>
      <c r="D73" s="5">
        <v>0</v>
      </c>
      <c r="E73" s="5">
        <v>0</v>
      </c>
      <c r="F73" s="5">
        <v>0</v>
      </c>
      <c r="G73" s="5">
        <v>50043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46150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60782</v>
      </c>
      <c r="U73" s="5">
        <v>0</v>
      </c>
      <c r="V73" s="5">
        <v>0</v>
      </c>
      <c r="W73" s="5">
        <v>0</v>
      </c>
      <c r="X73" s="5">
        <v>28626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92609</v>
      </c>
      <c r="AR73" s="5">
        <v>0</v>
      </c>
      <c r="AS73" s="5">
        <v>0</v>
      </c>
      <c r="AT73" s="5">
        <v>0</v>
      </c>
      <c r="AU73" s="5">
        <v>0</v>
      </c>
      <c r="AV73" s="5">
        <v>34877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64404</v>
      </c>
      <c r="BC73" s="5">
        <v>0</v>
      </c>
      <c r="BD73" s="5">
        <v>377491</v>
      </c>
      <c r="BE73" s="5">
        <v>377491</v>
      </c>
      <c r="BF73">
        <f t="shared" si="1"/>
        <v>0</v>
      </c>
    </row>
    <row r="74" spans="1:58" ht="15" customHeight="1" x14ac:dyDescent="0.35">
      <c r="A74" s="3" t="s">
        <v>161</v>
      </c>
      <c r="B74" s="4" t="s">
        <v>162</v>
      </c>
      <c r="C74" s="4" t="str">
        <f>VLOOKUP(A74,'TB Apr 24'!$A$11:$D$103,4,0)</f>
        <v>Kitchen Equipments and Utensils (Hire)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7953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103252</v>
      </c>
      <c r="U74" s="5">
        <v>0</v>
      </c>
      <c r="V74" s="5">
        <v>925</v>
      </c>
      <c r="W74" s="5">
        <v>2000</v>
      </c>
      <c r="X74" s="5">
        <v>0</v>
      </c>
      <c r="Y74" s="5">
        <v>0</v>
      </c>
      <c r="Z74" s="5">
        <v>0</v>
      </c>
      <c r="AA74" s="5">
        <v>0</v>
      </c>
      <c r="AB74" s="5">
        <v>195</v>
      </c>
      <c r="AC74" s="5">
        <v>0</v>
      </c>
      <c r="AD74" s="5">
        <v>0</v>
      </c>
      <c r="AE74" s="5">
        <v>111731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8700</v>
      </c>
      <c r="BB74" s="5">
        <v>24310</v>
      </c>
      <c r="BC74" s="5">
        <v>0</v>
      </c>
      <c r="BD74" s="5">
        <v>259066</v>
      </c>
      <c r="BE74" s="5">
        <v>259066</v>
      </c>
      <c r="BF74">
        <f t="shared" si="1"/>
        <v>0</v>
      </c>
    </row>
    <row r="75" spans="1:58" ht="15" customHeight="1" x14ac:dyDescent="0.35">
      <c r="A75" s="3" t="s">
        <v>163</v>
      </c>
      <c r="B75" s="4" t="s">
        <v>164</v>
      </c>
      <c r="C75" s="4" t="str">
        <f>VLOOKUP(A75,'TB Apr 24'!$A$11:$D$103,4,0)</f>
        <v>Outsourced Manpower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8620</v>
      </c>
      <c r="K75" s="5">
        <v>0</v>
      </c>
      <c r="L75" s="5">
        <v>36700</v>
      </c>
      <c r="M75" s="5">
        <v>0</v>
      </c>
      <c r="N75" s="5">
        <v>0</v>
      </c>
      <c r="O75" s="5">
        <v>0</v>
      </c>
      <c r="P75" s="5">
        <v>0</v>
      </c>
      <c r="Q75" s="5">
        <v>1300</v>
      </c>
      <c r="R75" s="5">
        <v>26593</v>
      </c>
      <c r="S75" s="5">
        <v>0</v>
      </c>
      <c r="T75" s="5">
        <v>29666</v>
      </c>
      <c r="U75" s="5">
        <v>0</v>
      </c>
      <c r="V75" s="5">
        <v>0</v>
      </c>
      <c r="W75" s="5">
        <v>1500</v>
      </c>
      <c r="X75" s="5">
        <v>0</v>
      </c>
      <c r="Y75" s="5">
        <v>2400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10440</v>
      </c>
      <c r="AG75" s="5">
        <v>0</v>
      </c>
      <c r="AH75" s="5">
        <v>0</v>
      </c>
      <c r="AI75" s="5">
        <v>2000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3000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122219</v>
      </c>
      <c r="BE75" s="5">
        <v>122219</v>
      </c>
      <c r="BF75">
        <f t="shared" si="1"/>
        <v>0</v>
      </c>
    </row>
    <row r="76" spans="1:58" s="79" customFormat="1" ht="15" customHeight="1" x14ac:dyDescent="0.35">
      <c r="A76" s="315" t="s">
        <v>975</v>
      </c>
      <c r="B76" s="325" t="s">
        <v>976</v>
      </c>
      <c r="C76" s="4" t="str">
        <f>VLOOKUP(A76,'TB Apr 24'!$A$11:$D$103,4,0)</f>
        <v>Aggregator Commission</v>
      </c>
      <c r="D76" s="346">
        <v>3214.3</v>
      </c>
      <c r="E76" s="346">
        <v>6008.890000000004</v>
      </c>
      <c r="F76" s="346">
        <v>0</v>
      </c>
      <c r="G76" s="346">
        <v>9561.41</v>
      </c>
      <c r="H76" s="346">
        <v>1023.28</v>
      </c>
      <c r="I76" s="346">
        <v>11868.739999999985</v>
      </c>
      <c r="J76" s="346">
        <v>19721.169999999998</v>
      </c>
      <c r="K76" s="346">
        <v>0</v>
      </c>
      <c r="L76" s="346">
        <v>17428.739999999991</v>
      </c>
      <c r="M76" s="346">
        <v>13881.249999999996</v>
      </c>
      <c r="N76" s="346">
        <v>0</v>
      </c>
      <c r="O76" s="346">
        <v>0</v>
      </c>
      <c r="P76" s="346">
        <v>0</v>
      </c>
      <c r="Q76" s="346">
        <f>11606.81+661.73</f>
        <v>12268.539999999999</v>
      </c>
      <c r="R76" s="346">
        <v>7911.0399999999972</v>
      </c>
      <c r="S76" s="346">
        <v>0</v>
      </c>
      <c r="T76" s="346">
        <v>11227.690000000002</v>
      </c>
      <c r="U76" s="346">
        <v>0</v>
      </c>
      <c r="V76" s="346">
        <v>2842.5299999999997</v>
      </c>
      <c r="W76" s="346">
        <v>8919.0500000000011</v>
      </c>
      <c r="X76" s="346">
        <v>8322.6999999999971</v>
      </c>
      <c r="Y76" s="346">
        <v>4956.800000000002</v>
      </c>
      <c r="Z76" s="346">
        <v>5188.5000000000027</v>
      </c>
      <c r="AA76" s="346">
        <v>0</v>
      </c>
      <c r="AB76" s="346">
        <v>19662.099999999999</v>
      </c>
      <c r="AC76" s="346">
        <v>20056.03000000001</v>
      </c>
      <c r="AD76" s="346">
        <v>944.89000000000021</v>
      </c>
      <c r="AE76" s="346">
        <v>11922.380000000001</v>
      </c>
      <c r="AF76" s="346">
        <v>3458.67</v>
      </c>
      <c r="AG76" s="346">
        <v>3875.7899999999991</v>
      </c>
      <c r="AH76" s="346">
        <v>18340.419999999998</v>
      </c>
      <c r="AI76" s="346">
        <v>0</v>
      </c>
      <c r="AJ76" s="346">
        <v>0</v>
      </c>
      <c r="AK76" s="346">
        <v>0</v>
      </c>
      <c r="AL76" s="346">
        <v>0</v>
      </c>
      <c r="AM76" s="346">
        <v>0</v>
      </c>
      <c r="AN76" s="346">
        <v>37679.630000000012</v>
      </c>
      <c r="AO76" s="346">
        <v>0</v>
      </c>
      <c r="AP76" s="346">
        <v>0</v>
      </c>
      <c r="AQ76" s="346">
        <v>38376.499999999971</v>
      </c>
      <c r="AR76" s="346">
        <v>7229.2999999999984</v>
      </c>
      <c r="AS76" s="346">
        <v>5865.4800000000014</v>
      </c>
      <c r="AT76" s="346">
        <v>0</v>
      </c>
      <c r="AU76" s="346">
        <v>15880.770000000004</v>
      </c>
      <c r="AV76" s="346">
        <v>8229.76</v>
      </c>
      <c r="AW76" s="346">
        <v>8802.6799999999912</v>
      </c>
      <c r="AX76" s="346">
        <v>0</v>
      </c>
      <c r="AY76" s="346">
        <v>0</v>
      </c>
      <c r="AZ76" s="346">
        <v>12990.830000000004</v>
      </c>
      <c r="BA76" s="346">
        <v>4708.0300000000007</v>
      </c>
      <c r="BB76" s="346">
        <v>20559.149999999991</v>
      </c>
      <c r="BC76" s="346">
        <v>2821.7499999999995</v>
      </c>
      <c r="BD76" s="346">
        <f>SUM(D76:BC76)</f>
        <v>385748.78999999992</v>
      </c>
      <c r="BE76" s="346">
        <v>385748.78999999992</v>
      </c>
      <c r="BF76" s="522">
        <f t="shared" si="1"/>
        <v>0</v>
      </c>
    </row>
    <row r="77" spans="1:58" s="79" customFormat="1" ht="15" customHeight="1" x14ac:dyDescent="0.35">
      <c r="A77" s="315" t="s">
        <v>977</v>
      </c>
      <c r="B77" s="325" t="s">
        <v>978</v>
      </c>
      <c r="C77" s="4" t="str">
        <f>VLOOKUP(A77,'TB Apr 24'!$A$11:$D$103,4,0)</f>
        <v>Aggregator Commission</v>
      </c>
      <c r="D77" s="346">
        <v>29034.739999999998</v>
      </c>
      <c r="E77" s="346">
        <v>29385.350000000013</v>
      </c>
      <c r="F77" s="346">
        <v>0</v>
      </c>
      <c r="G77" s="346">
        <v>19332.66</v>
      </c>
      <c r="H77" s="346">
        <v>97630.600000000079</v>
      </c>
      <c r="I77" s="346">
        <v>42058.239999999983</v>
      </c>
      <c r="J77" s="346">
        <v>86591.519999999975</v>
      </c>
      <c r="K77" s="346">
        <v>0</v>
      </c>
      <c r="L77" s="346">
        <v>47747.370000000024</v>
      </c>
      <c r="M77" s="346">
        <v>7183.91</v>
      </c>
      <c r="N77" s="346">
        <v>0</v>
      </c>
      <c r="O77" s="346">
        <v>0</v>
      </c>
      <c r="P77" s="346">
        <v>0</v>
      </c>
      <c r="Q77" s="346">
        <v>83449.640000000014</v>
      </c>
      <c r="R77" s="346">
        <v>36912.249999999993</v>
      </c>
      <c r="S77" s="346">
        <v>0</v>
      </c>
      <c r="T77" s="346">
        <v>33213.909999999996</v>
      </c>
      <c r="U77" s="346">
        <v>0</v>
      </c>
      <c r="V77" s="346">
        <v>8989.1299999999974</v>
      </c>
      <c r="W77" s="346">
        <v>32140.73</v>
      </c>
      <c r="X77" s="346">
        <v>9042.9</v>
      </c>
      <c r="Y77" s="346">
        <v>58844.009999999995</v>
      </c>
      <c r="Z77" s="346">
        <v>88135.539999999979</v>
      </c>
      <c r="AA77" s="346">
        <v>0</v>
      </c>
      <c r="AB77" s="346">
        <v>102485.90999999995</v>
      </c>
      <c r="AC77" s="346">
        <v>167447.77000000008</v>
      </c>
      <c r="AD77" s="346">
        <v>7432.1299999999992</v>
      </c>
      <c r="AE77" s="346">
        <v>9125.0400000000009</v>
      </c>
      <c r="AF77" s="346">
        <v>24374.409999999996</v>
      </c>
      <c r="AG77" s="346">
        <v>135242.97000000015</v>
      </c>
      <c r="AH77" s="346">
        <v>0</v>
      </c>
      <c r="AI77" s="346">
        <v>0</v>
      </c>
      <c r="AJ77" s="346">
        <v>0</v>
      </c>
      <c r="AK77" s="346">
        <v>0</v>
      </c>
      <c r="AL77" s="346">
        <v>0</v>
      </c>
      <c r="AM77" s="346">
        <v>0</v>
      </c>
      <c r="AN77" s="346">
        <v>0</v>
      </c>
      <c r="AO77" s="346">
        <v>0</v>
      </c>
      <c r="AP77" s="346">
        <v>0</v>
      </c>
      <c r="AQ77" s="346">
        <v>0</v>
      </c>
      <c r="AR77" s="346">
        <v>43123.01999999999</v>
      </c>
      <c r="AS77" s="346">
        <v>81474.47</v>
      </c>
      <c r="AT77" s="346">
        <v>0</v>
      </c>
      <c r="AU77" s="346">
        <v>24312.19</v>
      </c>
      <c r="AV77" s="346">
        <v>13235.480000000003</v>
      </c>
      <c r="AW77" s="346">
        <v>0</v>
      </c>
      <c r="AX77" s="346">
        <v>0</v>
      </c>
      <c r="AY77" s="346">
        <v>0</v>
      </c>
      <c r="AZ77" s="346">
        <v>0</v>
      </c>
      <c r="BA77" s="346">
        <v>0</v>
      </c>
      <c r="BB77" s="346">
        <v>0</v>
      </c>
      <c r="BC77" s="346">
        <v>0</v>
      </c>
      <c r="BD77" s="346">
        <v>1317946</v>
      </c>
      <c r="BE77" s="346">
        <v>1317945.8900000001</v>
      </c>
      <c r="BF77" s="522">
        <f t="shared" si="1"/>
        <v>0.10999999986961484</v>
      </c>
    </row>
    <row r="78" spans="1:58" ht="15" customHeight="1" x14ac:dyDescent="0.35">
      <c r="A78" s="3" t="s">
        <v>165</v>
      </c>
      <c r="B78" s="4" t="s">
        <v>166</v>
      </c>
      <c r="C78" s="4" t="str">
        <f>VLOOKUP(A78,'TB Apr 24'!$A$11:$D$103,4,0)</f>
        <v>Consumables</v>
      </c>
      <c r="D78" s="5">
        <v>31267</v>
      </c>
      <c r="E78" s="5">
        <v>28391</v>
      </c>
      <c r="F78" s="5">
        <v>0</v>
      </c>
      <c r="G78" s="5">
        <v>29594</v>
      </c>
      <c r="H78" s="5">
        <v>13760</v>
      </c>
      <c r="I78" s="5">
        <v>14449</v>
      </c>
      <c r="J78" s="5">
        <v>100</v>
      </c>
      <c r="K78" s="5">
        <v>21620</v>
      </c>
      <c r="L78" s="5">
        <v>0</v>
      </c>
      <c r="M78" s="5">
        <v>5086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2319</v>
      </c>
      <c r="T78" s="5">
        <v>0</v>
      </c>
      <c r="U78" s="5">
        <v>72042</v>
      </c>
      <c r="V78" s="5">
        <v>1478</v>
      </c>
      <c r="W78" s="5">
        <v>0</v>
      </c>
      <c r="X78" s="5">
        <v>500</v>
      </c>
      <c r="Y78" s="5">
        <v>1128</v>
      </c>
      <c r="Z78" s="5">
        <v>10747</v>
      </c>
      <c r="AA78" s="5">
        <v>0</v>
      </c>
      <c r="AB78" s="5">
        <v>3130</v>
      </c>
      <c r="AC78" s="5">
        <v>26745</v>
      </c>
      <c r="AD78" s="5">
        <v>20690</v>
      </c>
      <c r="AE78" s="5">
        <v>3265</v>
      </c>
      <c r="AF78" s="5">
        <v>0</v>
      </c>
      <c r="AG78" s="5">
        <v>29233</v>
      </c>
      <c r="AH78" s="5">
        <v>50561</v>
      </c>
      <c r="AI78" s="5">
        <v>1220</v>
      </c>
      <c r="AJ78" s="5">
        <v>0</v>
      </c>
      <c r="AK78" s="5">
        <v>7840</v>
      </c>
      <c r="AL78" s="5">
        <v>617965</v>
      </c>
      <c r="AM78" s="5">
        <v>0</v>
      </c>
      <c r="AN78" s="5">
        <v>32814</v>
      </c>
      <c r="AO78" s="5">
        <v>240</v>
      </c>
      <c r="AP78" s="5">
        <v>29170</v>
      </c>
      <c r="AQ78" s="5">
        <v>99755</v>
      </c>
      <c r="AR78" s="5">
        <v>8825</v>
      </c>
      <c r="AS78" s="5">
        <v>15402</v>
      </c>
      <c r="AT78" s="5">
        <v>0</v>
      </c>
      <c r="AU78" s="5">
        <v>9658</v>
      </c>
      <c r="AV78" s="5">
        <v>9658</v>
      </c>
      <c r="AW78" s="5">
        <v>30253</v>
      </c>
      <c r="AX78" s="5">
        <v>0</v>
      </c>
      <c r="AY78" s="5">
        <v>0</v>
      </c>
      <c r="AZ78" s="5">
        <v>130657</v>
      </c>
      <c r="BA78" s="5">
        <v>57042</v>
      </c>
      <c r="BB78" s="5">
        <v>137691</v>
      </c>
      <c r="BC78" s="5">
        <v>81547</v>
      </c>
      <c r="BD78" s="5">
        <v>1635842</v>
      </c>
      <c r="BE78">
        <v>1608240</v>
      </c>
      <c r="BF78" s="526">
        <f t="shared" si="1"/>
        <v>27602</v>
      </c>
    </row>
    <row r="79" spans="1:58" ht="15" customHeight="1" x14ac:dyDescent="0.35">
      <c r="A79" s="3" t="s">
        <v>167</v>
      </c>
      <c r="B79" s="4" t="s">
        <v>168</v>
      </c>
      <c r="C79" s="4" t="str">
        <f>VLOOKUP(A79,'TB Apr 24'!$A$11:$D$103,4,0)</f>
        <v>Other Operational Expenses</v>
      </c>
      <c r="D79" s="5">
        <v>0</v>
      </c>
      <c r="E79" s="5">
        <v>0</v>
      </c>
      <c r="F79" s="5">
        <v>0</v>
      </c>
      <c r="G79" s="5">
        <v>0</v>
      </c>
      <c r="H79" s="5">
        <v>28900</v>
      </c>
      <c r="I79" s="5">
        <v>8249</v>
      </c>
      <c r="J79" s="5">
        <v>9646</v>
      </c>
      <c r="K79" s="5">
        <v>0</v>
      </c>
      <c r="L79" s="5">
        <v>6708</v>
      </c>
      <c r="M79" s="5">
        <v>8695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2598</v>
      </c>
      <c r="Z79" s="5">
        <v>0</v>
      </c>
      <c r="AA79" s="5">
        <v>0</v>
      </c>
      <c r="AB79" s="5">
        <v>6488</v>
      </c>
      <c r="AC79" s="5">
        <v>6806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10799</v>
      </c>
      <c r="AS79" s="5">
        <v>9779</v>
      </c>
      <c r="AT79" s="5">
        <v>0</v>
      </c>
      <c r="AU79" s="5">
        <v>9269.5</v>
      </c>
      <c r="AV79" s="5">
        <v>9269.5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117207</v>
      </c>
      <c r="BE79">
        <v>117207</v>
      </c>
      <c r="BF79">
        <f t="shared" si="1"/>
        <v>0</v>
      </c>
    </row>
    <row r="80" spans="1:58" ht="15" customHeight="1" x14ac:dyDescent="0.35">
      <c r="A80" s="3" t="s">
        <v>169</v>
      </c>
      <c r="B80" s="4" t="s">
        <v>170</v>
      </c>
      <c r="C80" s="4" t="str">
        <f>VLOOKUP(A80,'TB Apr 24'!$A$11:$D$103,4,0)</f>
        <v>Consumables</v>
      </c>
      <c r="D80" s="5">
        <v>11703</v>
      </c>
      <c r="E80" s="5">
        <v>26270</v>
      </c>
      <c r="F80" s="5">
        <v>0</v>
      </c>
      <c r="G80" s="5">
        <v>9945</v>
      </c>
      <c r="H80" s="5">
        <v>30232</v>
      </c>
      <c r="I80" s="5">
        <v>0</v>
      </c>
      <c r="J80" s="5">
        <v>0</v>
      </c>
      <c r="K80" s="5">
        <v>15930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10620</v>
      </c>
      <c r="R80" s="5">
        <v>29654</v>
      </c>
      <c r="S80" s="5">
        <v>0</v>
      </c>
      <c r="T80" s="5">
        <v>9055</v>
      </c>
      <c r="U80" s="5">
        <v>26954</v>
      </c>
      <c r="V80" s="5">
        <v>925</v>
      </c>
      <c r="W80" s="5">
        <v>0</v>
      </c>
      <c r="X80" s="5">
        <v>0</v>
      </c>
      <c r="Y80" s="5">
        <v>14285</v>
      </c>
      <c r="Z80" s="5">
        <v>9150</v>
      </c>
      <c r="AA80" s="5">
        <v>0</v>
      </c>
      <c r="AB80" s="5">
        <v>7520</v>
      </c>
      <c r="AC80" s="5">
        <v>54119</v>
      </c>
      <c r="AD80" s="5">
        <v>28209</v>
      </c>
      <c r="AE80" s="5">
        <v>16120</v>
      </c>
      <c r="AF80" s="5">
        <v>25343</v>
      </c>
      <c r="AG80" s="5">
        <v>94749</v>
      </c>
      <c r="AH80" s="5">
        <v>0</v>
      </c>
      <c r="AI80" s="5">
        <v>0</v>
      </c>
      <c r="AJ80" s="5">
        <v>0</v>
      </c>
      <c r="AK80" s="5">
        <v>5813</v>
      </c>
      <c r="AL80" s="5">
        <v>130482</v>
      </c>
      <c r="AM80" s="5">
        <v>0</v>
      </c>
      <c r="AN80" s="5">
        <v>0</v>
      </c>
      <c r="AO80" s="5">
        <v>0</v>
      </c>
      <c r="AP80" s="5">
        <v>0</v>
      </c>
      <c r="AQ80" s="5">
        <v>18250</v>
      </c>
      <c r="AR80" s="5">
        <v>16350</v>
      </c>
      <c r="AS80" s="5">
        <v>35401</v>
      </c>
      <c r="AT80" s="5">
        <v>0</v>
      </c>
      <c r="AU80" s="5">
        <v>13903</v>
      </c>
      <c r="AV80" s="5">
        <v>13903</v>
      </c>
      <c r="AW80" s="5">
        <v>104180</v>
      </c>
      <c r="AX80" s="5">
        <v>0</v>
      </c>
      <c r="AY80" s="5">
        <v>0</v>
      </c>
      <c r="AZ80" s="5">
        <v>82145</v>
      </c>
      <c r="BA80" s="5">
        <v>228404</v>
      </c>
      <c r="BB80" s="5">
        <v>80288</v>
      </c>
      <c r="BC80" s="5">
        <v>106082</v>
      </c>
      <c r="BD80" s="5">
        <v>1255984</v>
      </c>
      <c r="BE80">
        <v>1255984</v>
      </c>
      <c r="BF80">
        <f t="shared" si="1"/>
        <v>0</v>
      </c>
    </row>
    <row r="81" spans="1:58" ht="15" customHeight="1" x14ac:dyDescent="0.35">
      <c r="A81" s="3" t="s">
        <v>171</v>
      </c>
      <c r="B81" s="4" t="s">
        <v>172</v>
      </c>
      <c r="C81" s="4" t="str">
        <f>VLOOKUP(A81,'TB Apr 24'!$A$11:$D$103,4,0)</f>
        <v>CCGL Charges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66361</v>
      </c>
      <c r="J81" s="5">
        <v>92447</v>
      </c>
      <c r="K81" s="5">
        <v>0</v>
      </c>
      <c r="L81" s="5">
        <v>117197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276005</v>
      </c>
      <c r="BE81">
        <v>276005</v>
      </c>
      <c r="BF81">
        <f t="shared" si="1"/>
        <v>0</v>
      </c>
    </row>
    <row r="82" spans="1:58" ht="15" customHeight="1" x14ac:dyDescent="0.35">
      <c r="A82" s="3" t="s">
        <v>173</v>
      </c>
      <c r="B82" s="4" t="s">
        <v>174</v>
      </c>
      <c r="C82" s="4" t="str">
        <f>VLOOKUP(A82,'TB Apr 24'!$A$11:$D$103,4,0)</f>
        <v>Other Cost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16903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16903</v>
      </c>
      <c r="BE82">
        <v>0</v>
      </c>
      <c r="BF82" s="526">
        <f t="shared" si="1"/>
        <v>16903</v>
      </c>
    </row>
    <row r="83" spans="1:58" ht="15" customHeight="1" x14ac:dyDescent="0.35">
      <c r="A83" s="3" t="s">
        <v>175</v>
      </c>
      <c r="B83" s="4" t="s">
        <v>176</v>
      </c>
      <c r="C83" s="4" t="str">
        <f>VLOOKUP(A83,'TB Apr 24'!$A$11:$D$103,4,0)</f>
        <v>Other Cost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12000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12000</v>
      </c>
      <c r="BE83">
        <v>0</v>
      </c>
      <c r="BF83" s="526">
        <f t="shared" si="1"/>
        <v>12000</v>
      </c>
    </row>
    <row r="84" spans="1:58" ht="15" customHeight="1" x14ac:dyDescent="0.35">
      <c r="A84" s="3" t="s">
        <v>177</v>
      </c>
      <c r="B84" s="4" t="s">
        <v>178</v>
      </c>
      <c r="C84" s="4" t="str">
        <f>VLOOKUP(A84,'TB Apr 24'!$A$11:$D$103,4,0)</f>
        <v>Other Cost</v>
      </c>
      <c r="D84" s="5">
        <v>900</v>
      </c>
      <c r="E84" s="5">
        <v>1725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500</v>
      </c>
      <c r="S84" s="5">
        <v>0</v>
      </c>
      <c r="T84" s="5">
        <v>281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450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2250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300</v>
      </c>
      <c r="BA84" s="5">
        <v>4495</v>
      </c>
      <c r="BB84" s="5">
        <v>3016</v>
      </c>
      <c r="BC84" s="5">
        <v>2473</v>
      </c>
      <c r="BD84" s="5">
        <v>16390</v>
      </c>
      <c r="BE84">
        <v>0</v>
      </c>
      <c r="BF84" s="526">
        <f t="shared" si="1"/>
        <v>16390</v>
      </c>
    </row>
    <row r="85" spans="1:58" ht="15" customHeight="1" x14ac:dyDescent="0.35">
      <c r="A85" s="3" t="s">
        <v>179</v>
      </c>
      <c r="B85" s="4" t="s">
        <v>180</v>
      </c>
      <c r="C85" s="4" t="str">
        <f>VLOOKUP(A85,'TB Apr 24'!$A$11:$D$103,4,0)</f>
        <v>Other Operational Expenses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1000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356</v>
      </c>
      <c r="R85" s="5">
        <v>1300</v>
      </c>
      <c r="S85" s="5">
        <v>0</v>
      </c>
      <c r="T85" s="5">
        <v>500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480</v>
      </c>
      <c r="AT85" s="5">
        <v>0</v>
      </c>
      <c r="AU85" s="5">
        <v>1000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4636</v>
      </c>
      <c r="BE85">
        <v>4636</v>
      </c>
      <c r="BF85">
        <f t="shared" si="1"/>
        <v>0</v>
      </c>
    </row>
    <row r="86" spans="1:58" ht="15" customHeight="1" x14ac:dyDescent="0.35">
      <c r="A86" s="3" t="s">
        <v>181</v>
      </c>
      <c r="B86" s="4" t="s">
        <v>182</v>
      </c>
      <c r="C86" s="4" t="str">
        <f>VLOOKUP(A86,'TB Apr 24'!$A$11:$D$103,4,0)</f>
        <v>Staff Room Rent &amp; other</v>
      </c>
      <c r="D86" s="5">
        <v>2970</v>
      </c>
      <c r="E86" s="5">
        <v>2970</v>
      </c>
      <c r="F86" s="5">
        <v>0</v>
      </c>
      <c r="G86" s="5">
        <v>2970</v>
      </c>
      <c r="H86" s="5">
        <v>2970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2252</v>
      </c>
      <c r="Y86" s="5">
        <v>0</v>
      </c>
      <c r="Z86" s="5">
        <v>3910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17040</v>
      </c>
      <c r="AR86" s="5">
        <v>3210</v>
      </c>
      <c r="AS86" s="5">
        <v>2638</v>
      </c>
      <c r="AT86" s="5">
        <v>0</v>
      </c>
      <c r="AU86" s="5">
        <v>7340</v>
      </c>
      <c r="AV86" s="5">
        <v>7340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55610</v>
      </c>
      <c r="BE86">
        <v>55610</v>
      </c>
      <c r="BF86">
        <f t="shared" si="1"/>
        <v>0</v>
      </c>
    </row>
    <row r="87" spans="1:58" ht="15" customHeight="1" x14ac:dyDescent="0.35">
      <c r="A87" s="3" t="s">
        <v>183</v>
      </c>
      <c r="B87" s="4" t="s">
        <v>184</v>
      </c>
      <c r="C87" s="4" t="str">
        <f>VLOOKUP(A87,'TB Apr 24'!$A$11:$D$103,4,0)</f>
        <v>Staff Room Rent &amp; other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2700</v>
      </c>
      <c r="J87" s="5">
        <v>2700</v>
      </c>
      <c r="K87" s="5">
        <v>0</v>
      </c>
      <c r="L87" s="5">
        <v>2700</v>
      </c>
      <c r="M87" s="5">
        <v>2700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10800</v>
      </c>
      <c r="BE87">
        <v>10800</v>
      </c>
      <c r="BF87">
        <f t="shared" si="1"/>
        <v>0</v>
      </c>
    </row>
    <row r="88" spans="1:58" ht="15" customHeight="1" x14ac:dyDescent="0.35">
      <c r="A88" s="3" t="s">
        <v>185</v>
      </c>
      <c r="B88" s="4" t="s">
        <v>186</v>
      </c>
      <c r="C88" s="4" t="str">
        <f>VLOOKUP(A88,'TB Apr 24'!$A$11:$D$103,4,0)</f>
        <v>Staff Room Rent &amp; other</v>
      </c>
      <c r="D88" s="5">
        <v>4125</v>
      </c>
      <c r="E88" s="5">
        <v>4125</v>
      </c>
      <c r="F88" s="5">
        <v>133800</v>
      </c>
      <c r="G88" s="5">
        <v>4125</v>
      </c>
      <c r="H88" s="5">
        <v>4125</v>
      </c>
      <c r="I88" s="5">
        <v>74998.5</v>
      </c>
      <c r="J88" s="5">
        <v>79998.5</v>
      </c>
      <c r="K88" s="5">
        <v>0</v>
      </c>
      <c r="L88" s="5">
        <v>79998.5</v>
      </c>
      <c r="M88" s="5">
        <v>74998.5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33632</v>
      </c>
      <c r="W88" s="5">
        <v>33633</v>
      </c>
      <c r="X88" s="5">
        <v>33635</v>
      </c>
      <c r="Y88" s="5">
        <v>0</v>
      </c>
      <c r="Z88" s="5">
        <v>0</v>
      </c>
      <c r="AA88" s="5">
        <v>40000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10000</v>
      </c>
      <c r="AI88" s="5">
        <v>2500</v>
      </c>
      <c r="AJ88" s="5">
        <v>0</v>
      </c>
      <c r="AK88" s="5">
        <v>0</v>
      </c>
      <c r="AL88" s="5">
        <v>494450</v>
      </c>
      <c r="AM88" s="5">
        <v>0</v>
      </c>
      <c r="AN88" s="5">
        <v>0</v>
      </c>
      <c r="AO88" s="5">
        <v>0</v>
      </c>
      <c r="AP88" s="5">
        <v>0</v>
      </c>
      <c r="AQ88" s="5">
        <v>11500</v>
      </c>
      <c r="AR88" s="5">
        <v>22700</v>
      </c>
      <c r="AS88" s="5">
        <v>47700</v>
      </c>
      <c r="AT88" s="5">
        <v>0</v>
      </c>
      <c r="AU88" s="5">
        <v>68850</v>
      </c>
      <c r="AV88" s="5">
        <v>68850</v>
      </c>
      <c r="AW88" s="5">
        <v>33000</v>
      </c>
      <c r="AX88" s="5">
        <v>0</v>
      </c>
      <c r="AY88" s="5">
        <v>0</v>
      </c>
      <c r="AZ88" s="5">
        <v>87833</v>
      </c>
      <c r="BA88" s="5">
        <v>87833</v>
      </c>
      <c r="BB88" s="5">
        <v>87833</v>
      </c>
      <c r="BC88" s="5">
        <v>33000</v>
      </c>
      <c r="BD88" s="5">
        <v>1657243</v>
      </c>
      <c r="BE88">
        <v>1657243</v>
      </c>
      <c r="BF88">
        <f t="shared" si="1"/>
        <v>0</v>
      </c>
    </row>
    <row r="89" spans="1:58" ht="15" customHeight="1" x14ac:dyDescent="0.35">
      <c r="A89" s="3" t="s">
        <v>187</v>
      </c>
      <c r="B89" s="4" t="s">
        <v>188</v>
      </c>
      <c r="C89" s="4" t="str">
        <f>VLOOKUP(A89,'TB Apr 24'!$A$11:$D$103,4,0)</f>
        <v>Staff Food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1805882.72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1805882.72</v>
      </c>
      <c r="BE89">
        <v>1805882.72</v>
      </c>
      <c r="BF89">
        <f t="shared" si="1"/>
        <v>0</v>
      </c>
    </row>
    <row r="90" spans="1:58" ht="15" customHeight="1" x14ac:dyDescent="0.35">
      <c r="A90" s="3" t="s">
        <v>189</v>
      </c>
      <c r="B90" s="4" t="s">
        <v>190</v>
      </c>
      <c r="C90" s="4" t="str">
        <f>VLOOKUP(A90,'TB Apr 24'!$A$11:$D$103,4,0)</f>
        <v>Food and Beverage Cost</v>
      </c>
      <c r="D90" s="5">
        <v>54802</v>
      </c>
      <c r="E90" s="5">
        <v>131736</v>
      </c>
      <c r="F90" s="5">
        <v>0</v>
      </c>
      <c r="G90" s="5">
        <v>148860</v>
      </c>
      <c r="H90" s="5">
        <v>32871</v>
      </c>
      <c r="I90" s="5">
        <v>61756</v>
      </c>
      <c r="J90" s="5">
        <v>102191</v>
      </c>
      <c r="K90" s="5">
        <v>76022</v>
      </c>
      <c r="L90" s="5">
        <v>140096</v>
      </c>
      <c r="M90" s="5">
        <v>150226</v>
      </c>
      <c r="N90" s="5">
        <v>0</v>
      </c>
      <c r="O90" s="5">
        <v>0</v>
      </c>
      <c r="P90" s="5">
        <v>0</v>
      </c>
      <c r="Q90" s="5">
        <v>131764</v>
      </c>
      <c r="R90" s="5">
        <v>42454</v>
      </c>
      <c r="S90" s="5">
        <v>0</v>
      </c>
      <c r="T90" s="5">
        <v>147011</v>
      </c>
      <c r="U90" s="5">
        <v>16770</v>
      </c>
      <c r="V90" s="5">
        <v>45359</v>
      </c>
      <c r="W90" s="5">
        <v>92536</v>
      </c>
      <c r="X90" s="5">
        <v>80754</v>
      </c>
      <c r="Y90" s="5">
        <v>124351</v>
      </c>
      <c r="Z90" s="5">
        <v>119358</v>
      </c>
      <c r="AA90" s="5">
        <v>0</v>
      </c>
      <c r="AB90" s="5">
        <v>147260</v>
      </c>
      <c r="AC90" s="5">
        <v>343644</v>
      </c>
      <c r="AD90" s="5">
        <v>27900</v>
      </c>
      <c r="AE90" s="5">
        <v>210495</v>
      </c>
      <c r="AF90" s="5">
        <v>71682</v>
      </c>
      <c r="AG90" s="5">
        <v>49663</v>
      </c>
      <c r="AH90" s="5">
        <v>6604</v>
      </c>
      <c r="AI90" s="5">
        <v>3658</v>
      </c>
      <c r="AJ90" s="5">
        <v>0</v>
      </c>
      <c r="AK90" s="5">
        <v>7355</v>
      </c>
      <c r="AL90" s="5">
        <v>0</v>
      </c>
      <c r="AM90" s="5">
        <v>0</v>
      </c>
      <c r="AN90" s="5">
        <v>62563</v>
      </c>
      <c r="AO90" s="5">
        <v>263</v>
      </c>
      <c r="AP90" s="5">
        <v>0</v>
      </c>
      <c r="AQ90" s="5">
        <v>88073</v>
      </c>
      <c r="AR90" s="5">
        <v>140868</v>
      </c>
      <c r="AS90" s="5">
        <v>67138</v>
      </c>
      <c r="AT90" s="5">
        <v>41250</v>
      </c>
      <c r="AU90" s="5">
        <v>93154</v>
      </c>
      <c r="AV90" s="5">
        <v>92671</v>
      </c>
      <c r="AW90" s="5">
        <v>67867</v>
      </c>
      <c r="AX90" s="5">
        <v>0</v>
      </c>
      <c r="AY90" s="5">
        <v>0</v>
      </c>
      <c r="AZ90" s="5">
        <v>353872</v>
      </c>
      <c r="BA90" s="5">
        <v>76776</v>
      </c>
      <c r="BB90" s="5">
        <v>216451</v>
      </c>
      <c r="BC90" s="5">
        <v>25077</v>
      </c>
      <c r="BD90" s="5">
        <v>3893201</v>
      </c>
      <c r="BE90">
        <v>0</v>
      </c>
      <c r="BF90" s="526">
        <f t="shared" si="1"/>
        <v>3893201</v>
      </c>
    </row>
    <row r="91" spans="1:58" ht="15" customHeight="1" x14ac:dyDescent="0.35">
      <c r="A91" s="3" t="s">
        <v>191</v>
      </c>
      <c r="B91" s="4" t="s">
        <v>192</v>
      </c>
      <c r="C91" s="4" t="str">
        <f>VLOOKUP(A91,'TB Apr 24'!$A$11:$D$103,4,0)</f>
        <v>Food and Beverage Cost</v>
      </c>
      <c r="D91" s="5">
        <v>42297</v>
      </c>
      <c r="E91" s="5">
        <v>24614</v>
      </c>
      <c r="F91" s="5">
        <v>0</v>
      </c>
      <c r="G91" s="5">
        <v>217035</v>
      </c>
      <c r="H91" s="5">
        <v>25474</v>
      </c>
      <c r="I91" s="5">
        <v>1973</v>
      </c>
      <c r="J91" s="5">
        <v>49806</v>
      </c>
      <c r="K91" s="5">
        <v>341358</v>
      </c>
      <c r="L91" s="5">
        <v>0</v>
      </c>
      <c r="M91" s="5">
        <v>3942</v>
      </c>
      <c r="N91" s="5">
        <v>0</v>
      </c>
      <c r="O91" s="5">
        <v>0</v>
      </c>
      <c r="P91" s="5">
        <v>0</v>
      </c>
      <c r="Q91" s="5">
        <v>159041</v>
      </c>
      <c r="R91" s="5">
        <v>82989</v>
      </c>
      <c r="S91" s="5">
        <v>0</v>
      </c>
      <c r="T91" s="5">
        <v>11095</v>
      </c>
      <c r="U91" s="5">
        <v>145945</v>
      </c>
      <c r="V91" s="5">
        <v>41332</v>
      </c>
      <c r="W91" s="5">
        <v>12086</v>
      </c>
      <c r="X91" s="5">
        <v>30307</v>
      </c>
      <c r="Y91" s="5">
        <v>105596</v>
      </c>
      <c r="Z91" s="5">
        <v>2949</v>
      </c>
      <c r="AA91" s="5">
        <v>213506</v>
      </c>
      <c r="AB91" s="5">
        <v>134694</v>
      </c>
      <c r="AC91" s="5">
        <v>11224</v>
      </c>
      <c r="AD91" s="5">
        <v>16605</v>
      </c>
      <c r="AE91" s="5">
        <v>105763</v>
      </c>
      <c r="AF91" s="5">
        <v>56813</v>
      </c>
      <c r="AG91" s="5">
        <v>11266</v>
      </c>
      <c r="AH91" s="5">
        <v>6975</v>
      </c>
      <c r="AI91" s="5">
        <v>5571</v>
      </c>
      <c r="AJ91" s="5">
        <v>0</v>
      </c>
      <c r="AK91" s="5">
        <v>5355</v>
      </c>
      <c r="AL91" s="5">
        <v>101936</v>
      </c>
      <c r="AM91" s="5">
        <v>0</v>
      </c>
      <c r="AN91" s="5">
        <v>19683</v>
      </c>
      <c r="AO91" s="5">
        <v>0</v>
      </c>
      <c r="AP91" s="5">
        <v>0</v>
      </c>
      <c r="AQ91" s="5">
        <v>111974</v>
      </c>
      <c r="AR91" s="5">
        <v>139345</v>
      </c>
      <c r="AS91" s="5">
        <v>10561</v>
      </c>
      <c r="AT91" s="5">
        <v>0</v>
      </c>
      <c r="AU91" s="5">
        <v>86134</v>
      </c>
      <c r="AV91" s="5">
        <v>72405</v>
      </c>
      <c r="AW91" s="5">
        <v>156791</v>
      </c>
      <c r="AX91" s="5">
        <v>0</v>
      </c>
      <c r="AY91" s="5">
        <v>0</v>
      </c>
      <c r="AZ91" s="5">
        <v>61610</v>
      </c>
      <c r="BA91" s="5">
        <v>287352</v>
      </c>
      <c r="BB91" s="5">
        <v>309106</v>
      </c>
      <c r="BC91" s="5">
        <v>75093</v>
      </c>
      <c r="BD91" s="5">
        <v>3297601</v>
      </c>
      <c r="BE91">
        <v>0</v>
      </c>
      <c r="BF91" s="526">
        <f t="shared" si="1"/>
        <v>3297601</v>
      </c>
    </row>
    <row r="92" spans="1:58" ht="15" customHeight="1" x14ac:dyDescent="0.35">
      <c r="A92" s="3" t="s">
        <v>193</v>
      </c>
      <c r="B92" s="4" t="s">
        <v>194</v>
      </c>
      <c r="C92" s="4" t="str">
        <f>VLOOKUP(A92,'TB Apr 24'!$A$11:$D$103,4,0)</f>
        <v>Food and Beverage Cost</v>
      </c>
      <c r="D92" s="5">
        <v>127122</v>
      </c>
      <c r="E92" s="5">
        <v>477534</v>
      </c>
      <c r="F92" s="5">
        <v>2167651</v>
      </c>
      <c r="G92" s="5">
        <v>372955</v>
      </c>
      <c r="H92" s="5">
        <v>67550</v>
      </c>
      <c r="I92" s="5">
        <v>-13760</v>
      </c>
      <c r="J92" s="5">
        <v>-116183</v>
      </c>
      <c r="K92" s="5">
        <v>4342751</v>
      </c>
      <c r="L92" s="5">
        <v>2594</v>
      </c>
      <c r="M92" s="5">
        <v>4205</v>
      </c>
      <c r="N92" s="5">
        <v>-25517417.370000001</v>
      </c>
      <c r="O92" s="5">
        <v>0</v>
      </c>
      <c r="P92" s="5">
        <v>2130626</v>
      </c>
      <c r="Q92" s="5">
        <v>277383</v>
      </c>
      <c r="R92" s="5">
        <v>128449</v>
      </c>
      <c r="S92" s="5">
        <v>2201</v>
      </c>
      <c r="T92" s="5">
        <v>376975</v>
      </c>
      <c r="U92" s="5">
        <v>1768151</v>
      </c>
      <c r="V92" s="5">
        <v>-19624</v>
      </c>
      <c r="W92" s="5">
        <v>470</v>
      </c>
      <c r="X92" s="5">
        <v>33</v>
      </c>
      <c r="Y92" s="5">
        <v>153310</v>
      </c>
      <c r="Z92" s="5">
        <v>287675</v>
      </c>
      <c r="AA92" s="5">
        <v>5541607</v>
      </c>
      <c r="AB92" s="5">
        <v>239094</v>
      </c>
      <c r="AC92" s="5">
        <v>342373</v>
      </c>
      <c r="AD92" s="5">
        <v>147270</v>
      </c>
      <c r="AE92" s="5">
        <v>193268</v>
      </c>
      <c r="AF92" s="5">
        <v>101387</v>
      </c>
      <c r="AG92" s="5">
        <v>223407</v>
      </c>
      <c r="AH92" s="5">
        <v>21803</v>
      </c>
      <c r="AI92" s="5">
        <v>-85796</v>
      </c>
      <c r="AJ92" s="5">
        <v>14643</v>
      </c>
      <c r="AK92" s="5">
        <v>0</v>
      </c>
      <c r="AL92" s="5">
        <v>3208233</v>
      </c>
      <c r="AM92" s="5">
        <v>0</v>
      </c>
      <c r="AN92" s="5">
        <v>-121167</v>
      </c>
      <c r="AO92" s="5">
        <v>-268472</v>
      </c>
      <c r="AP92" s="5">
        <v>0</v>
      </c>
      <c r="AQ92" s="5">
        <v>65601</v>
      </c>
      <c r="AR92" s="5">
        <v>384367</v>
      </c>
      <c r="AS92" s="5">
        <v>-89265</v>
      </c>
      <c r="AT92" s="5">
        <v>2326179</v>
      </c>
      <c r="AU92" s="5">
        <v>138321</v>
      </c>
      <c r="AV92" s="5">
        <v>85440</v>
      </c>
      <c r="AW92" s="5">
        <v>468319</v>
      </c>
      <c r="AX92" s="5">
        <v>4389920</v>
      </c>
      <c r="AY92" s="5">
        <v>0</v>
      </c>
      <c r="AZ92" s="5">
        <v>983990</v>
      </c>
      <c r="BA92" s="5">
        <v>469675</v>
      </c>
      <c r="BB92" s="5">
        <v>295644</v>
      </c>
      <c r="BC92" s="5">
        <v>192967</v>
      </c>
      <c r="BD92" s="5">
        <v>6289458.6299999999</v>
      </c>
      <c r="BE92">
        <v>21995193.953457717</v>
      </c>
      <c r="BF92" s="526">
        <f t="shared" si="1"/>
        <v>-15705735.323457718</v>
      </c>
    </row>
    <row r="93" spans="1:58" ht="15" customHeight="1" x14ac:dyDescent="0.35">
      <c r="A93" s="3" t="s">
        <v>195</v>
      </c>
      <c r="B93" s="4" t="s">
        <v>196</v>
      </c>
      <c r="C93" s="4" t="str">
        <f>VLOOKUP(A93,'TB Apr 24'!$A$11:$D$103,4,0)</f>
        <v>Beverages Cost</v>
      </c>
      <c r="D93" s="5">
        <v>39298</v>
      </c>
      <c r="E93" s="5">
        <v>19311</v>
      </c>
      <c r="F93" s="5">
        <v>16682</v>
      </c>
      <c r="G93" s="5">
        <v>62385</v>
      </c>
      <c r="H93" s="5">
        <v>42409</v>
      </c>
      <c r="I93" s="5">
        <v>240</v>
      </c>
      <c r="J93" s="5">
        <v>0</v>
      </c>
      <c r="K93" s="5">
        <v>59990</v>
      </c>
      <c r="L93" s="5">
        <v>3431</v>
      </c>
      <c r="M93" s="5">
        <v>1152</v>
      </c>
      <c r="N93" s="5">
        <v>0</v>
      </c>
      <c r="O93" s="5">
        <v>0</v>
      </c>
      <c r="P93" s="5">
        <v>0</v>
      </c>
      <c r="Q93" s="5">
        <v>2112</v>
      </c>
      <c r="R93" s="5">
        <v>72761</v>
      </c>
      <c r="S93" s="5">
        <v>0</v>
      </c>
      <c r="T93" s="5">
        <v>68975</v>
      </c>
      <c r="U93" s="5">
        <v>93457</v>
      </c>
      <c r="V93" s="5">
        <v>15013</v>
      </c>
      <c r="W93" s="5">
        <v>593</v>
      </c>
      <c r="X93" s="5">
        <v>-11927</v>
      </c>
      <c r="Y93" s="5">
        <v>334668</v>
      </c>
      <c r="Z93" s="5">
        <v>25218</v>
      </c>
      <c r="AA93" s="5">
        <v>2436</v>
      </c>
      <c r="AB93" s="5">
        <v>67601</v>
      </c>
      <c r="AC93" s="5">
        <v>26246</v>
      </c>
      <c r="AD93" s="5">
        <v>172167</v>
      </c>
      <c r="AE93" s="5">
        <v>14954</v>
      </c>
      <c r="AF93" s="5">
        <v>25225</v>
      </c>
      <c r="AG93" s="5">
        <v>170236</v>
      </c>
      <c r="AH93" s="5">
        <v>-25240</v>
      </c>
      <c r="AI93" s="5">
        <v>-17537</v>
      </c>
      <c r="AJ93" s="5">
        <v>0</v>
      </c>
      <c r="AK93" s="5">
        <v>13500</v>
      </c>
      <c r="AL93" s="5">
        <v>-55006</v>
      </c>
      <c r="AM93" s="5">
        <v>0</v>
      </c>
      <c r="AN93" s="5">
        <v>31998</v>
      </c>
      <c r="AO93" s="5">
        <v>-17157</v>
      </c>
      <c r="AP93" s="5">
        <v>0</v>
      </c>
      <c r="AQ93" s="5">
        <v>-730</v>
      </c>
      <c r="AR93" s="5">
        <v>38432</v>
      </c>
      <c r="AS93" s="5">
        <v>13644</v>
      </c>
      <c r="AT93" s="5">
        <v>0</v>
      </c>
      <c r="AU93" s="5">
        <v>61168</v>
      </c>
      <c r="AV93" s="5">
        <v>-16812</v>
      </c>
      <c r="AW93" s="5">
        <v>65354</v>
      </c>
      <c r="AX93" s="5">
        <v>0</v>
      </c>
      <c r="AY93" s="5">
        <v>0</v>
      </c>
      <c r="AZ93" s="5">
        <v>90610</v>
      </c>
      <c r="BA93" s="5">
        <v>215636</v>
      </c>
      <c r="BB93" s="5">
        <v>240329</v>
      </c>
      <c r="BC93" s="5">
        <v>34467</v>
      </c>
      <c r="BD93" s="5">
        <v>1997289</v>
      </c>
      <c r="BE93">
        <v>0</v>
      </c>
      <c r="BF93" s="526">
        <f t="shared" si="1"/>
        <v>1997289</v>
      </c>
    </row>
    <row r="94" spans="1:58" ht="15" customHeight="1" x14ac:dyDescent="0.35">
      <c r="A94" s="3" t="s">
        <v>197</v>
      </c>
      <c r="B94" s="4" t="s">
        <v>198</v>
      </c>
      <c r="C94" s="4" t="str">
        <f>VLOOKUP(A94,'TB Apr 24'!$A$11:$D$103,4,0)</f>
        <v>Beverages Cost</v>
      </c>
      <c r="D94" s="5">
        <v>562</v>
      </c>
      <c r="E94" s="5">
        <v>12583</v>
      </c>
      <c r="F94" s="5">
        <v>0</v>
      </c>
      <c r="G94" s="5">
        <v>3235</v>
      </c>
      <c r="H94" s="5">
        <v>0</v>
      </c>
      <c r="I94" s="5">
        <v>0</v>
      </c>
      <c r="J94" s="5">
        <v>0</v>
      </c>
      <c r="K94" s="5">
        <v>2256</v>
      </c>
      <c r="L94" s="5">
        <v>1200</v>
      </c>
      <c r="M94" s="5">
        <v>0</v>
      </c>
      <c r="N94" s="5">
        <v>0</v>
      </c>
      <c r="O94" s="5">
        <v>0</v>
      </c>
      <c r="P94" s="5">
        <v>0</v>
      </c>
      <c r="Q94" s="5">
        <v>4611</v>
      </c>
      <c r="R94" s="5">
        <v>4856</v>
      </c>
      <c r="S94" s="5">
        <v>0</v>
      </c>
      <c r="T94" s="5">
        <v>6396</v>
      </c>
      <c r="U94" s="5">
        <v>12022</v>
      </c>
      <c r="V94" s="5">
        <v>0</v>
      </c>
      <c r="W94" s="5">
        <v>0</v>
      </c>
      <c r="X94" s="5">
        <v>0</v>
      </c>
      <c r="Y94" s="5">
        <v>1413</v>
      </c>
      <c r="Z94" s="5">
        <v>689</v>
      </c>
      <c r="AA94" s="5">
        <v>7261</v>
      </c>
      <c r="AB94" s="5">
        <v>7338</v>
      </c>
      <c r="AC94" s="5">
        <v>4135</v>
      </c>
      <c r="AD94" s="5">
        <v>2625</v>
      </c>
      <c r="AE94" s="5">
        <v>8181</v>
      </c>
      <c r="AF94" s="5">
        <v>0</v>
      </c>
      <c r="AG94" s="5">
        <v>1412</v>
      </c>
      <c r="AH94" s="5">
        <v>0</v>
      </c>
      <c r="AI94" s="5">
        <v>0</v>
      </c>
      <c r="AJ94" s="5">
        <v>0</v>
      </c>
      <c r="AK94" s="5">
        <v>0</v>
      </c>
      <c r="AL94" s="5">
        <v>59575</v>
      </c>
      <c r="AM94" s="5">
        <v>0</v>
      </c>
      <c r="AN94" s="5">
        <v>0</v>
      </c>
      <c r="AO94" s="5">
        <v>0</v>
      </c>
      <c r="AP94" s="5">
        <v>0</v>
      </c>
      <c r="AQ94" s="5">
        <v>5739</v>
      </c>
      <c r="AR94" s="5">
        <v>0</v>
      </c>
      <c r="AS94" s="5">
        <v>0</v>
      </c>
      <c r="AT94" s="5">
        <v>0</v>
      </c>
      <c r="AU94" s="5">
        <v>3311</v>
      </c>
      <c r="AV94" s="5">
        <v>3311</v>
      </c>
      <c r="AW94" s="5">
        <v>7877</v>
      </c>
      <c r="AX94" s="5">
        <v>0</v>
      </c>
      <c r="AY94" s="5">
        <v>0</v>
      </c>
      <c r="AZ94" s="5">
        <v>23058</v>
      </c>
      <c r="BA94" s="5">
        <v>0</v>
      </c>
      <c r="BB94" s="5">
        <v>30750</v>
      </c>
      <c r="BC94" s="5">
        <v>0</v>
      </c>
      <c r="BD94" s="5">
        <v>214396</v>
      </c>
      <c r="BE94">
        <v>0</v>
      </c>
      <c r="BF94" s="526">
        <f t="shared" si="1"/>
        <v>214396</v>
      </c>
    </row>
    <row r="95" spans="1:58" ht="15" customHeight="1" x14ac:dyDescent="0.35">
      <c r="A95" s="3" t="s">
        <v>199</v>
      </c>
      <c r="B95" s="4" t="s">
        <v>200</v>
      </c>
      <c r="C95" s="4" t="str">
        <f>VLOOKUP(A95,'TB Apr 24'!$A$11:$D$103,4,0)</f>
        <v>Food and Beverage Cost</v>
      </c>
      <c r="D95" s="5">
        <v>22541</v>
      </c>
      <c r="E95" s="5">
        <v>258053</v>
      </c>
      <c r="F95" s="5">
        <v>0</v>
      </c>
      <c r="G95" s="5">
        <v>303783</v>
      </c>
      <c r="H95" s="5">
        <v>257186</v>
      </c>
      <c r="I95" s="5">
        <v>0</v>
      </c>
      <c r="J95" s="5">
        <v>363239</v>
      </c>
      <c r="K95" s="5">
        <v>783369</v>
      </c>
      <c r="L95" s="5">
        <v>1690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189000</v>
      </c>
      <c r="S95" s="5">
        <v>0</v>
      </c>
      <c r="T95" s="5">
        <v>196515</v>
      </c>
      <c r="U95" s="5">
        <v>8820</v>
      </c>
      <c r="V95" s="5">
        <v>65676</v>
      </c>
      <c r="W95" s="5">
        <v>92640</v>
      </c>
      <c r="X95" s="5">
        <v>87588</v>
      </c>
      <c r="Y95" s="5">
        <v>41850</v>
      </c>
      <c r="Z95" s="5">
        <v>246050</v>
      </c>
      <c r="AA95" s="5">
        <v>0</v>
      </c>
      <c r="AB95" s="5">
        <v>136327</v>
      </c>
      <c r="AC95" s="5">
        <v>399226</v>
      </c>
      <c r="AD95" s="5">
        <v>8384</v>
      </c>
      <c r="AE95" s="5">
        <v>337233</v>
      </c>
      <c r="AF95" s="5">
        <v>0</v>
      </c>
      <c r="AG95" s="5">
        <v>357505</v>
      </c>
      <c r="AH95" s="5">
        <v>34522</v>
      </c>
      <c r="AI95" s="5">
        <v>50755</v>
      </c>
      <c r="AJ95" s="5">
        <v>113783</v>
      </c>
      <c r="AK95" s="5">
        <v>0</v>
      </c>
      <c r="AL95" s="5">
        <v>36299</v>
      </c>
      <c r="AM95" s="5">
        <v>0</v>
      </c>
      <c r="AN95" s="5">
        <v>229798</v>
      </c>
      <c r="AO95" s="5">
        <v>0</v>
      </c>
      <c r="AP95" s="5">
        <v>0</v>
      </c>
      <c r="AQ95" s="5">
        <v>299619</v>
      </c>
      <c r="AR95" s="5">
        <v>48058</v>
      </c>
      <c r="AS95" s="5">
        <v>100992</v>
      </c>
      <c r="AT95" s="5">
        <v>0</v>
      </c>
      <c r="AU95" s="5">
        <v>100341.5</v>
      </c>
      <c r="AV95" s="5">
        <v>94426.5</v>
      </c>
      <c r="AW95" s="5">
        <v>46482</v>
      </c>
      <c r="AX95" s="5">
        <v>0</v>
      </c>
      <c r="AY95" s="5">
        <v>0</v>
      </c>
      <c r="AZ95" s="5">
        <v>386852</v>
      </c>
      <c r="BA95" s="5">
        <v>32768</v>
      </c>
      <c r="BB95" s="5">
        <v>359642</v>
      </c>
      <c r="BC95" s="5">
        <v>125809</v>
      </c>
      <c r="BD95" s="5">
        <v>6216822</v>
      </c>
      <c r="BE95">
        <v>0</v>
      </c>
      <c r="BF95" s="526">
        <f t="shared" si="1"/>
        <v>6216822</v>
      </c>
    </row>
    <row r="96" spans="1:58" ht="15" customHeight="1" x14ac:dyDescent="0.35">
      <c r="A96" s="3" t="s">
        <v>201</v>
      </c>
      <c r="B96" s="4" t="s">
        <v>202</v>
      </c>
      <c r="C96" s="4" t="str">
        <f>VLOOKUP(A96,'TB Apr 24'!$A$11:$D$103,4,0)</f>
        <v>Food and Beverage Cost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1045</v>
      </c>
      <c r="S96" s="5">
        <v>32645</v>
      </c>
      <c r="T96" s="5">
        <v>3871</v>
      </c>
      <c r="U96" s="5">
        <v>8718</v>
      </c>
      <c r="V96" s="5">
        <v>0</v>
      </c>
      <c r="W96" s="5">
        <v>0</v>
      </c>
      <c r="X96" s="5">
        <v>0</v>
      </c>
      <c r="Y96" s="5">
        <v>2720</v>
      </c>
      <c r="Z96" s="5">
        <v>0</v>
      </c>
      <c r="AA96" s="5">
        <v>0</v>
      </c>
      <c r="AB96" s="5">
        <v>3402</v>
      </c>
      <c r="AC96" s="5">
        <v>640</v>
      </c>
      <c r="AD96" s="5">
        <v>1930</v>
      </c>
      <c r="AE96" s="5">
        <v>1280</v>
      </c>
      <c r="AF96" s="5">
        <v>0</v>
      </c>
      <c r="AG96" s="5">
        <v>0</v>
      </c>
      <c r="AH96" s="5">
        <v>2330</v>
      </c>
      <c r="AI96" s="5">
        <v>608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6975</v>
      </c>
      <c r="AR96" s="5">
        <v>0</v>
      </c>
      <c r="AS96" s="5">
        <v>0</v>
      </c>
      <c r="AT96" s="5">
        <v>0</v>
      </c>
      <c r="AU96" s="5">
        <v>4725</v>
      </c>
      <c r="AV96" s="5">
        <v>4725</v>
      </c>
      <c r="AW96" s="5">
        <v>1730</v>
      </c>
      <c r="AX96" s="5">
        <v>0</v>
      </c>
      <c r="AY96" s="5">
        <v>0</v>
      </c>
      <c r="AZ96" s="5">
        <v>3210</v>
      </c>
      <c r="BA96" s="5">
        <v>0</v>
      </c>
      <c r="BB96" s="5">
        <v>5873</v>
      </c>
      <c r="BC96" s="5">
        <v>0</v>
      </c>
      <c r="BD96" s="5">
        <v>86427</v>
      </c>
      <c r="BE96">
        <v>0</v>
      </c>
      <c r="BF96" s="526">
        <f t="shared" si="1"/>
        <v>86427</v>
      </c>
    </row>
    <row r="97" spans="1:58" ht="15" customHeight="1" x14ac:dyDescent="0.35">
      <c r="A97" s="3" t="s">
        <v>203</v>
      </c>
      <c r="B97" s="4" t="s">
        <v>204</v>
      </c>
      <c r="C97" s="4" t="str">
        <f>VLOOKUP(A97,'TB Apr 24'!$A$11:$D$103,4,0)</f>
        <v>Liquor Cost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123375</v>
      </c>
      <c r="J97" s="5">
        <v>123375</v>
      </c>
      <c r="K97" s="5">
        <v>0</v>
      </c>
      <c r="L97" s="5">
        <v>129471</v>
      </c>
      <c r="M97" s="5">
        <v>123375</v>
      </c>
      <c r="N97" s="5">
        <v>780661.38</v>
      </c>
      <c r="O97" s="5">
        <v>0</v>
      </c>
      <c r="P97" s="5">
        <v>0</v>
      </c>
      <c r="Q97" s="5">
        <v>0</v>
      </c>
      <c r="R97" s="5">
        <v>530191.5</v>
      </c>
      <c r="S97" s="5">
        <v>0</v>
      </c>
      <c r="T97" s="5">
        <v>192814</v>
      </c>
      <c r="U97" s="5">
        <v>0</v>
      </c>
      <c r="V97" s="5">
        <v>-183945</v>
      </c>
      <c r="W97" s="5">
        <v>-311989</v>
      </c>
      <c r="X97" s="5">
        <v>-20137</v>
      </c>
      <c r="Y97" s="5">
        <v>17775</v>
      </c>
      <c r="Z97" s="5">
        <v>2821</v>
      </c>
      <c r="AA97" s="5">
        <v>0</v>
      </c>
      <c r="AB97" s="5">
        <v>542937</v>
      </c>
      <c r="AC97" s="5">
        <v>-44699</v>
      </c>
      <c r="AD97" s="5">
        <v>0</v>
      </c>
      <c r="AE97" s="5">
        <v>-27328</v>
      </c>
      <c r="AF97" s="5">
        <v>0</v>
      </c>
      <c r="AG97" s="5">
        <v>-22874</v>
      </c>
      <c r="AH97" s="5">
        <v>175000</v>
      </c>
      <c r="AI97" s="5">
        <v>624752</v>
      </c>
      <c r="AJ97" s="5">
        <v>0</v>
      </c>
      <c r="AK97" s="5">
        <v>0</v>
      </c>
      <c r="AL97" s="5">
        <v>0</v>
      </c>
      <c r="AM97" s="5">
        <v>180</v>
      </c>
      <c r="AN97" s="5">
        <v>1678817</v>
      </c>
      <c r="AO97" s="5">
        <v>0</v>
      </c>
      <c r="AP97" s="5">
        <v>0</v>
      </c>
      <c r="AQ97" s="5">
        <v>-8710</v>
      </c>
      <c r="AR97" s="5">
        <v>143460</v>
      </c>
      <c r="AS97" s="5">
        <v>65491</v>
      </c>
      <c r="AT97" s="5">
        <v>0</v>
      </c>
      <c r="AU97" s="5">
        <v>177202.5</v>
      </c>
      <c r="AV97" s="5">
        <v>132929.5</v>
      </c>
      <c r="AW97" s="5">
        <v>0</v>
      </c>
      <c r="AX97" s="5">
        <v>0</v>
      </c>
      <c r="AY97" s="5">
        <v>0</v>
      </c>
      <c r="AZ97" s="5">
        <v>-733379</v>
      </c>
      <c r="BA97" s="5">
        <v>0</v>
      </c>
      <c r="BB97" s="5">
        <v>-487378</v>
      </c>
      <c r="BC97" s="5">
        <v>0</v>
      </c>
      <c r="BD97" s="5">
        <v>3724188.88</v>
      </c>
      <c r="BE97">
        <v>3724188.693835997</v>
      </c>
      <c r="BF97">
        <f t="shared" si="1"/>
        <v>0.1861640028655529</v>
      </c>
    </row>
    <row r="98" spans="1:58" ht="15" customHeight="1" x14ac:dyDescent="0.35">
      <c r="A98" s="3" t="s">
        <v>205</v>
      </c>
      <c r="B98" s="6" t="s">
        <v>206</v>
      </c>
      <c r="C98" s="4" t="str">
        <f>VLOOKUP(A98,'TB Apr 24'!$A$11:$D$103,4,0)</f>
        <v>Other Operational Expenses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11.8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11.8</v>
      </c>
      <c r="BE98">
        <v>11.8</v>
      </c>
      <c r="BF98">
        <f t="shared" si="1"/>
        <v>0</v>
      </c>
    </row>
    <row r="99" spans="1:58" ht="15" customHeight="1" x14ac:dyDescent="0.35">
      <c r="A99" s="3"/>
      <c r="B99" s="8" t="s">
        <v>56</v>
      </c>
      <c r="C99" s="8"/>
      <c r="D99" s="9">
        <f>SUBTOTAL(9,D7:D98)</f>
        <v>-248839.50000000023</v>
      </c>
      <c r="E99" s="9">
        <f t="shared" ref="E99:BD99" si="2">SUBTOTAL(9,E7:E98)</f>
        <v>115306.19000000018</v>
      </c>
      <c r="F99" s="9">
        <f t="shared" si="2"/>
        <v>2318133</v>
      </c>
      <c r="G99" s="9">
        <f t="shared" si="2"/>
        <v>-862581.87000000011</v>
      </c>
      <c r="H99" s="9">
        <f t="shared" si="2"/>
        <v>73623.360000000219</v>
      </c>
      <c r="I99" s="9">
        <f t="shared" si="2"/>
        <v>-1440397.73</v>
      </c>
      <c r="J99" s="9">
        <f t="shared" si="2"/>
        <v>-2009250.6899999995</v>
      </c>
      <c r="K99" s="9">
        <f t="shared" si="2"/>
        <v>5689679</v>
      </c>
      <c r="L99" s="9">
        <f t="shared" si="2"/>
        <v>-2506643.1500000004</v>
      </c>
      <c r="M99" s="9">
        <f t="shared" si="2"/>
        <v>-1848126.8000000007</v>
      </c>
      <c r="N99" s="9">
        <f t="shared" si="2"/>
        <v>19126286.800000001</v>
      </c>
      <c r="O99" s="9">
        <f t="shared" si="2"/>
        <v>0</v>
      </c>
      <c r="P99" s="9">
        <f t="shared" si="2"/>
        <v>2130626</v>
      </c>
      <c r="Q99" s="9">
        <f t="shared" si="2"/>
        <v>-1688783.0099999998</v>
      </c>
      <c r="R99" s="9">
        <f t="shared" si="2"/>
        <v>-269302.25</v>
      </c>
      <c r="S99" s="9">
        <f t="shared" si="2"/>
        <v>-209205.88</v>
      </c>
      <c r="T99" s="9">
        <f t="shared" si="2"/>
        <v>-1344798.7199999997</v>
      </c>
      <c r="U99" s="9">
        <f t="shared" si="2"/>
        <v>2196589</v>
      </c>
      <c r="V99" s="9">
        <f t="shared" si="2"/>
        <v>-154356.35</v>
      </c>
      <c r="W99" s="9">
        <f t="shared" si="2"/>
        <v>-1132638.06</v>
      </c>
      <c r="X99" s="9">
        <f t="shared" si="2"/>
        <v>-722471.86999999976</v>
      </c>
      <c r="Y99" s="9">
        <f t="shared" si="2"/>
        <v>734421.31999999983</v>
      </c>
      <c r="Z99" s="9">
        <f t="shared" si="2"/>
        <v>1387685.1900000002</v>
      </c>
      <c r="AA99" s="9">
        <f t="shared" si="2"/>
        <v>-7432692</v>
      </c>
      <c r="AB99" s="9">
        <f t="shared" si="2"/>
        <v>928525.79999999935</v>
      </c>
      <c r="AC99" s="9">
        <f t="shared" si="2"/>
        <v>852341.99999999977</v>
      </c>
      <c r="AD99" s="9">
        <f t="shared" si="2"/>
        <v>1720223.4199999997</v>
      </c>
      <c r="AE99" s="9">
        <f t="shared" si="2"/>
        <v>2137233.44</v>
      </c>
      <c r="AF99" s="9">
        <f t="shared" si="2"/>
        <v>11238.929999999818</v>
      </c>
      <c r="AG99" s="9">
        <f t="shared" si="2"/>
        <v>486294.05</v>
      </c>
      <c r="AH99" s="9">
        <f t="shared" si="2"/>
        <v>-1244503.1800000002</v>
      </c>
      <c r="AI99" s="9">
        <f t="shared" si="2"/>
        <v>-1550150.21</v>
      </c>
      <c r="AJ99" s="9">
        <f t="shared" si="2"/>
        <v>128426</v>
      </c>
      <c r="AK99" s="9">
        <f t="shared" si="2"/>
        <v>56863</v>
      </c>
      <c r="AL99" s="9">
        <f t="shared" si="2"/>
        <v>4588795</v>
      </c>
      <c r="AM99" s="9">
        <f t="shared" si="2"/>
        <v>180</v>
      </c>
      <c r="AN99" s="9">
        <f t="shared" si="2"/>
        <v>-1175438.1900000004</v>
      </c>
      <c r="AO99" s="9">
        <f t="shared" si="2"/>
        <v>-480327.1</v>
      </c>
      <c r="AP99" s="9">
        <f t="shared" si="2"/>
        <v>57505.5</v>
      </c>
      <c r="AQ99" s="9">
        <f t="shared" si="2"/>
        <v>-3059562.37</v>
      </c>
      <c r="AR99" s="9">
        <f t="shared" si="2"/>
        <v>-179937.82000000053</v>
      </c>
      <c r="AS99" s="9">
        <f t="shared" si="2"/>
        <v>-241653.7799999998</v>
      </c>
      <c r="AT99" s="9">
        <f t="shared" si="2"/>
        <v>2033903</v>
      </c>
      <c r="AU99" s="9">
        <f t="shared" si="2"/>
        <v>-393875.35000000009</v>
      </c>
      <c r="AV99" s="9">
        <f t="shared" si="2"/>
        <v>-640655.96</v>
      </c>
      <c r="AW99" s="9">
        <f t="shared" si="2"/>
        <v>175310.07000000007</v>
      </c>
      <c r="AX99" s="9">
        <f t="shared" si="2"/>
        <v>4389920</v>
      </c>
      <c r="AY99" s="9">
        <f t="shared" si="2"/>
        <v>-218779</v>
      </c>
      <c r="AZ99" s="9">
        <f t="shared" si="2"/>
        <v>-750812.4599999995</v>
      </c>
      <c r="BA99" s="9">
        <f t="shared" si="2"/>
        <v>645250.85000000009</v>
      </c>
      <c r="BB99" s="9">
        <f t="shared" si="2"/>
        <v>-1516146.83</v>
      </c>
      <c r="BC99" s="9">
        <f t="shared" si="2"/>
        <v>811726.59</v>
      </c>
      <c r="BD99" s="9">
        <f t="shared" si="2"/>
        <v>19474157.49000001</v>
      </c>
    </row>
    <row r="100" spans="1:58" x14ac:dyDescent="0.35">
      <c r="BD100" s="66">
        <f>SUM(BD7:BD98)</f>
        <v>19474157.49000001</v>
      </c>
    </row>
    <row r="101" spans="1:58" x14ac:dyDescent="0.35">
      <c r="BD101" s="5">
        <f>-'TB Apr 24'!BE105</f>
        <v>-18611943.112333115</v>
      </c>
    </row>
    <row r="102" spans="1:58" x14ac:dyDescent="0.35">
      <c r="BD102" s="66">
        <f>BD100+BD101</f>
        <v>862214.37766689435</v>
      </c>
    </row>
    <row r="104" spans="1:58" x14ac:dyDescent="0.35">
      <c r="D104">
        <v>17428.739999999991</v>
      </c>
    </row>
  </sheetData>
  <autoFilter ref="A6:BF102" xr:uid="{00000000-0009-0000-0000-000010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121"/>
  <sheetViews>
    <sheetView topLeftCell="A4" workbookViewId="0">
      <pane xSplit="3" ySplit="2" topLeftCell="H113" activePane="bottomRight" state="frozen"/>
      <selection activeCell="A4" sqref="A4"/>
      <selection pane="topRight" activeCell="D4" sqref="D4"/>
      <selection pane="bottomLeft" activeCell="A6" sqref="A6"/>
      <selection pane="bottomRight" activeCell="Q118" sqref="Q118"/>
    </sheetView>
  </sheetViews>
  <sheetFormatPr defaultRowHeight="14.5" x14ac:dyDescent="0.35"/>
  <cols>
    <col min="1" max="1" width="13.81640625" bestFit="1" customWidth="1"/>
    <col min="2" max="2" width="14.26953125" customWidth="1"/>
    <col min="3" max="3" width="19.7265625" customWidth="1"/>
    <col min="4" max="4" width="15.36328125" style="239" customWidth="1"/>
    <col min="5" max="5" width="14.54296875" style="239" customWidth="1"/>
    <col min="6" max="6" width="14.36328125" style="239" customWidth="1"/>
    <col min="7" max="7" width="13.36328125" style="239" customWidth="1"/>
    <col min="8" max="9" width="10.26953125" style="239" customWidth="1"/>
    <col min="10" max="10" width="13.453125" style="239" customWidth="1"/>
    <col min="11" max="11" width="15.36328125" style="239" customWidth="1"/>
    <col min="12" max="12" width="1.6328125" style="239" customWidth="1"/>
    <col min="13" max="14" width="15.453125" style="239" customWidth="1"/>
    <col min="15" max="15" width="1.6328125" style="239" customWidth="1"/>
    <col min="16" max="17" width="15.453125" style="239" customWidth="1"/>
    <col min="18" max="18" width="1.6328125" style="239" customWidth="1"/>
    <col min="19" max="19" width="15.453125" style="239" customWidth="1"/>
    <col min="20" max="20" width="13.453125" style="239" customWidth="1"/>
    <col min="21" max="21" width="2.08984375" style="239" hidden="1" customWidth="1"/>
    <col min="22" max="22" width="12.6328125" style="239" customWidth="1"/>
    <col min="23" max="23" width="2.1796875" customWidth="1"/>
    <col min="24" max="25" width="17" customWidth="1"/>
    <col min="26" max="26" width="19.81640625" style="239" bestFit="1" customWidth="1"/>
    <col min="27" max="27" width="22.7265625" customWidth="1"/>
    <col min="28" max="28" width="16.1796875" bestFit="1" customWidth="1"/>
    <col min="29" max="29" width="18" customWidth="1"/>
    <col min="30" max="33" width="18.54296875" customWidth="1"/>
  </cols>
  <sheetData>
    <row r="1" spans="1:33" x14ac:dyDescent="0.35">
      <c r="A1" s="46" t="s">
        <v>500</v>
      </c>
    </row>
    <row r="3" spans="1:33" ht="15" thickBot="1" x14ac:dyDescent="0.4"/>
    <row r="4" spans="1:33" ht="15" customHeight="1" thickBot="1" x14ac:dyDescent="0.4">
      <c r="A4" s="797" t="s">
        <v>501</v>
      </c>
      <c r="B4" s="799" t="s">
        <v>502</v>
      </c>
      <c r="C4" s="801" t="s">
        <v>503</v>
      </c>
      <c r="D4" s="803" t="s">
        <v>504</v>
      </c>
      <c r="E4" s="804"/>
      <c r="F4" s="804"/>
      <c r="G4" s="804"/>
      <c r="H4" s="804"/>
      <c r="I4" s="805"/>
      <c r="J4" s="806"/>
      <c r="K4" s="807" t="s">
        <v>56</v>
      </c>
      <c r="M4" s="239" t="s">
        <v>969</v>
      </c>
      <c r="P4" s="239" t="s">
        <v>970</v>
      </c>
      <c r="S4" s="794" t="s">
        <v>505</v>
      </c>
      <c r="T4" s="795"/>
      <c r="U4" s="796"/>
      <c r="V4" s="807" t="s">
        <v>286</v>
      </c>
      <c r="X4" s="811" t="s">
        <v>506</v>
      </c>
      <c r="Y4" s="807" t="s">
        <v>507</v>
      </c>
      <c r="Z4" s="813" t="s">
        <v>508</v>
      </c>
      <c r="AA4" s="797" t="s">
        <v>509</v>
      </c>
      <c r="AC4" s="809" t="s">
        <v>510</v>
      </c>
      <c r="AD4" s="809" t="s">
        <v>510</v>
      </c>
      <c r="AE4" s="809" t="s">
        <v>511</v>
      </c>
      <c r="AF4" s="809" t="s">
        <v>507</v>
      </c>
      <c r="AG4" s="809" t="s">
        <v>512</v>
      </c>
    </row>
    <row r="5" spans="1:33" ht="15" thickBot="1" x14ac:dyDescent="0.4">
      <c r="A5" s="798"/>
      <c r="B5" s="800"/>
      <c r="C5" s="802"/>
      <c r="D5" s="240" t="s">
        <v>513</v>
      </c>
      <c r="E5" s="241" t="s">
        <v>514</v>
      </c>
      <c r="F5" s="241" t="s">
        <v>70</v>
      </c>
      <c r="G5" s="241" t="s">
        <v>515</v>
      </c>
      <c r="H5" s="241" t="s">
        <v>516</v>
      </c>
      <c r="I5" s="242" t="s">
        <v>517</v>
      </c>
      <c r="J5" s="243" t="s">
        <v>518</v>
      </c>
      <c r="K5" s="808"/>
      <c r="M5" s="244" t="s">
        <v>550</v>
      </c>
      <c r="N5" s="244" t="s">
        <v>551</v>
      </c>
      <c r="P5" s="244" t="s">
        <v>550</v>
      </c>
      <c r="Q5" s="244" t="s">
        <v>551</v>
      </c>
      <c r="S5" s="244" t="s">
        <v>519</v>
      </c>
      <c r="T5" s="245" t="s">
        <v>70</v>
      </c>
      <c r="U5" s="246" t="s">
        <v>516</v>
      </c>
      <c r="V5" s="808"/>
      <c r="X5" s="812"/>
      <c r="Y5" s="808"/>
      <c r="Z5" s="814"/>
      <c r="AA5" s="815"/>
      <c r="AC5" s="810"/>
      <c r="AD5" s="810"/>
      <c r="AE5" s="810"/>
      <c r="AF5" s="810"/>
      <c r="AG5" s="810"/>
    </row>
    <row r="6" spans="1:33" x14ac:dyDescent="0.35">
      <c r="A6" s="247" t="s">
        <v>4</v>
      </c>
      <c r="B6" s="248" t="s">
        <v>520</v>
      </c>
      <c r="C6" s="249" t="s">
        <v>521</v>
      </c>
      <c r="D6" s="306">
        <v>828852.87</v>
      </c>
      <c r="E6" s="305">
        <v>176597.09</v>
      </c>
      <c r="F6" s="251">
        <v>0</v>
      </c>
      <c r="G6" s="305">
        <v>120165.39</v>
      </c>
      <c r="H6" s="251">
        <v>0</v>
      </c>
      <c r="I6" s="252">
        <v>0</v>
      </c>
      <c r="J6" s="331">
        <v>5641.62</v>
      </c>
      <c r="K6" s="253">
        <f>SUM(D6:J6)</f>
        <v>1131256.97</v>
      </c>
      <c r="M6" s="250">
        <f>V6*30%</f>
        <v>22754.55</v>
      </c>
      <c r="N6" s="307">
        <f>K6+M6</f>
        <v>1154011.52</v>
      </c>
      <c r="P6" s="250">
        <f>V6-M6</f>
        <v>53093.95</v>
      </c>
      <c r="Q6" s="307">
        <f>N6+P6</f>
        <v>1207105.47</v>
      </c>
      <c r="S6" s="250">
        <v>75848.5</v>
      </c>
      <c r="T6" s="250">
        <v>0</v>
      </c>
      <c r="U6" s="252"/>
      <c r="V6" s="254">
        <f>SUM(S6:U6)</f>
        <v>75848.5</v>
      </c>
      <c r="X6" s="255">
        <f>K6+V6</f>
        <v>1207105.47</v>
      </c>
      <c r="Y6" s="255">
        <f>+(X6/100000)</f>
        <v>12.071054699999999</v>
      </c>
      <c r="Z6" s="256">
        <v>11.88</v>
      </c>
      <c r="AA6" s="257">
        <f>+Y6-Z6</f>
        <v>0.19105469999999869</v>
      </c>
      <c r="AC6" s="255">
        <f>1131255.56+75847.71</f>
        <v>1207103.27</v>
      </c>
      <c r="AD6" s="255">
        <f>+(AC6/100000)</f>
        <v>12.0710327</v>
      </c>
      <c r="AE6" s="255">
        <f>+K6+V6</f>
        <v>1207105.47</v>
      </c>
      <c r="AF6" s="255">
        <f>+(AE6/100000)</f>
        <v>12.071054699999999</v>
      </c>
      <c r="AG6" s="255">
        <f>+AD6-AF6</f>
        <v>-2.1999999999522402E-5</v>
      </c>
    </row>
    <row r="7" spans="1:33" x14ac:dyDescent="0.35">
      <c r="A7" s="247" t="s">
        <v>5</v>
      </c>
      <c r="B7" s="258" t="s">
        <v>217</v>
      </c>
      <c r="C7" s="259" t="s">
        <v>521</v>
      </c>
      <c r="D7" s="250">
        <v>1085092.93</v>
      </c>
      <c r="E7" s="251">
        <v>168776.09</v>
      </c>
      <c r="F7" s="251">
        <v>0</v>
      </c>
      <c r="G7" s="251">
        <v>282436.05</v>
      </c>
      <c r="H7" s="251">
        <v>0</v>
      </c>
      <c r="I7" s="252">
        <v>0</v>
      </c>
      <c r="J7" s="254">
        <v>1725</v>
      </c>
      <c r="K7" s="253">
        <f>SUM(D7:J7)</f>
        <v>1538030.07</v>
      </c>
      <c r="M7" s="250">
        <f>V7*30%</f>
        <v>32495.927999999996</v>
      </c>
      <c r="N7" s="307">
        <f>K7+M7</f>
        <v>1570525.9980000001</v>
      </c>
      <c r="P7" s="250">
        <f t="shared" ref="P7:P49" si="0">V7-M7</f>
        <v>75823.831999999995</v>
      </c>
      <c r="Q7" s="307">
        <f>N7+P7</f>
        <v>1646349.83</v>
      </c>
      <c r="S7" s="250">
        <v>108319.76</v>
      </c>
      <c r="T7" s="250">
        <v>0</v>
      </c>
      <c r="U7" s="252"/>
      <c r="V7" s="254">
        <f>SUM(S7:U7)</f>
        <v>108319.76</v>
      </c>
      <c r="X7" s="255">
        <f>K7+V7</f>
        <v>1646349.83</v>
      </c>
      <c r="Y7" s="255">
        <f>+(X7/100000)</f>
        <v>16.463498300000001</v>
      </c>
      <c r="Z7" s="256">
        <v>16.27</v>
      </c>
      <c r="AA7" s="257">
        <f>+Y7-Z7</f>
        <v>0.19349830000000168</v>
      </c>
      <c r="AC7" s="255">
        <f>1538033.75+108318.47</f>
        <v>1646352.22</v>
      </c>
      <c r="AD7" s="255">
        <f t="shared" ref="AD7:AD18" si="1">+(AC7/100000)</f>
        <v>16.4635222</v>
      </c>
      <c r="AE7" s="255">
        <f>+K7+V7</f>
        <v>1646349.83</v>
      </c>
      <c r="AF7" s="255">
        <f>+(AE7/100000)</f>
        <v>16.463498300000001</v>
      </c>
      <c r="AG7" s="255">
        <f>+AD7-AF7</f>
        <v>2.3899999998633348E-5</v>
      </c>
    </row>
    <row r="8" spans="1:33" x14ac:dyDescent="0.35">
      <c r="A8" s="247" t="s">
        <v>7</v>
      </c>
      <c r="B8" s="258" t="s">
        <v>219</v>
      </c>
      <c r="C8" s="259" t="s">
        <v>521</v>
      </c>
      <c r="D8" s="250">
        <v>2326688.83</v>
      </c>
      <c r="E8" s="251">
        <v>404033.54</v>
      </c>
      <c r="F8" s="251">
        <v>0</v>
      </c>
      <c r="G8" s="251">
        <v>92001.55</v>
      </c>
      <c r="H8" s="251">
        <v>0</v>
      </c>
      <c r="I8" s="252">
        <v>0</v>
      </c>
      <c r="J8" s="254">
        <v>4551</v>
      </c>
      <c r="K8" s="253">
        <f>SUM(D8:J8)</f>
        <v>2827274.92</v>
      </c>
      <c r="M8" s="250">
        <f>V8*30%</f>
        <v>67508.264999999999</v>
      </c>
      <c r="N8" s="307">
        <f>K8+M8</f>
        <v>2894783.1850000001</v>
      </c>
      <c r="P8" s="250">
        <f t="shared" si="0"/>
        <v>157519.28499999997</v>
      </c>
      <c r="Q8" s="307">
        <f>N8+P8</f>
        <v>3052302.47</v>
      </c>
      <c r="S8" s="250">
        <v>225027.55</v>
      </c>
      <c r="T8" s="250">
        <v>0</v>
      </c>
      <c r="U8" s="252"/>
      <c r="V8" s="254">
        <f>SUM(S8:U8)</f>
        <v>225027.55</v>
      </c>
      <c r="X8" s="255">
        <f>K8+V8</f>
        <v>3052302.4699999997</v>
      </c>
      <c r="Y8" s="255">
        <f>+(X8/100000)</f>
        <v>30.523024699999997</v>
      </c>
      <c r="Z8" s="256">
        <v>30.09</v>
      </c>
      <c r="AA8" s="257">
        <f>+Y8-Z8</f>
        <v>0.43302469999999715</v>
      </c>
      <c r="AC8" s="255">
        <f>2827276.57+225027.06</f>
        <v>3052303.63</v>
      </c>
      <c r="AD8" s="255">
        <f t="shared" si="1"/>
        <v>30.523036299999998</v>
      </c>
      <c r="AE8" s="255">
        <f>+K8+V8</f>
        <v>3052302.4699999997</v>
      </c>
      <c r="AF8" s="255">
        <f>+(AE8/100000)</f>
        <v>30.523024699999997</v>
      </c>
      <c r="AG8" s="255">
        <f>+AD8-AF8</f>
        <v>1.160000000055561E-5</v>
      </c>
    </row>
    <row r="9" spans="1:33" ht="15" thickBot="1" x14ac:dyDescent="0.4">
      <c r="A9" s="260" t="s">
        <v>8</v>
      </c>
      <c r="B9" s="258" t="s">
        <v>220</v>
      </c>
      <c r="C9" s="259" t="s">
        <v>521</v>
      </c>
      <c r="D9" s="250">
        <v>381792.86</v>
      </c>
      <c r="E9" s="251">
        <v>69000.63</v>
      </c>
      <c r="F9" s="251">
        <v>0</v>
      </c>
      <c r="G9" s="251">
        <f>433081.29+12265.79</f>
        <v>445347.07999999996</v>
      </c>
      <c r="H9" s="251">
        <v>0</v>
      </c>
      <c r="I9" s="252">
        <v>0</v>
      </c>
      <c r="J9" s="254">
        <v>28393.48</v>
      </c>
      <c r="K9" s="253">
        <f>SUM(D9:J9)</f>
        <v>924534.04999999993</v>
      </c>
      <c r="M9" s="250">
        <f>V9*30%</f>
        <v>11263.370999999999</v>
      </c>
      <c r="N9" s="307">
        <f>K9+M9</f>
        <v>935797.42099999997</v>
      </c>
      <c r="P9" s="250">
        <f t="shared" si="0"/>
        <v>26281.199000000001</v>
      </c>
      <c r="Q9" s="307">
        <f>N9+P9</f>
        <v>962078.62</v>
      </c>
      <c r="S9" s="250">
        <v>37544.57</v>
      </c>
      <c r="T9" s="250">
        <v>0</v>
      </c>
      <c r="U9" s="252"/>
      <c r="V9" s="254">
        <f>SUM(S9:U9)</f>
        <v>37544.57</v>
      </c>
      <c r="X9" s="255">
        <f>K9+V9</f>
        <v>962078.61999999988</v>
      </c>
      <c r="Y9" s="255">
        <f>+(X9/100000)</f>
        <v>9.6207861999999995</v>
      </c>
      <c r="Z9" s="256">
        <v>9.64</v>
      </c>
      <c r="AA9" s="261">
        <f>+Y9-Z9</f>
        <v>-1.9213800000001058E-2</v>
      </c>
      <c r="AC9" s="255">
        <f>924531.26+37543.82</f>
        <v>962075.08</v>
      </c>
      <c r="AD9" s="255">
        <f t="shared" si="1"/>
        <v>9.6207507999999997</v>
      </c>
      <c r="AE9" s="255">
        <f>+K9+V9</f>
        <v>962078.61999999988</v>
      </c>
      <c r="AF9" s="255">
        <f>+(AE9/100000)</f>
        <v>9.6207861999999995</v>
      </c>
      <c r="AG9" s="255">
        <f>+AD9-AF9</f>
        <v>-3.5399999999796705E-5</v>
      </c>
    </row>
    <row r="10" spans="1:33" ht="15" thickBot="1" x14ac:dyDescent="0.4">
      <c r="A10" s="89"/>
      <c r="B10" s="262"/>
      <c r="C10" s="263" t="s">
        <v>522</v>
      </c>
      <c r="D10" s="264">
        <f>SUM(D6:D9)</f>
        <v>4622427.49</v>
      </c>
      <c r="E10" s="264">
        <f t="shared" ref="E10:K10" si="2">SUM(E6:E9)</f>
        <v>818407.35</v>
      </c>
      <c r="F10" s="264">
        <f t="shared" si="2"/>
        <v>0</v>
      </c>
      <c r="G10" s="264">
        <f t="shared" si="2"/>
        <v>939950.07</v>
      </c>
      <c r="H10" s="264">
        <f t="shared" si="2"/>
        <v>0</v>
      </c>
      <c r="I10" s="266">
        <f t="shared" si="2"/>
        <v>0</v>
      </c>
      <c r="J10" s="284">
        <f t="shared" si="2"/>
        <v>40311.1</v>
      </c>
      <c r="K10" s="328">
        <f t="shared" si="2"/>
        <v>6421096.0099999998</v>
      </c>
      <c r="M10" s="264">
        <f>SUM(M6:M9)</f>
        <v>134022.114</v>
      </c>
      <c r="N10" s="264">
        <f>SUM(N6:N9)</f>
        <v>6555118.1239999998</v>
      </c>
      <c r="P10" s="264">
        <f>SUM(P6:P9)</f>
        <v>312718.266</v>
      </c>
      <c r="Q10" s="264">
        <f>SUM(Q6:Q9)</f>
        <v>6867836.3899999997</v>
      </c>
      <c r="S10" s="264">
        <f>SUM(S6:S9)</f>
        <v>446740.38</v>
      </c>
      <c r="T10" s="264">
        <f>SUM(T6:T9)</f>
        <v>0</v>
      </c>
      <c r="U10" s="264">
        <f>SUM(U6:U9)</f>
        <v>0</v>
      </c>
      <c r="V10" s="264">
        <f>SUM(V6:V9)</f>
        <v>446740.38</v>
      </c>
      <c r="X10" s="265">
        <f>SUM(X6:X9)</f>
        <v>6867836.3899999997</v>
      </c>
      <c r="Y10" s="266">
        <f>SUM(Y6:Y9)</f>
        <v>68.678363899999994</v>
      </c>
      <c r="Z10" s="266">
        <f>SUM(Z6:Z9)</f>
        <v>67.88</v>
      </c>
      <c r="AA10" s="266">
        <f>SUM(AA6:AA9)</f>
        <v>0.79836389999999646</v>
      </c>
      <c r="AC10" s="266">
        <f>SUM(AC6:AC9)</f>
        <v>6867834.2000000002</v>
      </c>
      <c r="AD10" s="266">
        <f>SUM(AD6:AD9)</f>
        <v>68.678342000000001</v>
      </c>
      <c r="AE10" s="266">
        <f>SUM(AE6:AE9)</f>
        <v>6867836.3899999997</v>
      </c>
      <c r="AF10" s="266">
        <f>SUM(AF6:AF9)</f>
        <v>68.678363899999994</v>
      </c>
      <c r="AG10" s="266">
        <f>SUM(AG6:AG9)</f>
        <v>-2.1900000000130149E-5</v>
      </c>
    </row>
    <row r="11" spans="1:33" x14ac:dyDescent="0.35">
      <c r="A11" s="267" t="s">
        <v>25</v>
      </c>
      <c r="B11" s="258" t="s">
        <v>523</v>
      </c>
      <c r="C11" s="259" t="s">
        <v>524</v>
      </c>
      <c r="D11" s="250">
        <v>885707.8</v>
      </c>
      <c r="E11" s="251">
        <v>238327.7</v>
      </c>
      <c r="F11" s="251">
        <v>107628.5</v>
      </c>
      <c r="G11" s="251">
        <v>136727.46</v>
      </c>
      <c r="H11" s="251">
        <v>0</v>
      </c>
      <c r="I11" s="252">
        <v>0</v>
      </c>
      <c r="J11" s="254">
        <v>462.5</v>
      </c>
      <c r="K11" s="253">
        <f t="shared" ref="K11:K19" si="3">SUM(D11:J11)</f>
        <v>1368853.96</v>
      </c>
      <c r="M11" s="250">
        <f>V11*30%</f>
        <v>32246.43</v>
      </c>
      <c r="N11" s="307">
        <f>K11+M11</f>
        <v>1401100.39</v>
      </c>
      <c r="P11" s="250">
        <f t="shared" si="0"/>
        <v>75241.670000000013</v>
      </c>
      <c r="Q11" s="307">
        <f>N11+P11</f>
        <v>1476342.0599999998</v>
      </c>
      <c r="S11" s="250">
        <v>97660</v>
      </c>
      <c r="T11" s="250">
        <v>9828.1</v>
      </c>
      <c r="U11" s="252"/>
      <c r="V11" s="254">
        <f t="shared" ref="V11:V19" si="4">SUM(S11:U11)</f>
        <v>107488.1</v>
      </c>
      <c r="X11" s="255">
        <f t="shared" ref="X11:X19" si="5">K11+V11</f>
        <v>1476342.06</v>
      </c>
      <c r="Y11" s="255">
        <f t="shared" ref="Y11:Y19" si="6">+(X11/100000)</f>
        <v>14.7634206</v>
      </c>
      <c r="Z11" s="256">
        <v>14.76</v>
      </c>
      <c r="AA11" s="261">
        <f t="shared" ref="AA11:AA19" si="7">+Y11-Z11</f>
        <v>3.4206000000001069E-3</v>
      </c>
      <c r="AC11" s="255">
        <f>1368854.17+107488.21</f>
        <v>1476342.38</v>
      </c>
      <c r="AD11" s="255">
        <f t="shared" si="1"/>
        <v>14.763423799999998</v>
      </c>
      <c r="AE11" s="255">
        <f t="shared" ref="AE11:AE19" si="8">+K11+V11</f>
        <v>1476342.06</v>
      </c>
      <c r="AF11" s="255">
        <f t="shared" ref="AF11:AF19" si="9">+(AE11/100000)</f>
        <v>14.7634206</v>
      </c>
      <c r="AG11" s="255">
        <f t="shared" ref="AG11:AG19" si="10">+AD11-AF11</f>
        <v>3.1999999983156613E-6</v>
      </c>
    </row>
    <row r="12" spans="1:33" x14ac:dyDescent="0.35">
      <c r="A12" s="247" t="s">
        <v>26</v>
      </c>
      <c r="B12" s="258" t="s">
        <v>217</v>
      </c>
      <c r="C12" s="259" t="s">
        <v>524</v>
      </c>
      <c r="D12" s="250">
        <v>1365880.45</v>
      </c>
      <c r="E12" s="251">
        <v>213208.67</v>
      </c>
      <c r="F12" s="251"/>
      <c r="G12" s="251">
        <v>146149.63</v>
      </c>
      <c r="H12" s="251">
        <v>0</v>
      </c>
      <c r="I12" s="252">
        <v>0</v>
      </c>
      <c r="J12" s="254">
        <v>6446.16</v>
      </c>
      <c r="K12" s="253">
        <f t="shared" si="3"/>
        <v>1731684.91</v>
      </c>
      <c r="M12" s="250">
        <f>V12*30%</f>
        <v>41099.991000000002</v>
      </c>
      <c r="N12" s="250">
        <f>K12+M12</f>
        <v>1772784.9009999998</v>
      </c>
      <c r="P12" s="250">
        <f t="shared" si="0"/>
        <v>95899.978999999992</v>
      </c>
      <c r="Q12" s="250">
        <f>N12+P12</f>
        <v>1868684.88</v>
      </c>
      <c r="S12" s="250">
        <v>136999.97</v>
      </c>
      <c r="T12" s="250"/>
      <c r="U12" s="252"/>
      <c r="V12" s="254">
        <f t="shared" si="4"/>
        <v>136999.97</v>
      </c>
      <c r="X12" s="255">
        <f t="shared" si="5"/>
        <v>1868684.88</v>
      </c>
      <c r="Y12" s="255">
        <f t="shared" si="6"/>
        <v>18.6868488</v>
      </c>
      <c r="Z12" s="256">
        <v>18.690000000000001</v>
      </c>
      <c r="AA12" s="261">
        <f t="shared" si="7"/>
        <v>-3.1512000000013529E-3</v>
      </c>
      <c r="AC12" s="255">
        <f>1731707.16+136999.98</f>
        <v>1868707.14</v>
      </c>
      <c r="AD12" s="255">
        <f t="shared" si="1"/>
        <v>18.687071400000001</v>
      </c>
      <c r="AE12" s="255">
        <f t="shared" si="8"/>
        <v>1868684.88</v>
      </c>
      <c r="AF12" s="255">
        <f t="shared" si="9"/>
        <v>18.6868488</v>
      </c>
      <c r="AG12" s="255">
        <f t="shared" si="10"/>
        <v>2.2260000000073887E-4</v>
      </c>
    </row>
    <row r="13" spans="1:33" x14ac:dyDescent="0.35">
      <c r="A13" s="247" t="s">
        <v>28</v>
      </c>
      <c r="B13" s="258" t="s">
        <v>525</v>
      </c>
      <c r="C13" s="259" t="s">
        <v>524</v>
      </c>
      <c r="D13" s="250">
        <v>1882010.36</v>
      </c>
      <c r="E13" s="251">
        <v>314557.96999999997</v>
      </c>
      <c r="F13" s="251">
        <v>1158234.0900000001</v>
      </c>
      <c r="G13" s="251">
        <v>43298.54</v>
      </c>
      <c r="H13" s="251">
        <v>4657.5</v>
      </c>
      <c r="I13" s="252">
        <v>0</v>
      </c>
      <c r="J13" s="254">
        <v>1756.19</v>
      </c>
      <c r="K13" s="253">
        <f t="shared" si="3"/>
        <v>3404514.65</v>
      </c>
      <c r="M13" s="250">
        <f>V13*30%</f>
        <v>90293.078999999998</v>
      </c>
      <c r="N13" s="307">
        <f>K13+M13</f>
        <v>3494807.7289999998</v>
      </c>
      <c r="P13" s="250">
        <f t="shared" si="0"/>
        <v>210683.851</v>
      </c>
      <c r="Q13" s="307">
        <f>N13+P13</f>
        <v>3705491.5799999996</v>
      </c>
      <c r="S13" s="250">
        <v>198842.75</v>
      </c>
      <c r="T13" s="250">
        <v>102134.18</v>
      </c>
      <c r="U13" s="252"/>
      <c r="V13" s="254">
        <f t="shared" si="4"/>
        <v>300976.93</v>
      </c>
      <c r="X13" s="255">
        <f t="shared" si="5"/>
        <v>3705491.58</v>
      </c>
      <c r="Y13" s="255">
        <f t="shared" si="6"/>
        <v>37.054915800000003</v>
      </c>
      <c r="Z13" s="256">
        <v>37.06</v>
      </c>
      <c r="AA13" s="261">
        <f t="shared" si="7"/>
        <v>-5.084199999998873E-3</v>
      </c>
      <c r="AC13" s="255">
        <f>3404515.79+300976.93</f>
        <v>3705492.72</v>
      </c>
      <c r="AD13" s="255">
        <f t="shared" si="1"/>
        <v>37.054927200000002</v>
      </c>
      <c r="AE13" s="255">
        <f t="shared" si="8"/>
        <v>3705491.58</v>
      </c>
      <c r="AF13" s="255">
        <f t="shared" si="9"/>
        <v>37.054915800000003</v>
      </c>
      <c r="AG13" s="255">
        <f t="shared" si="10"/>
        <v>1.1399999998218391E-5</v>
      </c>
    </row>
    <row r="14" spans="1:33" x14ac:dyDescent="0.35">
      <c r="A14" s="247" t="s">
        <v>29</v>
      </c>
      <c r="B14" s="258" t="s">
        <v>225</v>
      </c>
      <c r="C14" s="259" t="s">
        <v>524</v>
      </c>
      <c r="D14" s="250">
        <v>2874874.73</v>
      </c>
      <c r="E14" s="251">
        <v>224420.77</v>
      </c>
      <c r="F14" s="251">
        <v>389327.25</v>
      </c>
      <c r="G14" s="251">
        <v>370749.76</v>
      </c>
      <c r="H14" s="251">
        <v>0</v>
      </c>
      <c r="I14" s="252">
        <v>0</v>
      </c>
      <c r="J14" s="254">
        <v>18601.84</v>
      </c>
      <c r="K14" s="253">
        <f t="shared" si="3"/>
        <v>3877974.3499999996</v>
      </c>
      <c r="M14" s="250">
        <f>V14*30%</f>
        <v>87632.717999999993</v>
      </c>
      <c r="N14" s="307">
        <f>K14+M14</f>
        <v>3965607.0679999995</v>
      </c>
      <c r="P14" s="250">
        <f t="shared" si="0"/>
        <v>204476.342</v>
      </c>
      <c r="Q14" s="307">
        <f>N14+P14</f>
        <v>4170083.4099999997</v>
      </c>
      <c r="S14" s="250">
        <v>257998.31</v>
      </c>
      <c r="T14" s="250">
        <v>34110.75</v>
      </c>
      <c r="U14" s="252"/>
      <c r="V14" s="254">
        <f t="shared" si="4"/>
        <v>292109.06</v>
      </c>
      <c r="X14" s="255">
        <f t="shared" si="5"/>
        <v>4170083.4099999997</v>
      </c>
      <c r="Y14" s="255">
        <f t="shared" si="6"/>
        <v>41.700834099999994</v>
      </c>
      <c r="Z14" s="256">
        <v>41.7</v>
      </c>
      <c r="AA14" s="261">
        <f t="shared" si="7"/>
        <v>8.340999999916221E-4</v>
      </c>
      <c r="AC14" s="255">
        <f>3877974.35+292109.06</f>
        <v>4170083.41</v>
      </c>
      <c r="AD14" s="255">
        <f t="shared" si="1"/>
        <v>41.700834100000002</v>
      </c>
      <c r="AE14" s="255">
        <f t="shared" si="8"/>
        <v>4170083.4099999997</v>
      </c>
      <c r="AF14" s="255">
        <f t="shared" si="9"/>
        <v>41.700834099999994</v>
      </c>
      <c r="AG14" s="255">
        <f t="shared" si="10"/>
        <v>0</v>
      </c>
    </row>
    <row r="15" spans="1:33" x14ac:dyDescent="0.35">
      <c r="A15" s="247" t="s">
        <v>30</v>
      </c>
      <c r="B15" s="258" t="s">
        <v>230</v>
      </c>
      <c r="C15" s="259" t="s">
        <v>524</v>
      </c>
      <c r="D15" s="250">
        <v>214062.9</v>
      </c>
      <c r="E15" s="251">
        <v>78345.8</v>
      </c>
      <c r="F15" s="251">
        <v>3318</v>
      </c>
      <c r="G15" s="251">
        <v>11655.42</v>
      </c>
      <c r="H15" s="251">
        <v>0</v>
      </c>
      <c r="I15" s="252">
        <v>0</v>
      </c>
      <c r="J15" s="254">
        <v>637.64</v>
      </c>
      <c r="K15" s="253">
        <f t="shared" si="3"/>
        <v>308019.76</v>
      </c>
      <c r="M15" s="250">
        <f>V15*30%</f>
        <v>6347.5439999999999</v>
      </c>
      <c r="N15" s="307">
        <f>K15+M15</f>
        <v>314367.304</v>
      </c>
      <c r="P15" s="250">
        <f t="shared" si="0"/>
        <v>14810.936</v>
      </c>
      <c r="Q15" s="307">
        <f>N15+P15</f>
        <v>329178.23999999999</v>
      </c>
      <c r="S15" s="250">
        <v>20920.48</v>
      </c>
      <c r="T15" s="250">
        <v>238</v>
      </c>
      <c r="U15" s="252"/>
      <c r="V15" s="254">
        <f t="shared" si="4"/>
        <v>21158.48</v>
      </c>
      <c r="X15" s="255">
        <f t="shared" si="5"/>
        <v>329178.23999999999</v>
      </c>
      <c r="Y15" s="255">
        <f t="shared" si="6"/>
        <v>3.2917823999999998</v>
      </c>
      <c r="Z15" s="256">
        <v>3.28</v>
      </c>
      <c r="AA15" s="261">
        <f t="shared" si="7"/>
        <v>1.1782399999999971E-2</v>
      </c>
      <c r="AC15" s="255">
        <f>307922.26+21148.73</f>
        <v>329070.99</v>
      </c>
      <c r="AD15" s="255">
        <f t="shared" si="1"/>
        <v>3.2907099</v>
      </c>
      <c r="AE15" s="255">
        <f t="shared" si="8"/>
        <v>329178.23999999999</v>
      </c>
      <c r="AF15" s="255">
        <f t="shared" si="9"/>
        <v>3.2917823999999998</v>
      </c>
      <c r="AG15" s="255">
        <f t="shared" si="10"/>
        <v>-1.0724999999998097E-3</v>
      </c>
    </row>
    <row r="16" spans="1:33" s="277" customFormat="1" x14ac:dyDescent="0.35">
      <c r="A16" s="268"/>
      <c r="B16" s="269" t="s">
        <v>219</v>
      </c>
      <c r="C16" s="270" t="s">
        <v>524</v>
      </c>
      <c r="D16" s="271">
        <v>0</v>
      </c>
      <c r="E16" s="271">
        <v>0</v>
      </c>
      <c r="F16" s="272">
        <v>0</v>
      </c>
      <c r="G16" s="272">
        <v>0</v>
      </c>
      <c r="H16" s="272">
        <v>0</v>
      </c>
      <c r="I16" s="275">
        <v>0</v>
      </c>
      <c r="J16" s="276">
        <v>0</v>
      </c>
      <c r="K16" s="273">
        <f t="shared" si="3"/>
        <v>0</v>
      </c>
      <c r="L16" s="274"/>
      <c r="M16" s="271">
        <v>0</v>
      </c>
      <c r="N16" s="271">
        <v>0</v>
      </c>
      <c r="O16" s="274"/>
      <c r="P16" s="271">
        <f t="shared" si="0"/>
        <v>0</v>
      </c>
      <c r="Q16" s="271">
        <v>0</v>
      </c>
      <c r="R16" s="274"/>
      <c r="S16" s="271">
        <v>0</v>
      </c>
      <c r="T16" s="271">
        <v>0</v>
      </c>
      <c r="U16" s="275"/>
      <c r="V16" s="276">
        <f t="shared" si="4"/>
        <v>0</v>
      </c>
      <c r="X16" s="278">
        <f t="shared" si="5"/>
        <v>0</v>
      </c>
      <c r="Y16" s="278">
        <f t="shared" si="6"/>
        <v>0</v>
      </c>
      <c r="Z16" s="279">
        <v>0</v>
      </c>
      <c r="AA16" s="279">
        <f t="shared" si="7"/>
        <v>0</v>
      </c>
      <c r="AB16" s="277" t="s">
        <v>526</v>
      </c>
      <c r="AC16" s="278"/>
      <c r="AD16" s="278">
        <f t="shared" si="1"/>
        <v>0</v>
      </c>
      <c r="AE16" s="278">
        <f t="shared" si="8"/>
        <v>0</v>
      </c>
      <c r="AF16" s="278">
        <f t="shared" si="9"/>
        <v>0</v>
      </c>
      <c r="AG16" s="278">
        <f t="shared" si="10"/>
        <v>0</v>
      </c>
    </row>
    <row r="17" spans="1:33" x14ac:dyDescent="0.35">
      <c r="A17" s="247" t="s">
        <v>31</v>
      </c>
      <c r="B17" s="258" t="s">
        <v>231</v>
      </c>
      <c r="C17" s="259" t="s">
        <v>524</v>
      </c>
      <c r="D17" s="250">
        <v>1287772.48</v>
      </c>
      <c r="E17" s="251">
        <v>103445.98</v>
      </c>
      <c r="F17" s="251">
        <v>468601.3</v>
      </c>
      <c r="G17" s="251">
        <v>45763.99</v>
      </c>
      <c r="H17" s="251">
        <v>0</v>
      </c>
      <c r="I17" s="252">
        <v>0</v>
      </c>
      <c r="J17" s="254">
        <v>1923.6</v>
      </c>
      <c r="K17" s="253">
        <f t="shared" si="3"/>
        <v>1907507.35</v>
      </c>
      <c r="M17" s="250">
        <f>V17*30%</f>
        <v>52865.189999999995</v>
      </c>
      <c r="N17" s="307">
        <f>K17+M17</f>
        <v>1960372.54</v>
      </c>
      <c r="P17" s="250">
        <f t="shared" si="0"/>
        <v>123352.10999999999</v>
      </c>
      <c r="Q17" s="307">
        <f>N17+P17</f>
        <v>2083724.65</v>
      </c>
      <c r="S17" s="250">
        <v>130431.42</v>
      </c>
      <c r="T17" s="250">
        <v>45785.88</v>
      </c>
      <c r="U17" s="252"/>
      <c r="V17" s="254">
        <f t="shared" si="4"/>
        <v>176217.3</v>
      </c>
      <c r="X17" s="255">
        <f t="shared" si="5"/>
        <v>2083724.6500000001</v>
      </c>
      <c r="Y17" s="255">
        <f t="shared" si="6"/>
        <v>20.837246500000003</v>
      </c>
      <c r="Z17" s="256">
        <v>20.84</v>
      </c>
      <c r="AA17" s="261">
        <f t="shared" si="7"/>
        <v>-2.7534999999971888E-3</v>
      </c>
      <c r="AC17" s="255">
        <f>1907506.35+176217.75</f>
        <v>2083724.1</v>
      </c>
      <c r="AD17" s="255">
        <f t="shared" si="1"/>
        <v>20.837241000000002</v>
      </c>
      <c r="AE17" s="255">
        <f t="shared" si="8"/>
        <v>2083724.6500000001</v>
      </c>
      <c r="AF17" s="255">
        <f t="shared" si="9"/>
        <v>20.837246500000003</v>
      </c>
      <c r="AG17" s="255">
        <f t="shared" si="10"/>
        <v>-5.5000000003246896E-6</v>
      </c>
    </row>
    <row r="18" spans="1:33" x14ac:dyDescent="0.35">
      <c r="A18" s="247" t="s">
        <v>32</v>
      </c>
      <c r="B18" s="258" t="s">
        <v>232</v>
      </c>
      <c r="C18" s="259" t="s">
        <v>524</v>
      </c>
      <c r="D18" s="250">
        <v>1226354.92</v>
      </c>
      <c r="E18" s="251">
        <v>169331.98</v>
      </c>
      <c r="F18" s="251"/>
      <c r="G18" s="251">
        <v>90101.28</v>
      </c>
      <c r="H18" s="251">
        <v>0</v>
      </c>
      <c r="I18" s="252">
        <v>0</v>
      </c>
      <c r="J18" s="254">
        <v>5049.78</v>
      </c>
      <c r="K18" s="253">
        <f t="shared" si="3"/>
        <v>1490837.96</v>
      </c>
      <c r="M18" s="250">
        <f>V18*30%</f>
        <v>34217.786999999997</v>
      </c>
      <c r="N18" s="307">
        <f>K18+M18</f>
        <v>1525055.747</v>
      </c>
      <c r="P18" s="250">
        <f t="shared" si="0"/>
        <v>79841.502999999997</v>
      </c>
      <c r="Q18" s="307">
        <f>N18+P18</f>
        <v>1604897.25</v>
      </c>
      <c r="S18" s="250">
        <v>114059.29</v>
      </c>
      <c r="T18" s="250">
        <v>0</v>
      </c>
      <c r="U18" s="252"/>
      <c r="V18" s="254">
        <f t="shared" si="4"/>
        <v>114059.29</v>
      </c>
      <c r="X18" s="255">
        <f t="shared" si="5"/>
        <v>1604897.25</v>
      </c>
      <c r="Y18" s="255">
        <f t="shared" si="6"/>
        <v>16.048972500000001</v>
      </c>
      <c r="Z18" s="256">
        <v>16.05</v>
      </c>
      <c r="AA18" s="261">
        <f t="shared" si="7"/>
        <v>-1.0274999999992929E-3</v>
      </c>
      <c r="AC18" s="255">
        <f>1490837.96+114009.32</f>
        <v>1604847.28</v>
      </c>
      <c r="AD18" s="255">
        <f t="shared" si="1"/>
        <v>16.048472799999999</v>
      </c>
      <c r="AE18" s="255">
        <f t="shared" si="8"/>
        <v>1604897.25</v>
      </c>
      <c r="AF18" s="255">
        <f t="shared" si="9"/>
        <v>16.048972500000001</v>
      </c>
      <c r="AG18" s="255">
        <f t="shared" si="10"/>
        <v>-4.9970000000243431E-4</v>
      </c>
    </row>
    <row r="19" spans="1:33" ht="15" thickBot="1" x14ac:dyDescent="0.4">
      <c r="A19" s="260" t="s">
        <v>33</v>
      </c>
      <c r="B19" s="258" t="s">
        <v>220</v>
      </c>
      <c r="C19" s="259" t="s">
        <v>524</v>
      </c>
      <c r="D19" s="250">
        <v>678314.5</v>
      </c>
      <c r="E19" s="251">
        <v>125558.47</v>
      </c>
      <c r="F19" s="251">
        <v>324707.21000000002</v>
      </c>
      <c r="G19" s="251">
        <v>588490.54</v>
      </c>
      <c r="H19" s="251">
        <v>0</v>
      </c>
      <c r="I19" s="252">
        <v>0</v>
      </c>
      <c r="J19" s="254">
        <v>30965.86</v>
      </c>
      <c r="K19" s="253">
        <f t="shared" si="3"/>
        <v>1748036.58</v>
      </c>
      <c r="M19" s="250">
        <f>V19*30%</f>
        <v>27582.123</v>
      </c>
      <c r="N19" s="307">
        <f>K19+M19</f>
        <v>1775618.703</v>
      </c>
      <c r="P19" s="250">
        <f t="shared" si="0"/>
        <v>64358.287000000004</v>
      </c>
      <c r="Q19" s="307">
        <f>N19+P19</f>
        <v>1839976.99</v>
      </c>
      <c r="S19" s="250">
        <v>64127.91</v>
      </c>
      <c r="T19" s="250">
        <v>27812.5</v>
      </c>
      <c r="U19" s="252"/>
      <c r="V19" s="254">
        <f t="shared" si="4"/>
        <v>91940.41</v>
      </c>
      <c r="X19" s="255">
        <f t="shared" si="5"/>
        <v>1839976.99</v>
      </c>
      <c r="Y19" s="255">
        <f t="shared" si="6"/>
        <v>18.399769899999999</v>
      </c>
      <c r="Z19" s="256">
        <v>18.41</v>
      </c>
      <c r="AA19" s="261">
        <f t="shared" si="7"/>
        <v>-1.023010000000113E-2</v>
      </c>
      <c r="AC19" s="255">
        <f>1748051.44+91925.63</f>
        <v>1839977.0699999998</v>
      </c>
      <c r="AD19" s="255">
        <f>+(AC19/100000)</f>
        <v>18.399770699999998</v>
      </c>
      <c r="AE19" s="255">
        <f t="shared" si="8"/>
        <v>1839976.99</v>
      </c>
      <c r="AF19" s="255">
        <f t="shared" si="9"/>
        <v>18.399769899999999</v>
      </c>
      <c r="AG19" s="255">
        <f t="shared" si="10"/>
        <v>7.999999986907369E-7</v>
      </c>
    </row>
    <row r="20" spans="1:33" ht="15" thickBot="1" x14ac:dyDescent="0.4">
      <c r="A20" s="89"/>
      <c r="B20" s="262"/>
      <c r="C20" s="263" t="s">
        <v>527</v>
      </c>
      <c r="D20" s="264">
        <f>SUM(D11:D19)</f>
        <v>10414978.140000001</v>
      </c>
      <c r="E20" s="264">
        <f t="shared" ref="E20:K20" si="11">SUM(E11:E19)</f>
        <v>1467197.3399999999</v>
      </c>
      <c r="F20" s="264">
        <f t="shared" si="11"/>
        <v>2451816.35</v>
      </c>
      <c r="G20" s="264">
        <f t="shared" si="11"/>
        <v>1432936.62</v>
      </c>
      <c r="H20" s="264">
        <f t="shared" si="11"/>
        <v>4657.5</v>
      </c>
      <c r="I20" s="266">
        <f t="shared" si="11"/>
        <v>0</v>
      </c>
      <c r="J20" s="284">
        <f t="shared" si="11"/>
        <v>65843.570000000007</v>
      </c>
      <c r="K20" s="328">
        <f t="shared" si="11"/>
        <v>15837429.519999998</v>
      </c>
      <c r="M20" s="264">
        <f>SUM(M11:M19)</f>
        <v>372284.86200000002</v>
      </c>
      <c r="N20" s="264">
        <f>SUM(N11:N19)</f>
        <v>16209714.381999999</v>
      </c>
      <c r="P20" s="264">
        <f>SUM(P11:P19)</f>
        <v>868664.67799999996</v>
      </c>
      <c r="Q20" s="264">
        <f>SUM(Q11:Q19)</f>
        <v>17078379.059999999</v>
      </c>
      <c r="S20" s="264">
        <f>SUM(S11:S19)</f>
        <v>1021040.1300000001</v>
      </c>
      <c r="T20" s="264">
        <f>SUM(T11:T19)</f>
        <v>219909.41</v>
      </c>
      <c r="U20" s="264">
        <f>SUM(U11:U19)</f>
        <v>0</v>
      </c>
      <c r="V20" s="264">
        <f>SUM(V11:V19)</f>
        <v>1240949.54</v>
      </c>
      <c r="X20" s="265">
        <f>SUM(X11:X19)</f>
        <v>17078379.059999999</v>
      </c>
      <c r="Y20" s="265">
        <f>SUM(Y11:Y19)</f>
        <v>170.78379059999997</v>
      </c>
      <c r="Z20" s="265">
        <f>SUM(Z11:Z19)</f>
        <v>170.79000000000002</v>
      </c>
      <c r="AA20" s="265">
        <f>SUM(AA11:AA19)</f>
        <v>-6.2094000000061378E-3</v>
      </c>
      <c r="AC20" s="265">
        <f>SUM(AC11:AC19)</f>
        <v>17078245.09</v>
      </c>
      <c r="AD20" s="265">
        <f>SUM(AD11:AD19)</f>
        <v>170.78245089999999</v>
      </c>
      <c r="AE20" s="265">
        <f>SUM(AE11:AE19)</f>
        <v>17078379.059999999</v>
      </c>
      <c r="AF20" s="265">
        <f>SUM(AF11:AF19)</f>
        <v>170.78379059999997</v>
      </c>
      <c r="AG20" s="265">
        <f>SUM(AG11:AG19)</f>
        <v>-1.3397000000066051E-3</v>
      </c>
    </row>
    <row r="21" spans="1:33" x14ac:dyDescent="0.35">
      <c r="A21" s="267" t="s">
        <v>22</v>
      </c>
      <c r="B21" s="258" t="s">
        <v>525</v>
      </c>
      <c r="C21" s="259" t="s">
        <v>528</v>
      </c>
      <c r="D21" s="250">
        <f>553594.43-19500</f>
        <v>534094.43000000005</v>
      </c>
      <c r="E21" s="251">
        <v>164228.06</v>
      </c>
      <c r="F21" s="251">
        <v>297235.34000000003</v>
      </c>
      <c r="G21" s="251">
        <v>7364</v>
      </c>
      <c r="H21" s="251">
        <v>0</v>
      </c>
      <c r="I21" s="252">
        <v>0</v>
      </c>
      <c r="J21" s="254">
        <v>363.89</v>
      </c>
      <c r="K21" s="253">
        <f>SUM(D21:J21)</f>
        <v>1003285.7200000001</v>
      </c>
      <c r="M21" s="250">
        <f>V21*30%</f>
        <v>23734.319999999996</v>
      </c>
      <c r="N21" s="307">
        <f>K21+M21</f>
        <v>1027020.04</v>
      </c>
      <c r="P21" s="250">
        <f t="shared" si="0"/>
        <v>55380.08</v>
      </c>
      <c r="Q21" s="307">
        <f>N21+P21</f>
        <v>1082400.1200000001</v>
      </c>
      <c r="S21" s="250">
        <f>58156.04</f>
        <v>58156.04</v>
      </c>
      <c r="T21" s="250">
        <v>20958.36</v>
      </c>
      <c r="U21" s="252"/>
      <c r="V21" s="254">
        <f>SUM(S21:U21)</f>
        <v>79114.399999999994</v>
      </c>
      <c r="X21" s="255">
        <f>K21+V21</f>
        <v>1082400.1200000001</v>
      </c>
      <c r="Y21" s="255">
        <f>+(X21/100000)</f>
        <v>10.824001200000001</v>
      </c>
      <c r="Z21" s="256">
        <v>10.82</v>
      </c>
      <c r="AA21" s="261">
        <f>+Y21-Z21</f>
        <v>4.0012000000011483E-3</v>
      </c>
      <c r="AC21" s="255">
        <f>1003284.38+79113.73</f>
        <v>1082398.1100000001</v>
      </c>
      <c r="AD21" s="255">
        <f t="shared" ref="AD21:AD49" si="12">+(AC21/100000)</f>
        <v>10.823981100000001</v>
      </c>
      <c r="AE21" s="255">
        <f>+K21+V21</f>
        <v>1082400.1200000001</v>
      </c>
      <c r="AF21" s="255">
        <f>+(AE21/100000)</f>
        <v>10.824001200000001</v>
      </c>
      <c r="AG21" s="255">
        <f>+AD21-AF21</f>
        <v>-2.0100000000411455E-5</v>
      </c>
    </row>
    <row r="22" spans="1:33" x14ac:dyDescent="0.35">
      <c r="A22" s="247" t="s">
        <v>23</v>
      </c>
      <c r="B22" s="258" t="s">
        <v>225</v>
      </c>
      <c r="C22" s="259" t="s">
        <v>528</v>
      </c>
      <c r="D22" s="250">
        <v>1128693.8999999999</v>
      </c>
      <c r="E22" s="251">
        <v>281762.88</v>
      </c>
      <c r="F22" s="251">
        <v>407270.57</v>
      </c>
      <c r="G22" s="251">
        <v>63316</v>
      </c>
      <c r="H22" s="251">
        <v>0</v>
      </c>
      <c r="I22" s="252">
        <v>0</v>
      </c>
      <c r="J22" s="254">
        <v>3189.8</v>
      </c>
      <c r="K22" s="253">
        <f>SUM(D22:J22)</f>
        <v>1884233.15</v>
      </c>
      <c r="M22" s="250">
        <f>V22*30%</f>
        <v>48517.821000000004</v>
      </c>
      <c r="N22" s="307">
        <f>K22+M22</f>
        <v>1932750.9709999999</v>
      </c>
      <c r="P22" s="250">
        <f t="shared" si="0"/>
        <v>113208.24900000001</v>
      </c>
      <c r="Q22" s="307">
        <f>N22+P22</f>
        <v>2045959.22</v>
      </c>
      <c r="S22" s="250">
        <v>128237.97</v>
      </c>
      <c r="T22" s="250">
        <v>33488.1</v>
      </c>
      <c r="U22" s="252"/>
      <c r="V22" s="254">
        <f>SUM(S22:U22)</f>
        <v>161726.07</v>
      </c>
      <c r="X22" s="255">
        <f>K22+V22</f>
        <v>2045959.22</v>
      </c>
      <c r="Y22" s="255">
        <f>+(X22/100000)</f>
        <v>20.459592199999999</v>
      </c>
      <c r="Z22" s="256">
        <v>20.46</v>
      </c>
      <c r="AA22" s="261">
        <f>+Y22-Z22</f>
        <v>-4.0780000000140149E-4</v>
      </c>
      <c r="AC22" s="255">
        <f>1884230.8+161725.61</f>
        <v>2045956.4100000001</v>
      </c>
      <c r="AD22" s="255">
        <f t="shared" si="12"/>
        <v>20.459564100000001</v>
      </c>
      <c r="AE22" s="255">
        <f>+K22+V22</f>
        <v>2045959.22</v>
      </c>
      <c r="AF22" s="255">
        <f>+(AE22/100000)</f>
        <v>20.459592199999999</v>
      </c>
      <c r="AG22" s="255">
        <f>+AD22-AF22</f>
        <v>-2.8099999997976965E-5</v>
      </c>
    </row>
    <row r="23" spans="1:33" ht="15" thickBot="1" x14ac:dyDescent="0.4">
      <c r="A23" s="260" t="s">
        <v>24</v>
      </c>
      <c r="B23" s="258" t="s">
        <v>219</v>
      </c>
      <c r="C23" s="259" t="s">
        <v>528</v>
      </c>
      <c r="D23" s="250">
        <v>1083881.42</v>
      </c>
      <c r="E23" s="251">
        <v>327717.46000000002</v>
      </c>
      <c r="F23" s="251">
        <v>158815.45000000001</v>
      </c>
      <c r="G23" s="251">
        <v>44565.47</v>
      </c>
      <c r="H23" s="251">
        <v>0</v>
      </c>
      <c r="I23" s="252">
        <v>0</v>
      </c>
      <c r="J23" s="254">
        <v>2312.71</v>
      </c>
      <c r="K23" s="253">
        <f>SUM(D23:J23)</f>
        <v>1617292.5099999998</v>
      </c>
      <c r="M23" s="250">
        <f>V23*30%</f>
        <v>43434.962999999996</v>
      </c>
      <c r="N23" s="307">
        <f>K23+M23</f>
        <v>1660727.4729999998</v>
      </c>
      <c r="P23" s="250">
        <f t="shared" si="0"/>
        <v>101348.247</v>
      </c>
      <c r="Q23" s="307">
        <f>N23+P23</f>
        <v>1762075.7199999997</v>
      </c>
      <c r="S23" s="250">
        <v>130304.51</v>
      </c>
      <c r="T23" s="250">
        <v>14478.7</v>
      </c>
      <c r="U23" s="252"/>
      <c r="V23" s="254">
        <f>SUM(S23:U23)</f>
        <v>144783.21</v>
      </c>
      <c r="X23" s="255">
        <f>K23+V23</f>
        <v>1762075.7199999997</v>
      </c>
      <c r="Y23" s="255">
        <f>+(X23/100000)</f>
        <v>17.620757199999996</v>
      </c>
      <c r="Z23" s="256">
        <v>17.64</v>
      </c>
      <c r="AA23" s="261">
        <f>+Y23-Z23</f>
        <v>-1.9242800000004223E-2</v>
      </c>
      <c r="AC23" s="255">
        <f>1617291.04+144782.04</f>
        <v>1762073.08</v>
      </c>
      <c r="AD23" s="255">
        <f t="shared" si="12"/>
        <v>17.6207308</v>
      </c>
      <c r="AE23" s="255">
        <f>+K23+V23</f>
        <v>1762075.7199999997</v>
      </c>
      <c r="AF23" s="255">
        <f>+(AE23/100000)</f>
        <v>17.620757199999996</v>
      </c>
      <c r="AG23" s="255">
        <f>+AD23-AF23</f>
        <v>-2.6399999995874168E-5</v>
      </c>
    </row>
    <row r="24" spans="1:33" ht="15" thickBot="1" x14ac:dyDescent="0.4">
      <c r="A24" s="89"/>
      <c r="B24" s="262"/>
      <c r="C24" s="263" t="s">
        <v>529</v>
      </c>
      <c r="D24" s="264">
        <f>SUM(D21:D23)</f>
        <v>2746669.75</v>
      </c>
      <c r="E24" s="264">
        <f t="shared" ref="E24:K24" si="13">SUM(E21:E23)</f>
        <v>773708.4</v>
      </c>
      <c r="F24" s="264">
        <f t="shared" si="13"/>
        <v>863321.3600000001</v>
      </c>
      <c r="G24" s="264">
        <f t="shared" si="13"/>
        <v>115245.47</v>
      </c>
      <c r="H24" s="264">
        <f t="shared" si="13"/>
        <v>0</v>
      </c>
      <c r="I24" s="266">
        <f t="shared" si="13"/>
        <v>0</v>
      </c>
      <c r="J24" s="284">
        <f t="shared" si="13"/>
        <v>5866.4</v>
      </c>
      <c r="K24" s="328">
        <f t="shared" si="13"/>
        <v>4504811.38</v>
      </c>
      <c r="M24" s="264">
        <f>SUM(M21:M23)</f>
        <v>115687.10399999999</v>
      </c>
      <c r="N24" s="264">
        <f>SUM(N21:N23)</f>
        <v>4620498.4839999992</v>
      </c>
      <c r="P24" s="264">
        <f>SUM(P21:P23)</f>
        <v>269936.576</v>
      </c>
      <c r="Q24" s="264">
        <f>SUM(Q21:Q23)</f>
        <v>4890435.0599999996</v>
      </c>
      <c r="S24" s="264">
        <f>SUM(S21:S23)</f>
        <v>316698.52</v>
      </c>
      <c r="T24" s="264">
        <f>SUM(T21:T23)</f>
        <v>68925.16</v>
      </c>
      <c r="U24" s="264">
        <f>SUM(U21:U23)</f>
        <v>0</v>
      </c>
      <c r="V24" s="264">
        <f>SUM(V21:V23)</f>
        <v>385623.68</v>
      </c>
      <c r="X24" s="265">
        <f>SUM(X21:X23)</f>
        <v>4890435.0599999996</v>
      </c>
      <c r="Y24" s="265">
        <f>SUM(Y21:Y23)</f>
        <v>48.904350600000001</v>
      </c>
      <c r="Z24" s="265">
        <f>SUM(Z21:Z23)</f>
        <v>48.92</v>
      </c>
      <c r="AA24" s="265">
        <f>SUM(AA21:AA23)</f>
        <v>-1.5649400000004476E-2</v>
      </c>
      <c r="AC24" s="265">
        <f>SUM(AC21:AC23)</f>
        <v>4890427.6000000006</v>
      </c>
      <c r="AD24" s="265">
        <f>SUBTOTAL(9,AD21:AD23)</f>
        <v>48.904276000000003</v>
      </c>
      <c r="AE24" s="265">
        <f>SUM(AE21:AE23)</f>
        <v>4890435.0599999996</v>
      </c>
      <c r="AF24" s="265">
        <f>SUM(AF21:AF23)</f>
        <v>48.904350600000001</v>
      </c>
      <c r="AG24" s="265">
        <f>SUM(AG21:AG23)</f>
        <v>-7.4599999994262589E-5</v>
      </c>
    </row>
    <row r="25" spans="1:33" x14ac:dyDescent="0.35">
      <c r="A25" s="72" t="s">
        <v>9</v>
      </c>
      <c r="B25" s="258" t="s">
        <v>530</v>
      </c>
      <c r="C25" s="259" t="s">
        <v>531</v>
      </c>
      <c r="D25" s="250">
        <v>1399369.58</v>
      </c>
      <c r="E25" s="251">
        <v>353862.42</v>
      </c>
      <c r="F25" s="251">
        <v>358723.56</v>
      </c>
      <c r="G25" s="251">
        <v>28431.07</v>
      </c>
      <c r="H25" s="251">
        <v>0</v>
      </c>
      <c r="I25" s="252">
        <v>0</v>
      </c>
      <c r="J25" s="254">
        <v>1420.84</v>
      </c>
      <c r="K25" s="253">
        <f>SUM(D25:J25)</f>
        <v>2141807.4699999997</v>
      </c>
      <c r="M25" s="250">
        <f>V25*30%</f>
        <v>54243.017999999996</v>
      </c>
      <c r="N25" s="307">
        <f>K25+M25</f>
        <v>2196050.4879999999</v>
      </c>
      <c r="P25" s="250">
        <f t="shared" si="0"/>
        <v>126567.042</v>
      </c>
      <c r="Q25" s="307">
        <f>N25+P25</f>
        <v>2322617.5299999998</v>
      </c>
      <c r="S25" s="250">
        <v>153942.10999999999</v>
      </c>
      <c r="T25" s="250">
        <v>26867.95</v>
      </c>
      <c r="U25" s="252"/>
      <c r="V25" s="254">
        <f>SUM(S25:U25)</f>
        <v>180810.06</v>
      </c>
      <c r="X25" s="255">
        <f>K25+V25</f>
        <v>2322617.5299999998</v>
      </c>
      <c r="Y25" s="255">
        <f>+(X25/100000)</f>
        <v>23.226175299999998</v>
      </c>
      <c r="Z25" s="256">
        <v>23.23</v>
      </c>
      <c r="AA25" s="261">
        <f>+Y25-Z25</f>
        <v>-3.8247000000026787E-3</v>
      </c>
      <c r="AC25" s="255">
        <f>2141807.46+180810.06</f>
        <v>2322617.52</v>
      </c>
      <c r="AD25" s="255">
        <f>+(AC25/100000)</f>
        <v>23.2261752</v>
      </c>
      <c r="AE25" s="255">
        <f>+K25+V25</f>
        <v>2322617.5299999998</v>
      </c>
      <c r="AF25" s="255">
        <f>+(AE25/100000)</f>
        <v>23.226175299999998</v>
      </c>
      <c r="AG25" s="255">
        <f>+AD25-AF25</f>
        <v>-9.9999997615896064E-8</v>
      </c>
    </row>
    <row r="26" spans="1:33" x14ac:dyDescent="0.35">
      <c r="A26" s="68" t="s">
        <v>10</v>
      </c>
      <c r="B26" s="258" t="s">
        <v>532</v>
      </c>
      <c r="C26" s="259" t="s">
        <v>531</v>
      </c>
      <c r="D26" s="250">
        <v>2106452.66</v>
      </c>
      <c r="E26" s="251">
        <v>351603.13</v>
      </c>
      <c r="F26" s="251">
        <v>594311.47</v>
      </c>
      <c r="G26" s="251">
        <v>60415.37</v>
      </c>
      <c r="H26" s="251">
        <v>0</v>
      </c>
      <c r="I26" s="252">
        <v>0</v>
      </c>
      <c r="J26" s="254">
        <v>1290.56</v>
      </c>
      <c r="K26" s="253">
        <f>SUM(D26:J26)</f>
        <v>3114073.19</v>
      </c>
      <c r="M26" s="250">
        <f>V26*30%</f>
        <v>75777.312000000005</v>
      </c>
      <c r="N26" s="307">
        <f>K26+M26</f>
        <v>3189850.5019999999</v>
      </c>
      <c r="P26" s="250">
        <f t="shared" si="0"/>
        <v>176813.728</v>
      </c>
      <c r="Q26" s="307">
        <f>N26+P26</f>
        <v>3366664.23</v>
      </c>
      <c r="S26" s="250">
        <v>205234.97</v>
      </c>
      <c r="T26" s="250">
        <v>47356.07</v>
      </c>
      <c r="U26" s="252"/>
      <c r="V26" s="254">
        <f>SUM(S26:U26)</f>
        <v>252591.04</v>
      </c>
      <c r="X26" s="255">
        <f>K26+V26</f>
        <v>3366664.23</v>
      </c>
      <c r="Y26" s="255">
        <f>+(X26/100000)</f>
        <v>33.666642299999999</v>
      </c>
      <c r="Z26" s="256">
        <v>33.659999999999997</v>
      </c>
      <c r="AA26" s="261">
        <f>+Y26-Z26</f>
        <v>6.6423000000028765E-3</v>
      </c>
      <c r="AC26">
        <f>3113198.69+253464.97</f>
        <v>3366663.66</v>
      </c>
      <c r="AD26" s="255">
        <f>+(AC26/100000)</f>
        <v>33.666636600000004</v>
      </c>
      <c r="AE26" s="255">
        <f>+K26+V26</f>
        <v>3366664.23</v>
      </c>
      <c r="AF26" s="255">
        <f>+(AE26/100000)</f>
        <v>33.666642299999999</v>
      </c>
      <c r="AG26" s="255">
        <f>+AD26-AF26</f>
        <v>-5.6999999955564817E-6</v>
      </c>
    </row>
    <row r="27" spans="1:33" x14ac:dyDescent="0.35">
      <c r="A27" s="68" t="s">
        <v>12</v>
      </c>
      <c r="B27" s="258" t="s">
        <v>525</v>
      </c>
      <c r="C27" s="259" t="s">
        <v>531</v>
      </c>
      <c r="D27" s="250">
        <v>1555056.49</v>
      </c>
      <c r="E27" s="251">
        <v>309537.02</v>
      </c>
      <c r="F27" s="251">
        <v>1605395.9</v>
      </c>
      <c r="G27" s="251">
        <v>18583.95</v>
      </c>
      <c r="H27" s="251">
        <v>21552.68</v>
      </c>
      <c r="I27" s="252">
        <v>0</v>
      </c>
      <c r="J27" s="254">
        <v>771.26</v>
      </c>
      <c r="K27" s="253">
        <f>SUM(D27:J27)</f>
        <v>3510897.3000000003</v>
      </c>
      <c r="M27" s="250">
        <f>V27*30%</f>
        <v>74765.427000000011</v>
      </c>
      <c r="N27" s="307">
        <f>K27+M27</f>
        <v>3585662.7270000004</v>
      </c>
      <c r="P27" s="250">
        <f t="shared" si="0"/>
        <v>174452.663</v>
      </c>
      <c r="Q27" s="307">
        <f>N27+P27</f>
        <v>3760115.3900000006</v>
      </c>
      <c r="S27" s="250">
        <v>141304.38</v>
      </c>
      <c r="T27" s="250">
        <v>107913.71</v>
      </c>
      <c r="U27" s="252"/>
      <c r="V27" s="254">
        <f>SUM(S27:U27)</f>
        <v>249218.09000000003</v>
      </c>
      <c r="X27" s="255">
        <f>K27+V27</f>
        <v>3760115.39</v>
      </c>
      <c r="Y27" s="255">
        <f>+(X27/100000)</f>
        <v>37.6011539</v>
      </c>
      <c r="Z27" s="256">
        <v>37.6</v>
      </c>
      <c r="AA27" s="261">
        <f>+Y27-Z27</f>
        <v>1.1538999999984867E-3</v>
      </c>
      <c r="AC27" s="255">
        <f>3500578.98+259535.43</f>
        <v>3760114.41</v>
      </c>
      <c r="AD27" s="255">
        <f t="shared" si="12"/>
        <v>37.601144099999999</v>
      </c>
      <c r="AE27" s="255">
        <f>+K27+V27</f>
        <v>3760115.39</v>
      </c>
      <c r="AF27" s="255">
        <f>+(AE27/100000)</f>
        <v>37.6011539</v>
      </c>
      <c r="AG27" s="255">
        <f>+AD27-AF27</f>
        <v>-9.800000000836917E-6</v>
      </c>
    </row>
    <row r="28" spans="1:33" ht="15" thickBot="1" x14ac:dyDescent="0.4">
      <c r="A28" s="69" t="s">
        <v>13</v>
      </c>
      <c r="B28" s="280" t="s">
        <v>219</v>
      </c>
      <c r="C28" s="281" t="s">
        <v>531</v>
      </c>
      <c r="D28" s="250">
        <f>2126750.44-241907</f>
        <v>1884843.44</v>
      </c>
      <c r="E28" s="251">
        <v>364928.3</v>
      </c>
      <c r="F28" s="251">
        <v>337006.14</v>
      </c>
      <c r="G28" s="251">
        <v>19676.03</v>
      </c>
      <c r="H28" s="251">
        <v>0</v>
      </c>
      <c r="I28" s="252">
        <v>0</v>
      </c>
      <c r="J28" s="254">
        <v>890.18</v>
      </c>
      <c r="K28" s="253">
        <f>SUM(D28:J28)</f>
        <v>2607344.09</v>
      </c>
      <c r="M28" s="250">
        <f>V28*30%</f>
        <v>63092.042999999998</v>
      </c>
      <c r="N28" s="307">
        <f>K28+M28</f>
        <v>2670436.1329999999</v>
      </c>
      <c r="P28" s="250">
        <f t="shared" si="0"/>
        <v>147214.76699999999</v>
      </c>
      <c r="Q28" s="307">
        <f>N28+P28</f>
        <v>2817650.9</v>
      </c>
      <c r="S28" s="250">
        <v>181151.89</v>
      </c>
      <c r="T28" s="250">
        <v>29154.92</v>
      </c>
      <c r="U28" s="252"/>
      <c r="V28" s="254">
        <f>SUM(S28:U28)</f>
        <v>210306.81</v>
      </c>
      <c r="X28" s="255">
        <f>K28+V28</f>
        <v>2817650.9</v>
      </c>
      <c r="Y28" s="255">
        <f>+(X28/100000)</f>
        <v>28.176508999999999</v>
      </c>
      <c r="Z28" s="256">
        <v>28.18</v>
      </c>
      <c r="AA28" s="261">
        <f>+Y28-Z28</f>
        <v>-3.4910000000003549E-3</v>
      </c>
      <c r="AC28" s="255">
        <f>2607344.09+210306.81</f>
        <v>2817650.9</v>
      </c>
      <c r="AD28" s="255">
        <f t="shared" si="12"/>
        <v>28.176508999999999</v>
      </c>
      <c r="AE28" s="255">
        <f>+K28+V28</f>
        <v>2817650.9</v>
      </c>
      <c r="AF28" s="255">
        <f>+(AE28/100000)</f>
        <v>28.176508999999999</v>
      </c>
      <c r="AG28" s="255">
        <f>+AD28-AF28</f>
        <v>0</v>
      </c>
    </row>
    <row r="29" spans="1:33" ht="15" thickBot="1" x14ac:dyDescent="0.4">
      <c r="A29" s="89"/>
      <c r="B29" s="282"/>
      <c r="C29" s="283" t="s">
        <v>533</v>
      </c>
      <c r="D29" s="264">
        <f>SUM(D25:D28)</f>
        <v>6945722.1699999999</v>
      </c>
      <c r="E29" s="264">
        <f t="shared" ref="E29:K29" si="14">SUM(E25:E28)</f>
        <v>1379930.87</v>
      </c>
      <c r="F29" s="264">
        <f t="shared" si="14"/>
        <v>2895437.07</v>
      </c>
      <c r="G29" s="264">
        <f t="shared" si="14"/>
        <v>127106.42</v>
      </c>
      <c r="H29" s="264">
        <f t="shared" si="14"/>
        <v>21552.68</v>
      </c>
      <c r="I29" s="266">
        <f t="shared" si="14"/>
        <v>0</v>
      </c>
      <c r="J29" s="284">
        <f t="shared" si="14"/>
        <v>4372.84</v>
      </c>
      <c r="K29" s="328">
        <f t="shared" si="14"/>
        <v>11374122.050000001</v>
      </c>
      <c r="M29" s="284">
        <f>SUM(M25:M28)</f>
        <v>267877.8</v>
      </c>
      <c r="N29" s="284">
        <f>SUM(N25:N28)</f>
        <v>11641999.85</v>
      </c>
      <c r="P29" s="284">
        <f>SUM(P25:P28)</f>
        <v>625048.19999999995</v>
      </c>
      <c r="Q29" s="284">
        <f>SUM(Q25:Q28)</f>
        <v>12267048.050000001</v>
      </c>
      <c r="S29" s="284">
        <f>SUM(S25:S28)</f>
        <v>681633.35</v>
      </c>
      <c r="T29" s="284">
        <f>SUM(T25:T28)</f>
        <v>211292.65000000002</v>
      </c>
      <c r="U29" s="284">
        <f>SUM(U25:U28)</f>
        <v>0</v>
      </c>
      <c r="V29" s="284">
        <f>SUM(V25:V28)</f>
        <v>892926</v>
      </c>
      <c r="X29" s="284">
        <f>SUM(X25:X28)</f>
        <v>12267048.050000001</v>
      </c>
      <c r="Y29" s="284">
        <f>SUM(Y25:Y28)</f>
        <v>122.6704805</v>
      </c>
      <c r="Z29" s="284">
        <f>SUM(Z25:Z28)</f>
        <v>122.67000000000002</v>
      </c>
      <c r="AA29" s="284">
        <f>SUM(AA25:AA28)</f>
        <v>4.8049999999832949E-4</v>
      </c>
      <c r="AC29" s="284">
        <f>SUM(AC25:AC28)</f>
        <v>12267046.49</v>
      </c>
      <c r="AD29" s="284">
        <f>SUM(AD25:AD28)</f>
        <v>122.6704649</v>
      </c>
      <c r="AE29" s="284">
        <f>SUM(AE25:AE28)</f>
        <v>12267048.050000001</v>
      </c>
      <c r="AF29" s="284">
        <f>SUM(AF25:AF28)</f>
        <v>122.6704805</v>
      </c>
      <c r="AG29" s="284">
        <f>SUM(AG25:AG28)</f>
        <v>-1.5599999994009295E-5</v>
      </c>
    </row>
    <row r="30" spans="1:33" x14ac:dyDescent="0.35">
      <c r="A30" s="267" t="s">
        <v>18</v>
      </c>
      <c r="B30" s="258" t="s">
        <v>525</v>
      </c>
      <c r="C30" s="249" t="s">
        <v>226</v>
      </c>
      <c r="D30" s="250">
        <f>1060422.04-28373.4</f>
        <v>1032048.64</v>
      </c>
      <c r="E30" s="251">
        <v>162365.70000000001</v>
      </c>
      <c r="F30" s="251">
        <v>883050.65</v>
      </c>
      <c r="G30" s="251">
        <v>11098.02</v>
      </c>
      <c r="H30" s="251">
        <v>2794.51</v>
      </c>
      <c r="I30" s="252">
        <v>0</v>
      </c>
      <c r="J30" s="254">
        <v>555.54999999999995</v>
      </c>
      <c r="K30" s="253">
        <f>SUM(D30:J30)</f>
        <v>2091913.0700000003</v>
      </c>
      <c r="M30" s="250">
        <f>V30*30%</f>
        <v>54440.858999999997</v>
      </c>
      <c r="N30" s="250">
        <f>K30+M30</f>
        <v>2146353.9290000005</v>
      </c>
      <c r="P30" s="250">
        <f t="shared" si="0"/>
        <v>127028.671</v>
      </c>
      <c r="Q30" s="250">
        <f>N30+P30</f>
        <v>2273382.6000000006</v>
      </c>
      <c r="S30" s="250">
        <v>102037.23</v>
      </c>
      <c r="T30" s="250">
        <v>79432.3</v>
      </c>
      <c r="U30" s="252"/>
      <c r="V30" s="254">
        <f>SUM(S30:U30)</f>
        <v>181469.53</v>
      </c>
      <c r="X30" s="255">
        <f>K30+V30</f>
        <v>2273382.6</v>
      </c>
      <c r="Y30" s="255">
        <f>+(X30/100000)</f>
        <v>22.733826000000001</v>
      </c>
      <c r="Z30" s="256">
        <v>22.73</v>
      </c>
      <c r="AA30" s="261">
        <f>+Y30-Z30</f>
        <v>3.8260000000001071E-3</v>
      </c>
      <c r="AC30" s="255">
        <f>2094129.62+178632.92</f>
        <v>2272762.54</v>
      </c>
      <c r="AD30" s="255">
        <f t="shared" si="12"/>
        <v>22.727625400000001</v>
      </c>
      <c r="AE30" s="255">
        <f>+K30+V30</f>
        <v>2273382.6</v>
      </c>
      <c r="AF30" s="255">
        <f t="shared" ref="AF30:AF49" si="15">+(AE30/100000)</f>
        <v>22.733826000000001</v>
      </c>
      <c r="AG30" s="255">
        <f>+AD30-AF30</f>
        <v>-6.2005999999996675E-3</v>
      </c>
    </row>
    <row r="31" spans="1:33" x14ac:dyDescent="0.35">
      <c r="A31" s="247" t="s">
        <v>17</v>
      </c>
      <c r="B31" s="258" t="s">
        <v>224</v>
      </c>
      <c r="C31" s="259" t="s">
        <v>226</v>
      </c>
      <c r="D31" s="285">
        <f>2197625.26+247733.88</f>
        <v>2445359.1399999997</v>
      </c>
      <c r="E31" s="286">
        <v>267034.34999999998</v>
      </c>
      <c r="F31" s="286">
        <v>0</v>
      </c>
      <c r="G31" s="286">
        <v>269043</v>
      </c>
      <c r="H31" s="286">
        <v>0</v>
      </c>
      <c r="I31" s="287">
        <v>0</v>
      </c>
      <c r="J31" s="290">
        <v>552</v>
      </c>
      <c r="K31" s="288">
        <f>SUM(D31:J31)</f>
        <v>2981988.4899999998</v>
      </c>
      <c r="L31" s="289"/>
      <c r="M31" s="285">
        <f>V31*30%</f>
        <v>49281.932999999997</v>
      </c>
      <c r="N31" s="307">
        <f>K31+M31</f>
        <v>3031270.423</v>
      </c>
      <c r="O31" s="289"/>
      <c r="P31" s="285">
        <f t="shared" si="0"/>
        <v>114991.177</v>
      </c>
      <c r="Q31" s="307">
        <f>N31+P31</f>
        <v>3146261.6</v>
      </c>
      <c r="R31" s="289"/>
      <c r="S31" s="285">
        <v>164273.10999999999</v>
      </c>
      <c r="T31" s="285">
        <v>0</v>
      </c>
      <c r="U31" s="287"/>
      <c r="V31" s="290">
        <f>SUM(S31:U31)</f>
        <v>164273.10999999999</v>
      </c>
      <c r="X31" s="255">
        <f>K31+V31</f>
        <v>3146261.5999999996</v>
      </c>
      <c r="Y31" s="255">
        <f>+(X31/100000)</f>
        <v>31.462615999999997</v>
      </c>
      <c r="Z31" s="291">
        <v>31.46</v>
      </c>
      <c r="AA31" s="261">
        <f>+Y31-Z31</f>
        <v>2.6159999999961769E-3</v>
      </c>
      <c r="AC31" s="255">
        <f>2734277.99+164272.11+247733.88</f>
        <v>3146283.98</v>
      </c>
      <c r="AD31" s="255">
        <f t="shared" si="12"/>
        <v>31.462839800000001</v>
      </c>
      <c r="AE31" s="255">
        <f>+K31+V31</f>
        <v>3146261.5999999996</v>
      </c>
      <c r="AF31" s="255">
        <f t="shared" si="15"/>
        <v>31.462615999999997</v>
      </c>
      <c r="AG31" s="255">
        <f>+AD31-AF31</f>
        <v>2.2380000000410405E-4</v>
      </c>
    </row>
    <row r="32" spans="1:33" ht="15" thickBot="1" x14ac:dyDescent="0.4">
      <c r="A32" s="260" t="s">
        <v>20</v>
      </c>
      <c r="B32" s="258" t="s">
        <v>219</v>
      </c>
      <c r="C32" s="281" t="s">
        <v>226</v>
      </c>
      <c r="D32" s="250">
        <v>2238125.19</v>
      </c>
      <c r="E32" s="251">
        <v>239174.22</v>
      </c>
      <c r="F32" s="251">
        <v>901277.86</v>
      </c>
      <c r="G32" s="251">
        <v>52499.9</v>
      </c>
      <c r="H32" s="251">
        <v>0</v>
      </c>
      <c r="I32" s="252">
        <v>0</v>
      </c>
      <c r="J32" s="254">
        <v>2922.28</v>
      </c>
      <c r="K32" s="253">
        <f>SUM(D32:J32)</f>
        <v>3433999.4499999997</v>
      </c>
      <c r="M32" s="250">
        <f>V32*30%</f>
        <v>84819.414000000004</v>
      </c>
      <c r="N32" s="307">
        <f>K32+M32</f>
        <v>3518818.8639999996</v>
      </c>
      <c r="P32" s="250">
        <f t="shared" si="0"/>
        <v>197911.96600000001</v>
      </c>
      <c r="Q32" s="307">
        <f>N32+P32</f>
        <v>3716730.8299999996</v>
      </c>
      <c r="S32" s="250">
        <v>196453.78</v>
      </c>
      <c r="T32" s="250">
        <v>86277.6</v>
      </c>
      <c r="U32" s="252"/>
      <c r="V32" s="254">
        <f>SUM(S32:U32)</f>
        <v>282731.38</v>
      </c>
      <c r="X32" s="255">
        <f>K32+V32</f>
        <v>3716730.8299999996</v>
      </c>
      <c r="Y32" s="255">
        <f>+(X32/100000)</f>
        <v>37.167308299999995</v>
      </c>
      <c r="Z32" s="256">
        <v>37.200000000000003</v>
      </c>
      <c r="AA32" s="261">
        <f>+Y32-Z32</f>
        <v>-3.2691700000007984E-2</v>
      </c>
      <c r="AC32" s="255">
        <f>3434000.6+282733.99</f>
        <v>3716734.59</v>
      </c>
      <c r="AD32" s="255">
        <f t="shared" si="12"/>
        <v>37.167345900000001</v>
      </c>
      <c r="AE32" s="255">
        <f>+K32+V32</f>
        <v>3716730.8299999996</v>
      </c>
      <c r="AF32" s="255">
        <f t="shared" si="15"/>
        <v>37.167308299999995</v>
      </c>
      <c r="AG32" s="255">
        <f>+AD32-AF32</f>
        <v>3.7600000005966194E-5</v>
      </c>
    </row>
    <row r="33" spans="1:33" ht="15" thickBot="1" x14ac:dyDescent="0.4">
      <c r="A33" s="89"/>
      <c r="B33" s="262"/>
      <c r="C33" s="283" t="s">
        <v>534</v>
      </c>
      <c r="D33" s="264">
        <f>SUM(D30:D32)</f>
        <v>5715532.9699999997</v>
      </c>
      <c r="E33" s="264">
        <f t="shared" ref="E33:K33" si="16">SUM(E30:E32)</f>
        <v>668574.27</v>
      </c>
      <c r="F33" s="264">
        <f t="shared" si="16"/>
        <v>1784328.51</v>
      </c>
      <c r="G33" s="264">
        <f t="shared" si="16"/>
        <v>332640.92000000004</v>
      </c>
      <c r="H33" s="264">
        <f t="shared" si="16"/>
        <v>2794.51</v>
      </c>
      <c r="I33" s="266">
        <f t="shared" si="16"/>
        <v>0</v>
      </c>
      <c r="J33" s="284">
        <f t="shared" si="16"/>
        <v>4029.83</v>
      </c>
      <c r="K33" s="328">
        <f t="shared" si="16"/>
        <v>8507901.0099999998</v>
      </c>
      <c r="M33" s="284">
        <f>SUM(M30:M32)</f>
        <v>188542.20600000001</v>
      </c>
      <c r="N33" s="284">
        <f>SUM(N30:N32)</f>
        <v>8696443.216</v>
      </c>
      <c r="P33" s="284">
        <f>SUM(P30:P32)</f>
        <v>439931.81400000001</v>
      </c>
      <c r="Q33" s="284">
        <f>SUM(Q30:Q32)</f>
        <v>9136375.0300000012</v>
      </c>
      <c r="S33" s="284">
        <f>SUM(S30:S32)</f>
        <v>462764.12</v>
      </c>
      <c r="T33" s="284">
        <f>SUM(T30:T32)</f>
        <v>165709.90000000002</v>
      </c>
      <c r="U33" s="284">
        <f>SUM(U30:U32)</f>
        <v>0</v>
      </c>
      <c r="V33" s="284">
        <f>SUM(V30:V32)</f>
        <v>628474.02</v>
      </c>
      <c r="X33" s="265">
        <f>SUM(X30:X32)</f>
        <v>9136375.0299999993</v>
      </c>
      <c r="Y33" s="265">
        <f>SUM(Y30:Y32)</f>
        <v>91.363750299999992</v>
      </c>
      <c r="Z33" s="265">
        <f>SUM(Z30:Z32)</f>
        <v>91.39</v>
      </c>
      <c r="AA33" s="265">
        <f>SUM(AA30:AA32)</f>
        <v>-2.62497000000117E-2</v>
      </c>
      <c r="AC33" s="265">
        <f>SUM(AC30:AC32)</f>
        <v>9135781.1099999994</v>
      </c>
      <c r="AD33" s="265">
        <f>SUM(AD30:AD32)</f>
        <v>91.357811100000006</v>
      </c>
      <c r="AE33" s="265">
        <f>SUM(AE30:AE32)</f>
        <v>9136375.0299999993</v>
      </c>
      <c r="AF33" s="265">
        <f>SUM(AF30:AF32)</f>
        <v>91.363750299999992</v>
      </c>
      <c r="AG33" s="265">
        <f>SUM(AG30:AG32)</f>
        <v>-5.9391999999895972E-3</v>
      </c>
    </row>
    <row r="34" spans="1:33" x14ac:dyDescent="0.35">
      <c r="A34" s="267" t="s">
        <v>44</v>
      </c>
      <c r="B34" s="258" t="s">
        <v>216</v>
      </c>
      <c r="C34" s="249" t="s">
        <v>535</v>
      </c>
      <c r="D34" s="250">
        <v>1285933.1000000001</v>
      </c>
      <c r="E34" s="251">
        <v>242009.09</v>
      </c>
      <c r="F34" s="251">
        <v>411124.06</v>
      </c>
      <c r="G34" s="251">
        <v>49154.38</v>
      </c>
      <c r="H34" s="251">
        <v>0</v>
      </c>
      <c r="I34" s="252">
        <v>0</v>
      </c>
      <c r="J34" s="254">
        <v>2771.24</v>
      </c>
      <c r="K34" s="253">
        <f>SUM(D34:J34)</f>
        <v>1990991.87</v>
      </c>
      <c r="M34" s="250">
        <f>V34*30%</f>
        <v>49535.402999999998</v>
      </c>
      <c r="N34" s="307">
        <f>K34+M34</f>
        <v>2040527.273</v>
      </c>
      <c r="P34" s="250">
        <f t="shared" si="0"/>
        <v>115582.60700000002</v>
      </c>
      <c r="Q34" s="307">
        <f>N34+P34</f>
        <v>2156109.88</v>
      </c>
      <c r="S34" s="250">
        <v>132431.73000000001</v>
      </c>
      <c r="T34" s="250">
        <f>41739.28-9053</f>
        <v>32686.28</v>
      </c>
      <c r="U34" s="252"/>
      <c r="V34" s="254">
        <f>SUM(S34:U34)</f>
        <v>165118.01</v>
      </c>
      <c r="X34" s="255">
        <f>K34+V34</f>
        <v>2156109.88</v>
      </c>
      <c r="Y34" s="255">
        <f>+(X34/100000)</f>
        <v>21.5610988</v>
      </c>
      <c r="Z34" s="256">
        <v>21.56</v>
      </c>
      <c r="AA34" s="261">
        <f>+Y34-Z34</f>
        <v>1.0988000000011766E-3</v>
      </c>
      <c r="AC34" s="255">
        <f>1990991.84+165117.82</f>
        <v>2156109.66</v>
      </c>
      <c r="AD34" s="255">
        <f t="shared" si="12"/>
        <v>21.561096600000003</v>
      </c>
      <c r="AE34" s="255">
        <f>+K34+V34</f>
        <v>2156109.88</v>
      </c>
      <c r="AF34" s="255">
        <f t="shared" si="15"/>
        <v>21.5610988</v>
      </c>
      <c r="AG34" s="255">
        <f>+AD34-AF34</f>
        <v>-2.1999999972877049E-6</v>
      </c>
    </row>
    <row r="35" spans="1:33" x14ac:dyDescent="0.35">
      <c r="A35" s="247" t="s">
        <v>45</v>
      </c>
      <c r="B35" s="258" t="s">
        <v>532</v>
      </c>
      <c r="C35" s="259" t="s">
        <v>535</v>
      </c>
      <c r="D35" s="250">
        <v>1133956.8999999999</v>
      </c>
      <c r="E35" s="251">
        <v>136767.69</v>
      </c>
      <c r="F35" s="251">
        <v>171780.96</v>
      </c>
      <c r="G35" s="251">
        <v>164046.57</v>
      </c>
      <c r="H35" s="251">
        <v>0</v>
      </c>
      <c r="I35" s="252">
        <v>0</v>
      </c>
      <c r="J35" s="254">
        <v>10622.45</v>
      </c>
      <c r="K35" s="253">
        <f>SUM(D35:J35)</f>
        <v>1617174.5699999998</v>
      </c>
      <c r="M35" s="250">
        <f>V35*30%</f>
        <v>35868.635999999999</v>
      </c>
      <c r="N35" s="250">
        <f>K35+M35</f>
        <v>1653043.2059999998</v>
      </c>
      <c r="P35" s="250">
        <f t="shared" si="0"/>
        <v>83693.483999999997</v>
      </c>
      <c r="Q35" s="250">
        <f>N35+P35</f>
        <v>1736736.6899999997</v>
      </c>
      <c r="S35" s="250">
        <v>104772.42</v>
      </c>
      <c r="T35" s="250">
        <v>14789.7</v>
      </c>
      <c r="U35" s="252"/>
      <c r="V35" s="254">
        <f>SUM(S35:U35)</f>
        <v>119562.12</v>
      </c>
      <c r="X35" s="255">
        <f>K35+V35</f>
        <v>1736736.69</v>
      </c>
      <c r="Y35" s="255">
        <f>+(X35/100000)</f>
        <v>17.3673669</v>
      </c>
      <c r="Z35" s="256">
        <v>17.37</v>
      </c>
      <c r="AA35" s="261">
        <f>+Y35-Z35</f>
        <v>-2.63310000000061E-3</v>
      </c>
      <c r="AC35" s="255">
        <f>1617174.55+119562.12</f>
        <v>1736736.67</v>
      </c>
      <c r="AD35" s="255">
        <f t="shared" si="12"/>
        <v>17.367366699999998</v>
      </c>
      <c r="AE35" s="255">
        <f>+K35+V35</f>
        <v>1736736.69</v>
      </c>
      <c r="AF35" s="255">
        <f t="shared" si="15"/>
        <v>17.3673669</v>
      </c>
      <c r="AG35" s="255">
        <f>+AD35-AF35</f>
        <v>-2.0000000233721948E-7</v>
      </c>
    </row>
    <row r="36" spans="1:33" x14ac:dyDescent="0.35">
      <c r="A36" s="247" t="s">
        <v>47</v>
      </c>
      <c r="B36" s="258" t="s">
        <v>525</v>
      </c>
      <c r="C36" s="259" t="s">
        <v>535</v>
      </c>
      <c r="D36" s="250">
        <v>878847.38</v>
      </c>
      <c r="E36" s="251">
        <v>125820.44</v>
      </c>
      <c r="F36" s="251">
        <v>952915.24</v>
      </c>
      <c r="G36" s="251">
        <v>8240.01</v>
      </c>
      <c r="H36" s="251">
        <v>0</v>
      </c>
      <c r="I36" s="252">
        <v>0</v>
      </c>
      <c r="J36" s="254">
        <v>472.32</v>
      </c>
      <c r="K36" s="253">
        <f>SUM(D36:J36)</f>
        <v>1966295.3900000001</v>
      </c>
      <c r="M36" s="250">
        <f>V36*30%</f>
        <v>42469.242000000006</v>
      </c>
      <c r="N36" s="307">
        <f>K36+M36</f>
        <v>2008764.6320000002</v>
      </c>
      <c r="P36" s="250">
        <f t="shared" si="0"/>
        <v>99094.898000000016</v>
      </c>
      <c r="Q36" s="307">
        <f>N36+P36</f>
        <v>2107859.5300000003</v>
      </c>
      <c r="S36" s="250">
        <v>75204.33</v>
      </c>
      <c r="T36" s="250">
        <v>66359.81</v>
      </c>
      <c r="U36" s="252"/>
      <c r="V36" s="254">
        <f>SUM(S36:U36)</f>
        <v>141564.14000000001</v>
      </c>
      <c r="X36" s="255">
        <f>K36+V36</f>
        <v>2107859.5300000003</v>
      </c>
      <c r="Y36" s="255">
        <f>+(X36/100000)</f>
        <v>21.078595300000003</v>
      </c>
      <c r="Z36" s="256">
        <v>20.93</v>
      </c>
      <c r="AA36" s="257">
        <f>+Y36-Z36</f>
        <v>0.14859530000000376</v>
      </c>
      <c r="AC36" s="255">
        <f>1966295.38+141564.14</f>
        <v>2107859.52</v>
      </c>
      <c r="AD36" s="255">
        <f t="shared" si="12"/>
        <v>21.078595199999999</v>
      </c>
      <c r="AE36" s="255">
        <f>+K36+V36</f>
        <v>2107859.5300000003</v>
      </c>
      <c r="AF36" s="255">
        <f t="shared" si="15"/>
        <v>21.078595300000003</v>
      </c>
      <c r="AG36" s="255">
        <f>+AD36-AF36</f>
        <v>-1.0000000472132342E-7</v>
      </c>
    </row>
    <row r="37" spans="1:33" ht="15" thickBot="1" x14ac:dyDescent="0.4">
      <c r="A37" s="260" t="s">
        <v>48</v>
      </c>
      <c r="B37" s="280" t="s">
        <v>219</v>
      </c>
      <c r="C37" s="281" t="s">
        <v>535</v>
      </c>
      <c r="D37" s="250">
        <v>1605947.02</v>
      </c>
      <c r="E37" s="251">
        <v>133851.37</v>
      </c>
      <c r="F37" s="251">
        <v>217013.56</v>
      </c>
      <c r="G37" s="251">
        <v>12981.05</v>
      </c>
      <c r="H37" s="251">
        <v>0</v>
      </c>
      <c r="I37" s="252">
        <v>0</v>
      </c>
      <c r="J37" s="254">
        <v>638.44000000000005</v>
      </c>
      <c r="K37" s="253">
        <f>SUM(D37:J37)</f>
        <v>1970431.4400000002</v>
      </c>
      <c r="M37" s="250">
        <f>V37*30%</f>
        <v>33650.879999999997</v>
      </c>
      <c r="N37" s="307">
        <f>K37+M37</f>
        <v>2004082.32</v>
      </c>
      <c r="P37" s="250">
        <f t="shared" si="0"/>
        <v>78518.720000000001</v>
      </c>
      <c r="Q37" s="307">
        <f>N37+P37</f>
        <v>2082601.04</v>
      </c>
      <c r="S37" s="250">
        <f>101650.1-7547.9</f>
        <v>94102.200000000012</v>
      </c>
      <c r="T37" s="250">
        <f>18334.2-266.8</f>
        <v>18067.400000000001</v>
      </c>
      <c r="U37" s="252"/>
      <c r="V37" s="254">
        <f>SUM(S37:U37)</f>
        <v>112169.60000000001</v>
      </c>
      <c r="X37" s="255">
        <f>K37+V37</f>
        <v>2082601.0400000003</v>
      </c>
      <c r="Y37" s="255">
        <f>+(X37/100000)</f>
        <v>20.826010400000001</v>
      </c>
      <c r="Z37" s="256">
        <v>20.97</v>
      </c>
      <c r="AA37" s="257">
        <f>+Y37-Z37</f>
        <v>-0.14398959999999761</v>
      </c>
      <c r="AC37" s="255">
        <f>1970432.03+112169.6</f>
        <v>2082601.6300000001</v>
      </c>
      <c r="AD37" s="255">
        <f t="shared" si="12"/>
        <v>20.826016300000003</v>
      </c>
      <c r="AE37" s="255">
        <f>+K37+V37</f>
        <v>2082601.0400000003</v>
      </c>
      <c r="AF37" s="255">
        <f t="shared" si="15"/>
        <v>20.826010400000001</v>
      </c>
      <c r="AG37" s="255">
        <f>+AD37-AF37</f>
        <v>5.9000000014464149E-6</v>
      </c>
    </row>
    <row r="38" spans="1:33" ht="15" thickBot="1" x14ac:dyDescent="0.4">
      <c r="A38" s="89"/>
      <c r="B38" s="282"/>
      <c r="C38" s="283" t="s">
        <v>536</v>
      </c>
      <c r="D38" s="264">
        <f>SUM(D34:D37)</f>
        <v>4904684.4000000004</v>
      </c>
      <c r="E38" s="264">
        <f t="shared" ref="E38:K38" si="17">SUM(E34:E37)</f>
        <v>638448.59000000008</v>
      </c>
      <c r="F38" s="264">
        <f t="shared" si="17"/>
        <v>1752833.82</v>
      </c>
      <c r="G38" s="264">
        <f t="shared" si="17"/>
        <v>234422.01</v>
      </c>
      <c r="H38" s="264">
        <f t="shared" si="17"/>
        <v>0</v>
      </c>
      <c r="I38" s="266">
        <f t="shared" si="17"/>
        <v>0</v>
      </c>
      <c r="J38" s="284">
        <f t="shared" si="17"/>
        <v>14504.45</v>
      </c>
      <c r="K38" s="328">
        <f t="shared" si="17"/>
        <v>7544893.2700000005</v>
      </c>
      <c r="M38" s="284">
        <f>SUM(M34:M37)</f>
        <v>161524.16099999999</v>
      </c>
      <c r="N38" s="284">
        <f>SUM(N34:N37)</f>
        <v>7706417.4309999999</v>
      </c>
      <c r="P38" s="284">
        <f>SUM(P34:P37)</f>
        <v>376889.70900000003</v>
      </c>
      <c r="Q38" s="284">
        <f>SUM(Q34:Q37)</f>
        <v>8083307.1399999997</v>
      </c>
      <c r="S38" s="284">
        <f>SUM(S34:S37)</f>
        <v>406510.68000000005</v>
      </c>
      <c r="T38" s="284">
        <f>SUM(T34:T37)</f>
        <v>131903.19</v>
      </c>
      <c r="U38" s="284">
        <f>SUM(U34:U37)</f>
        <v>0</v>
      </c>
      <c r="V38" s="284">
        <f>SUM(V34:V37)</f>
        <v>538413.87</v>
      </c>
      <c r="X38" s="265">
        <f>SUM(X34:X37)</f>
        <v>8083307.1399999997</v>
      </c>
      <c r="Y38" s="265">
        <f>SUM(Y34:Y37)</f>
        <v>80.833071400000009</v>
      </c>
      <c r="Z38" s="265">
        <f>SUM(Z34:Z37)</f>
        <v>80.83</v>
      </c>
      <c r="AA38" s="265">
        <f>SUM(AA34:AA37)</f>
        <v>3.0714000000067188E-3</v>
      </c>
      <c r="AC38" s="265">
        <f>SUM(AC34:AC37)</f>
        <v>8083307.4799999995</v>
      </c>
      <c r="AD38" s="265">
        <f>SUM(AD34:AD37)</f>
        <v>80.833074800000006</v>
      </c>
      <c r="AE38" s="265">
        <f>SUM(AE34:AE37)</f>
        <v>8083307.1399999997</v>
      </c>
      <c r="AF38" s="265">
        <f>SUM(AF34:AF37)</f>
        <v>80.833071400000009</v>
      </c>
      <c r="AG38" s="265">
        <f>SUM(AG34:AG37)</f>
        <v>3.3999999971001671E-6</v>
      </c>
    </row>
    <row r="39" spans="1:33" ht="15" thickBot="1" x14ac:dyDescent="0.4">
      <c r="A39" s="89" t="s">
        <v>43</v>
      </c>
      <c r="B39" s="280" t="s">
        <v>219</v>
      </c>
      <c r="C39" s="292" t="s">
        <v>233</v>
      </c>
      <c r="D39" s="250">
        <v>3827277.11</v>
      </c>
      <c r="E39" s="251">
        <v>754993.53</v>
      </c>
      <c r="F39" s="251">
        <v>590816.56000000006</v>
      </c>
      <c r="G39" s="251">
        <v>57946.2</v>
      </c>
      <c r="H39" s="251">
        <v>0</v>
      </c>
      <c r="I39" s="252">
        <v>0</v>
      </c>
      <c r="J39" s="254">
        <v>1134.5</v>
      </c>
      <c r="K39" s="253">
        <f>SUM(D39:J39)</f>
        <v>5232167.8999999994</v>
      </c>
      <c r="M39" s="250">
        <f>V39*30%</f>
        <v>134166.234</v>
      </c>
      <c r="N39" s="307">
        <f>K39+M39</f>
        <v>5366334.1339999996</v>
      </c>
      <c r="P39" s="250">
        <f t="shared" si="0"/>
        <v>313054.54600000003</v>
      </c>
      <c r="Q39" s="307">
        <f>N39+P39</f>
        <v>5679388.6799999997</v>
      </c>
      <c r="S39" s="250">
        <v>399041.56</v>
      </c>
      <c r="T39" s="250">
        <v>48179.22</v>
      </c>
      <c r="U39" s="252"/>
      <c r="V39" s="254">
        <f>SUM(S39:U39)</f>
        <v>447220.78</v>
      </c>
      <c r="X39" s="255">
        <f>K39+V39</f>
        <v>5679388.6799999997</v>
      </c>
      <c r="Y39" s="255">
        <f>+(X39/100000)</f>
        <v>56.793886799999996</v>
      </c>
      <c r="Z39" s="256">
        <v>57.79</v>
      </c>
      <c r="AA39" s="257">
        <f>+Y39-Z39</f>
        <v>-0.99611320000000347</v>
      </c>
      <c r="AC39" s="255">
        <f>5210022.48+469363.82</f>
        <v>5679386.3000000007</v>
      </c>
      <c r="AD39" s="255">
        <f t="shared" si="12"/>
        <v>56.793863000000009</v>
      </c>
      <c r="AE39" s="255">
        <f>+K39+V39</f>
        <v>5679388.6799999997</v>
      </c>
      <c r="AF39" s="255">
        <f t="shared" si="15"/>
        <v>56.793886799999996</v>
      </c>
      <c r="AG39" s="255">
        <f>+AD39-AF39</f>
        <v>-2.3799999986806597E-5</v>
      </c>
    </row>
    <row r="40" spans="1:33" ht="15" thickBot="1" x14ac:dyDescent="0.4">
      <c r="A40" s="89" t="s">
        <v>34</v>
      </c>
      <c r="B40" s="280" t="s">
        <v>523</v>
      </c>
      <c r="C40" s="292" t="s">
        <v>233</v>
      </c>
      <c r="D40" s="250">
        <f>1216203.77-25414</f>
        <v>1190789.77</v>
      </c>
      <c r="E40" s="251">
        <v>323037.96999999997</v>
      </c>
      <c r="F40" s="251">
        <v>274449.12</v>
      </c>
      <c r="G40" s="251"/>
      <c r="H40" s="251">
        <v>0</v>
      </c>
      <c r="I40" s="252">
        <v>0</v>
      </c>
      <c r="J40" s="254"/>
      <c r="K40" s="253">
        <f>SUM(D40:J40)</f>
        <v>1788276.8599999999</v>
      </c>
      <c r="M40" s="250">
        <f>V40*30%</f>
        <v>43091.396999999997</v>
      </c>
      <c r="N40" s="307">
        <f>K40+M40</f>
        <v>1831368.2569999998</v>
      </c>
      <c r="P40" s="250">
        <f t="shared" si="0"/>
        <v>100546.59299999999</v>
      </c>
      <c r="Q40" s="307">
        <f>N40+P40</f>
        <v>1931914.8499999996</v>
      </c>
      <c r="S40" s="250">
        <v>119061.27</v>
      </c>
      <c r="T40" s="250">
        <v>24576.720000000001</v>
      </c>
      <c r="U40" s="252"/>
      <c r="V40" s="254">
        <f>SUM(S40:U40)</f>
        <v>143637.99</v>
      </c>
      <c r="X40" s="255">
        <f>K40+V40</f>
        <v>1931914.8499999999</v>
      </c>
      <c r="Y40" s="255">
        <f>+(X40/100000)</f>
        <v>19.319148499999997</v>
      </c>
      <c r="Z40" s="256">
        <v>19.29</v>
      </c>
      <c r="AA40" s="261">
        <f>+Y40-Z40</f>
        <v>2.9148499999998023E-2</v>
      </c>
      <c r="AC40" s="255">
        <f>1782194.66+150720.91</f>
        <v>1932915.5699999998</v>
      </c>
      <c r="AD40" s="255">
        <f t="shared" si="12"/>
        <v>19.329155699999998</v>
      </c>
      <c r="AE40" s="255">
        <f>+K40+V40</f>
        <v>1931914.8499999999</v>
      </c>
      <c r="AF40" s="255">
        <f t="shared" si="15"/>
        <v>19.319148499999997</v>
      </c>
      <c r="AG40" s="255">
        <f>+AD40-AF40</f>
        <v>1.0007200000000438E-2</v>
      </c>
    </row>
    <row r="41" spans="1:33" ht="15" thickBot="1" x14ac:dyDescent="0.4">
      <c r="A41" s="89" t="s">
        <v>40</v>
      </c>
      <c r="B41" s="258" t="s">
        <v>225</v>
      </c>
      <c r="C41" s="292" t="s">
        <v>233</v>
      </c>
      <c r="D41" s="250">
        <v>3158627.72</v>
      </c>
      <c r="E41" s="251">
        <v>404459.15</v>
      </c>
      <c r="F41" s="251">
        <v>962189.65</v>
      </c>
      <c r="G41" s="251">
        <v>6355.01</v>
      </c>
      <c r="H41" s="251">
        <v>0</v>
      </c>
      <c r="I41" s="252">
        <v>0</v>
      </c>
      <c r="J41" s="254">
        <v>111.01</v>
      </c>
      <c r="K41" s="253">
        <f>SUM(D41:J41)</f>
        <v>4531742.54</v>
      </c>
      <c r="M41" s="250">
        <f>V41*30%</f>
        <v>127122.39599999999</v>
      </c>
      <c r="N41" s="307">
        <f>K41+M41</f>
        <v>4658864.9359999998</v>
      </c>
      <c r="P41" s="250">
        <f t="shared" si="0"/>
        <v>296618.924</v>
      </c>
      <c r="Q41" s="307">
        <f>N41+P41</f>
        <v>4955483.8599999994</v>
      </c>
      <c r="S41" s="250">
        <v>338913.96</v>
      </c>
      <c r="T41" s="250">
        <v>84827.36</v>
      </c>
      <c r="U41" s="252"/>
      <c r="V41" s="254">
        <f>SUM(S41:U41)</f>
        <v>423741.32</v>
      </c>
      <c r="X41" s="255">
        <f>K41+V41</f>
        <v>4955483.8600000003</v>
      </c>
      <c r="Y41" s="255">
        <f>+(X41/100000)</f>
        <v>49.554838600000004</v>
      </c>
      <c r="Z41" s="256">
        <v>49.55</v>
      </c>
      <c r="AA41" s="261">
        <f>+Y41-Z41</f>
        <v>4.8386000000064655E-3</v>
      </c>
      <c r="AC41" s="255">
        <f>4529774.54+425709.32</f>
        <v>4955483.8600000003</v>
      </c>
      <c r="AD41" s="255">
        <f t="shared" si="12"/>
        <v>49.554838600000004</v>
      </c>
      <c r="AE41" s="255">
        <f>+K41+V41</f>
        <v>4955483.8600000003</v>
      </c>
      <c r="AF41" s="255">
        <f t="shared" si="15"/>
        <v>49.554838600000004</v>
      </c>
      <c r="AG41" s="255">
        <f>+AD41-AF41</f>
        <v>0</v>
      </c>
    </row>
    <row r="42" spans="1:33" ht="15" thickBot="1" x14ac:dyDescent="0.4">
      <c r="A42" s="89" t="s">
        <v>35</v>
      </c>
      <c r="B42" s="46" t="s">
        <v>537</v>
      </c>
      <c r="C42" s="293" t="s">
        <v>233</v>
      </c>
      <c r="D42" s="294">
        <v>1619618.45</v>
      </c>
      <c r="E42" s="295">
        <v>151343.49</v>
      </c>
      <c r="F42" s="295">
        <v>227143.37</v>
      </c>
      <c r="G42" s="295"/>
      <c r="H42" s="295"/>
      <c r="I42" s="296"/>
      <c r="J42" s="332"/>
      <c r="K42" s="253">
        <f>SUM(D42:J42)</f>
        <v>1998105.31</v>
      </c>
      <c r="M42" s="294">
        <f>V42*30%</f>
        <v>52741.685999999994</v>
      </c>
      <c r="N42" s="294">
        <f>K42+M42</f>
        <v>2050846.996</v>
      </c>
      <c r="P42" s="294">
        <f t="shared" si="0"/>
        <v>123063.93400000001</v>
      </c>
      <c r="Q42" s="294">
        <f>N42+P42</f>
        <v>2173910.9300000002</v>
      </c>
      <c r="S42" s="294">
        <v>156165.19</v>
      </c>
      <c r="T42" s="294">
        <v>19640.43</v>
      </c>
      <c r="U42" s="296"/>
      <c r="V42" s="254">
        <f>SUM(S42:U42)</f>
        <v>175805.62</v>
      </c>
      <c r="X42" s="255">
        <f>K42+V42</f>
        <v>2173910.9300000002</v>
      </c>
      <c r="Y42" s="255">
        <f>+(X42/100000)</f>
        <v>21.739109300000003</v>
      </c>
      <c r="Z42" s="297">
        <v>21.64</v>
      </c>
      <c r="AA42" s="257">
        <f>+Y42-Z42</f>
        <v>9.9109300000002065E-2</v>
      </c>
      <c r="AC42" s="255">
        <f>1998105.31+175805.62</f>
        <v>2173910.9300000002</v>
      </c>
      <c r="AD42" s="255">
        <f t="shared" si="12"/>
        <v>21.739109300000003</v>
      </c>
      <c r="AE42" s="255">
        <f>+K42+V42</f>
        <v>2173910.9300000002</v>
      </c>
      <c r="AF42" s="255">
        <f t="shared" si="15"/>
        <v>21.739109300000003</v>
      </c>
      <c r="AG42" s="255">
        <f>+AD42-AF42</f>
        <v>0</v>
      </c>
    </row>
    <row r="43" spans="1:33" ht="15" thickBot="1" x14ac:dyDescent="0.4">
      <c r="A43" s="89" t="s">
        <v>41</v>
      </c>
      <c r="B43" s="46" t="s">
        <v>538</v>
      </c>
      <c r="C43" s="293" t="s">
        <v>233</v>
      </c>
      <c r="D43" s="294">
        <v>142519</v>
      </c>
      <c r="E43" s="295">
        <v>79710</v>
      </c>
      <c r="F43" s="295"/>
      <c r="G43" s="295"/>
      <c r="H43" s="295"/>
      <c r="I43" s="296"/>
      <c r="J43" s="332"/>
      <c r="K43" s="253">
        <f>SUM(D43:J43)</f>
        <v>222229</v>
      </c>
      <c r="M43" s="294">
        <f>V43*30%</f>
        <v>5229.5999999999995</v>
      </c>
      <c r="N43" s="310">
        <f>K43+M43</f>
        <v>227458.6</v>
      </c>
      <c r="P43" s="294">
        <f t="shared" si="0"/>
        <v>12202.400000000001</v>
      </c>
      <c r="Q43" s="310">
        <f>N43+P43</f>
        <v>239661</v>
      </c>
      <c r="S43" s="294">
        <v>17432</v>
      </c>
      <c r="T43" s="294"/>
      <c r="U43" s="296"/>
      <c r="V43" s="254">
        <f>SUM(S43:U43)</f>
        <v>17432</v>
      </c>
      <c r="X43" s="255">
        <f>K43+V43</f>
        <v>239661</v>
      </c>
      <c r="Y43" s="255">
        <f>+(X43/100000)</f>
        <v>2.3966099999999999</v>
      </c>
      <c r="Z43" s="297">
        <v>2.4</v>
      </c>
      <c r="AA43" s="261">
        <f>+Y43-Z43</f>
        <v>-3.3900000000000041E-3</v>
      </c>
      <c r="AC43" s="255">
        <f>222214.25+17425.94</f>
        <v>239640.19</v>
      </c>
      <c r="AD43" s="255">
        <f t="shared" si="12"/>
        <v>2.3964018999999999</v>
      </c>
      <c r="AE43" s="255">
        <f>+K43+V43</f>
        <v>239661</v>
      </c>
      <c r="AF43" s="255">
        <f t="shared" si="15"/>
        <v>2.3966099999999999</v>
      </c>
      <c r="AG43" s="255">
        <f>+AD43-AF43</f>
        <v>-2.0810000000004436E-4</v>
      </c>
    </row>
    <row r="44" spans="1:33" ht="15" thickBot="1" x14ac:dyDescent="0.4">
      <c r="A44" s="89"/>
      <c r="B44" s="282"/>
      <c r="C44" s="282" t="s">
        <v>539</v>
      </c>
      <c r="D44" s="264">
        <f>SUM(D39:D43)</f>
        <v>9938832.0499999989</v>
      </c>
      <c r="E44" s="264">
        <f t="shared" ref="E44:K44" si="18">SUM(E39:E43)</f>
        <v>1713544.14</v>
      </c>
      <c r="F44" s="264">
        <f t="shared" si="18"/>
        <v>2054598.7000000002</v>
      </c>
      <c r="G44" s="264">
        <f t="shared" si="18"/>
        <v>64301.21</v>
      </c>
      <c r="H44" s="264">
        <f t="shared" si="18"/>
        <v>0</v>
      </c>
      <c r="I44" s="266">
        <f t="shared" si="18"/>
        <v>0</v>
      </c>
      <c r="J44" s="284">
        <f t="shared" si="18"/>
        <v>1245.51</v>
      </c>
      <c r="K44" s="328">
        <f t="shared" si="18"/>
        <v>13772521.610000001</v>
      </c>
      <c r="M44" s="264">
        <f>SUM(M39:M43)</f>
        <v>362351.31299999997</v>
      </c>
      <c r="N44" s="264">
        <f>SUM(N39:N43)</f>
        <v>14134872.922999999</v>
      </c>
      <c r="P44" s="264">
        <f>SUM(P39:P43)</f>
        <v>845486.39700000011</v>
      </c>
      <c r="Q44" s="264">
        <f>SUM(Q39:Q43)</f>
        <v>14980359.319999998</v>
      </c>
      <c r="S44" s="264">
        <f>SUM(S39:S43)</f>
        <v>1030613.98</v>
      </c>
      <c r="T44" s="264">
        <f>SUM(T39:T43)</f>
        <v>177223.72999999998</v>
      </c>
      <c r="U44" s="264">
        <f>SUM(U39:U43)</f>
        <v>0</v>
      </c>
      <c r="V44" s="264">
        <f>SUM(V39:V43)</f>
        <v>1207837.71</v>
      </c>
      <c r="X44" s="264">
        <f>SUM(X39:X43)</f>
        <v>14980359.32</v>
      </c>
      <c r="Y44" s="264">
        <f>SUM(Y39:Y43)</f>
        <v>149.80359319999999</v>
      </c>
      <c r="Z44" s="264">
        <f>SUM(Z39:Z43)</f>
        <v>150.66999999999999</v>
      </c>
      <c r="AA44" s="264">
        <f>SUM(AA39:AA43)</f>
        <v>-0.86640679999999692</v>
      </c>
      <c r="AC44" s="264">
        <f>SUM(AC39:AC43)</f>
        <v>14981336.85</v>
      </c>
      <c r="AD44" s="264">
        <f>SUM(AD39:AD43)</f>
        <v>149.8133685</v>
      </c>
      <c r="AE44" s="264">
        <f>SUM(AE39:AE43)</f>
        <v>14980359.32</v>
      </c>
      <c r="AF44" s="264">
        <f>SUM(AF39:AF43)</f>
        <v>149.80359319999999</v>
      </c>
      <c r="AG44" s="264">
        <f>SUM(AG39:AG43)</f>
        <v>9.775300000013587E-3</v>
      </c>
    </row>
    <row r="45" spans="1:33" ht="15" thickBot="1" x14ac:dyDescent="0.4">
      <c r="A45" s="33" t="s">
        <v>54</v>
      </c>
      <c r="B45" s="258" t="s">
        <v>219</v>
      </c>
      <c r="C45" s="293" t="s">
        <v>540</v>
      </c>
      <c r="D45" s="250">
        <v>2745993.54</v>
      </c>
      <c r="E45" s="251">
        <v>634797.46</v>
      </c>
      <c r="F45" s="251">
        <v>248525.79</v>
      </c>
      <c r="G45" s="251">
        <v>9341</v>
      </c>
      <c r="H45" s="251">
        <v>0</v>
      </c>
      <c r="I45" s="252">
        <v>0</v>
      </c>
      <c r="J45" s="254">
        <v>0</v>
      </c>
      <c r="K45" s="253">
        <f>SUM(D45:J45)</f>
        <v>3638657.79</v>
      </c>
      <c r="M45" s="250">
        <f>V45*30%</f>
        <v>102283.92899999999</v>
      </c>
      <c r="N45" s="307">
        <f>K45+M45</f>
        <v>3740941.719</v>
      </c>
      <c r="P45" s="250">
        <f t="shared" si="0"/>
        <v>238662.50099999999</v>
      </c>
      <c r="Q45" s="307">
        <f>N45+P45</f>
        <v>3979604.22</v>
      </c>
      <c r="S45" s="250">
        <v>317686.73</v>
      </c>
      <c r="T45" s="250">
        <v>23259.7</v>
      </c>
      <c r="U45" s="252"/>
      <c r="V45" s="254">
        <f>SUM(S45:U45)</f>
        <v>340946.43</v>
      </c>
      <c r="X45" s="255">
        <f>K45+V45</f>
        <v>3979604.22</v>
      </c>
      <c r="Y45" s="255">
        <f>+(X45/100000)</f>
        <v>39.796042200000002</v>
      </c>
      <c r="Z45" s="256">
        <v>39.81</v>
      </c>
      <c r="AA45" s="261">
        <f>+Y45-Z45</f>
        <v>-1.395780000000002E-2</v>
      </c>
      <c r="AC45" s="255">
        <f>3638657.8+340946.43</f>
        <v>3979604.23</v>
      </c>
      <c r="AD45" s="255">
        <f t="shared" si="12"/>
        <v>39.796042299999996</v>
      </c>
      <c r="AE45" s="255">
        <f>+K45+V45</f>
        <v>3979604.22</v>
      </c>
      <c r="AF45" s="255">
        <f t="shared" si="15"/>
        <v>39.796042200000002</v>
      </c>
      <c r="AG45" s="255">
        <f>+AD45-AF45</f>
        <v>9.9999994063182385E-8</v>
      </c>
    </row>
    <row r="46" spans="1:33" ht="15" thickBot="1" x14ac:dyDescent="0.4">
      <c r="A46" s="33" t="s">
        <v>49</v>
      </c>
      <c r="B46" s="258" t="s">
        <v>523</v>
      </c>
      <c r="C46" s="293" t="s">
        <v>540</v>
      </c>
      <c r="D46" s="250">
        <v>854060.22</v>
      </c>
      <c r="E46" s="251">
        <v>181479.65</v>
      </c>
      <c r="F46" s="251">
        <v>2700</v>
      </c>
      <c r="G46" s="251">
        <f>16775.46+206.52</f>
        <v>16981.98</v>
      </c>
      <c r="H46" s="251">
        <v>0</v>
      </c>
      <c r="I46" s="252">
        <v>0</v>
      </c>
      <c r="J46" s="254">
        <v>0</v>
      </c>
      <c r="K46" s="253">
        <f>SUM(D46:J46)</f>
        <v>1055221.8500000001</v>
      </c>
      <c r="M46" s="250">
        <f>V46*30%</f>
        <v>26506.251</v>
      </c>
      <c r="N46" s="307">
        <f>K46+M46</f>
        <v>1081728.101</v>
      </c>
      <c r="P46" s="250">
        <f t="shared" si="0"/>
        <v>61847.918999999994</v>
      </c>
      <c r="Q46" s="307">
        <f>N46+P46</f>
        <v>1143576.02</v>
      </c>
      <c r="S46" s="250">
        <v>88228.17</v>
      </c>
      <c r="T46" s="250">
        <v>126</v>
      </c>
      <c r="U46" s="252"/>
      <c r="V46" s="254">
        <f>SUM(S46:U46)</f>
        <v>88354.17</v>
      </c>
      <c r="X46" s="255">
        <f>K46+V46</f>
        <v>1143576.02</v>
      </c>
      <c r="Y46" s="255">
        <f>+(X46/100000)</f>
        <v>11.435760200000001</v>
      </c>
      <c r="Z46" s="256">
        <v>11.43</v>
      </c>
      <c r="AA46" s="261">
        <f>+Y46-Z46</f>
        <v>5.7602000000009923E-3</v>
      </c>
      <c r="AC46" s="255">
        <f>1055221.35+88354.11</f>
        <v>1143575.4600000002</v>
      </c>
      <c r="AD46" s="255">
        <f t="shared" si="12"/>
        <v>11.435754600000003</v>
      </c>
      <c r="AE46" s="255">
        <f>+K46+V46</f>
        <v>1143576.02</v>
      </c>
      <c r="AF46" s="255">
        <f t="shared" si="15"/>
        <v>11.435760200000001</v>
      </c>
      <c r="AG46" s="255">
        <f>+AD46-AF46</f>
        <v>-5.5999999979405857E-6</v>
      </c>
    </row>
    <row r="47" spans="1:33" ht="15" thickBot="1" x14ac:dyDescent="0.4">
      <c r="A47" s="33" t="s">
        <v>55</v>
      </c>
      <c r="B47" s="258" t="s">
        <v>220</v>
      </c>
      <c r="C47" s="293" t="s">
        <v>540</v>
      </c>
      <c r="D47" s="250">
        <v>457407.72</v>
      </c>
      <c r="E47" s="251">
        <v>72961.16</v>
      </c>
      <c r="F47" s="251">
        <v>30038.49</v>
      </c>
      <c r="G47" s="251">
        <v>8027.04</v>
      </c>
      <c r="H47" s="251">
        <v>0</v>
      </c>
      <c r="I47" s="252">
        <v>0</v>
      </c>
      <c r="J47" s="254">
        <v>446.45</v>
      </c>
      <c r="K47" s="253">
        <f>SUM(D47:J47)</f>
        <v>568880.86</v>
      </c>
      <c r="M47" s="250">
        <f>V47*30%</f>
        <v>14211.557999999999</v>
      </c>
      <c r="N47" s="307">
        <f>K47+M47</f>
        <v>583092.41799999995</v>
      </c>
      <c r="P47" s="250">
        <f t="shared" si="0"/>
        <v>33160.302000000003</v>
      </c>
      <c r="Q47" s="307">
        <f>N47+P47</f>
        <v>616252.72</v>
      </c>
      <c r="S47" s="250">
        <v>45124.68</v>
      </c>
      <c r="T47" s="250">
        <v>2247.1799999999998</v>
      </c>
      <c r="U47" s="252"/>
      <c r="V47" s="254">
        <f>SUM(S47:U47)</f>
        <v>47371.86</v>
      </c>
      <c r="X47" s="255">
        <f>K47+V47</f>
        <v>616252.72</v>
      </c>
      <c r="Y47" s="255">
        <f>+(X47/100000)</f>
        <v>6.1625271999999995</v>
      </c>
      <c r="Z47" s="256">
        <v>6.16</v>
      </c>
      <c r="AA47" s="261">
        <f>+Y47-Z47</f>
        <v>2.5271999999993966E-3</v>
      </c>
      <c r="AC47" s="255">
        <f>568878.88+47373.44</f>
        <v>616252.32000000007</v>
      </c>
      <c r="AD47" s="255">
        <f t="shared" si="12"/>
        <v>6.1625232000000008</v>
      </c>
      <c r="AE47" s="255">
        <f>+K47+V47</f>
        <v>616252.72</v>
      </c>
      <c r="AF47" s="255">
        <f t="shared" si="15"/>
        <v>6.1625271999999995</v>
      </c>
      <c r="AG47" s="255">
        <f>+AD47-AF47</f>
        <v>-3.999999998782755E-6</v>
      </c>
    </row>
    <row r="48" spans="1:33" ht="15" thickBot="1" x14ac:dyDescent="0.4">
      <c r="A48" s="33" t="s">
        <v>52</v>
      </c>
      <c r="B48" s="258" t="s">
        <v>225</v>
      </c>
      <c r="C48" s="293" t="s">
        <v>540</v>
      </c>
      <c r="D48" s="250">
        <v>2011912.95</v>
      </c>
      <c r="E48" s="251">
        <v>256082.11</v>
      </c>
      <c r="F48" s="251">
        <v>212555.66</v>
      </c>
      <c r="G48" s="251">
        <v>11376</v>
      </c>
      <c r="H48" s="251">
        <v>0</v>
      </c>
      <c r="I48" s="252">
        <v>0</v>
      </c>
      <c r="J48" s="254">
        <v>0</v>
      </c>
      <c r="K48" s="253">
        <f>SUM(D48:J48)</f>
        <v>2491926.7200000002</v>
      </c>
      <c r="M48" s="239">
        <f>V48*30%</f>
        <v>56989.406999999999</v>
      </c>
      <c r="N48" s="311">
        <f>K48+M48</f>
        <v>2548916.1270000003</v>
      </c>
      <c r="P48" s="239">
        <f t="shared" si="0"/>
        <v>132975.283</v>
      </c>
      <c r="Q48" s="311">
        <f>N48+P48</f>
        <v>2681891.41</v>
      </c>
      <c r="S48" s="239">
        <v>174667.12</v>
      </c>
      <c r="T48" s="250">
        <v>15297.57</v>
      </c>
      <c r="U48" s="252"/>
      <c r="V48" s="254">
        <f>SUM(S48:U48)</f>
        <v>189964.69</v>
      </c>
      <c r="X48" s="255">
        <f>K48+V48</f>
        <v>2681891.41</v>
      </c>
      <c r="Y48" s="255">
        <f>+(X48/100000)</f>
        <v>26.818914100000001</v>
      </c>
      <c r="Z48" s="256">
        <v>26.83</v>
      </c>
      <c r="AA48" s="261">
        <f>+Y48-Z48</f>
        <v>-1.108589999999765E-2</v>
      </c>
      <c r="AC48" s="255">
        <f>2491926.72+189964.69</f>
        <v>2681891.41</v>
      </c>
      <c r="AD48" s="255">
        <f t="shared" si="12"/>
        <v>26.818914100000001</v>
      </c>
      <c r="AE48" s="255">
        <f>+K48+V48</f>
        <v>2681891.41</v>
      </c>
      <c r="AF48" s="255">
        <f t="shared" si="15"/>
        <v>26.818914100000001</v>
      </c>
      <c r="AG48" s="255">
        <f>+AD48-AF48</f>
        <v>0</v>
      </c>
    </row>
    <row r="49" spans="1:33" ht="15" thickBot="1" x14ac:dyDescent="0.4">
      <c r="A49" s="33" t="s">
        <v>53</v>
      </c>
      <c r="B49" s="258" t="s">
        <v>230</v>
      </c>
      <c r="C49" s="293" t="s">
        <v>540</v>
      </c>
      <c r="D49" s="250">
        <v>731786.99</v>
      </c>
      <c r="E49" s="251">
        <v>421422.35</v>
      </c>
      <c r="F49" s="251">
        <v>0</v>
      </c>
      <c r="G49" s="251">
        <v>2515</v>
      </c>
      <c r="H49" s="251">
        <v>0</v>
      </c>
      <c r="I49" s="252">
        <v>0</v>
      </c>
      <c r="J49" s="254">
        <v>0</v>
      </c>
      <c r="K49" s="253">
        <f>SUM(D49:J49)</f>
        <v>1155724.3399999999</v>
      </c>
      <c r="M49" s="250">
        <f>V49*30%</f>
        <v>26804.982</v>
      </c>
      <c r="N49" s="307">
        <f>K49+M49</f>
        <v>1182529.3219999999</v>
      </c>
      <c r="P49" s="250">
        <f t="shared" si="0"/>
        <v>62544.957999999999</v>
      </c>
      <c r="Q49" s="307">
        <f>N49+P49</f>
        <v>1245074.28</v>
      </c>
      <c r="S49" s="250">
        <v>89349.94</v>
      </c>
      <c r="T49" s="250">
        <v>0</v>
      </c>
      <c r="U49" s="252"/>
      <c r="V49" s="254">
        <f>SUM(S49:U49)</f>
        <v>89349.94</v>
      </c>
      <c r="X49" s="255">
        <f>K49+V49</f>
        <v>1245074.2799999998</v>
      </c>
      <c r="Y49" s="255">
        <f>+(X49/100000)</f>
        <v>12.450742799999999</v>
      </c>
      <c r="Z49" s="256">
        <v>12.44</v>
      </c>
      <c r="AA49" s="261">
        <f>+Y49-Z49</f>
        <v>1.0742799999999164E-2</v>
      </c>
      <c r="AC49" s="255">
        <f>1155724.54+89349.94</f>
        <v>1245074.48</v>
      </c>
      <c r="AD49" s="255">
        <f t="shared" si="12"/>
        <v>12.450744799999999</v>
      </c>
      <c r="AE49" s="255">
        <f>+K49+V49</f>
        <v>1245074.2799999998</v>
      </c>
      <c r="AF49" s="255">
        <f t="shared" si="15"/>
        <v>12.450742799999999</v>
      </c>
      <c r="AG49" s="255">
        <f>+AD49-AF49</f>
        <v>2.0000000002795559E-6</v>
      </c>
    </row>
    <row r="50" spans="1:33" ht="15" thickBot="1" x14ac:dyDescent="0.4">
      <c r="A50" s="33"/>
      <c r="B50" s="298"/>
      <c r="C50" s="298"/>
      <c r="D50" s="299">
        <f>SUM(D45:D49)</f>
        <v>6801161.4199999999</v>
      </c>
      <c r="E50" s="299">
        <f t="shared" ref="E50:K50" si="19">SUM(E45:E49)</f>
        <v>1566742.73</v>
      </c>
      <c r="F50" s="299">
        <f t="shared" si="19"/>
        <v>493819.94000000006</v>
      </c>
      <c r="G50" s="299">
        <f t="shared" si="19"/>
        <v>48241.02</v>
      </c>
      <c r="H50" s="299">
        <f t="shared" si="19"/>
        <v>0</v>
      </c>
      <c r="I50" s="326">
        <f t="shared" si="19"/>
        <v>0</v>
      </c>
      <c r="J50" s="333">
        <f t="shared" si="19"/>
        <v>446.45</v>
      </c>
      <c r="K50" s="329">
        <f t="shared" si="19"/>
        <v>8910411.5600000005</v>
      </c>
      <c r="M50" s="299">
        <f>SUM(M45:M49)</f>
        <v>226796.12699999998</v>
      </c>
      <c r="N50" s="299">
        <f>SUM(N45:N49)</f>
        <v>9137207.6870000008</v>
      </c>
      <c r="P50" s="299">
        <f>SUM(P45:P49)</f>
        <v>529190.96299999999</v>
      </c>
      <c r="Q50" s="299">
        <f>SUM(Q45:Q49)</f>
        <v>9666398.6500000004</v>
      </c>
      <c r="S50" s="299">
        <f>SUM(S45:S49)</f>
        <v>715056.6399999999</v>
      </c>
      <c r="T50" s="299">
        <f>SUM(T45:T49)</f>
        <v>40930.449999999997</v>
      </c>
      <c r="U50" s="299">
        <f>SUM(U45:U49)</f>
        <v>0</v>
      </c>
      <c r="V50" s="299">
        <f>SUM(V45:V49)</f>
        <v>755987.08999999985</v>
      </c>
      <c r="X50" s="299">
        <f>SUM(X45:X49)</f>
        <v>9666398.6500000004</v>
      </c>
      <c r="Y50" s="299">
        <f>SUM(Y45:Y49)</f>
        <v>96.663986500000007</v>
      </c>
      <c r="Z50" s="299">
        <f>SUM(Z45:Z49)</f>
        <v>96.67</v>
      </c>
      <c r="AA50" s="299">
        <f>SUM(AA45:AA49)</f>
        <v>-6.0134999999981176E-3</v>
      </c>
      <c r="AC50" s="299">
        <f>SUM(AC45:AC49)</f>
        <v>9666397.9000000022</v>
      </c>
      <c r="AD50" s="299">
        <f>SUM(AD45:AD49)</f>
        <v>96.663978999999998</v>
      </c>
      <c r="AE50" s="299">
        <f>SUM(AE45:AE49)</f>
        <v>9666398.6500000004</v>
      </c>
      <c r="AF50" s="299">
        <f>SUM(AF45:AF49)</f>
        <v>96.663986500000007</v>
      </c>
      <c r="AG50" s="299">
        <f>SUM(AG45:AG49)</f>
        <v>-7.5000000023806024E-6</v>
      </c>
    </row>
    <row r="51" spans="1:33" ht="15" thickBot="1" x14ac:dyDescent="0.4">
      <c r="A51" s="33"/>
      <c r="B51" s="300"/>
      <c r="C51" s="301" t="s">
        <v>378</v>
      </c>
      <c r="D51" s="302">
        <f>D10+D20+D24+D29+D33+D38+D44+D50</f>
        <v>52090008.390000001</v>
      </c>
      <c r="E51" s="302">
        <f t="shared" ref="E51:K51" si="20">E10+E20+E24+E29+E33+E38+E44+E50</f>
        <v>9026553.6899999995</v>
      </c>
      <c r="F51" s="302">
        <f t="shared" si="20"/>
        <v>12296155.749999998</v>
      </c>
      <c r="G51" s="302">
        <f t="shared" si="20"/>
        <v>3294843.7399999998</v>
      </c>
      <c r="H51" s="302">
        <f t="shared" si="20"/>
        <v>29004.690000000002</v>
      </c>
      <c r="I51" s="327">
        <f t="shared" si="20"/>
        <v>0</v>
      </c>
      <c r="J51" s="334">
        <f t="shared" si="20"/>
        <v>136620.15000000002</v>
      </c>
      <c r="K51" s="330">
        <f t="shared" si="20"/>
        <v>76873186.409999996</v>
      </c>
      <c r="M51" s="302">
        <f>M10+M20+M24+M29+M33+M38+M44+M50</f>
        <v>1829085.6869999999</v>
      </c>
      <c r="N51" s="302">
        <f>N10+N20+N24+N29+N33+N38+N44+N50</f>
        <v>78702272.097000003</v>
      </c>
      <c r="P51" s="302">
        <f>P10+P20+P24+P29+P33+P38+P44+P50</f>
        <v>4267866.6030000001</v>
      </c>
      <c r="Q51" s="302">
        <f>Q10+Q20+Q24+Q29+Q33+Q38+Q44+Q50</f>
        <v>82970138.700000003</v>
      </c>
      <c r="S51" s="302">
        <f>S10+S20+S24+S29+S33+S38+S44+S50</f>
        <v>5081057.8</v>
      </c>
      <c r="T51" s="302">
        <f>T10+T20+T24+T29+T33+T38+T44+T50</f>
        <v>1015894.49</v>
      </c>
      <c r="U51" s="302">
        <f>U10+U20+U24+U29+U33+U38+U44+U50</f>
        <v>0</v>
      </c>
      <c r="V51" s="302">
        <f>V10+V20+V24+V29+V33+V38+V44+V50</f>
        <v>6096952.2899999991</v>
      </c>
      <c r="X51" s="302">
        <f>X10+X20+X24+X29+X33+X38+X44+X50</f>
        <v>82970138.700000018</v>
      </c>
      <c r="Y51" s="302">
        <f>Y10+Y20+Y24+Y29+Y33+Y38+Y44+Y50</f>
        <v>829.70138699999995</v>
      </c>
      <c r="Z51" s="302">
        <f>Z10+Z20+Z24+Z29+Z33+Z38+Z44+Z50</f>
        <v>829.81999999999994</v>
      </c>
      <c r="AA51" s="302">
        <f>AA10+AA20+AA24+AA29+AA33+AA38+AA44+AA50</f>
        <v>-0.11861300000001584</v>
      </c>
      <c r="AC51" s="302">
        <f>AC10+AC20+AC24+AC29+AC33+AC38+AC44+AC50</f>
        <v>82970376.719999999</v>
      </c>
      <c r="AD51" s="302">
        <f>AD10+AD20+AD24+AD29+AD33+AD38+AD44+AD50</f>
        <v>829.70376720000002</v>
      </c>
      <c r="AE51" s="302">
        <f>AE10+AE20+AE24+AE29+AE33+AE38+AE44+AE50</f>
        <v>82970138.700000018</v>
      </c>
      <c r="AF51" s="302">
        <f>AF10+AF20+AF24+AF29+AF33+AF38+AF44+AF50</f>
        <v>829.70138699999995</v>
      </c>
      <c r="AG51" s="302">
        <f>AG10+AG20+AG24+AG29+AG33+AG38+AG44+AG50</f>
        <v>2.3802000000237022E-3</v>
      </c>
    </row>
    <row r="53" spans="1:33" x14ac:dyDescent="0.35">
      <c r="X53" s="308"/>
      <c r="Y53" s="239" t="s">
        <v>541</v>
      </c>
      <c r="Z53" s="239" t="s">
        <v>541</v>
      </c>
      <c r="AC53" s="308"/>
    </row>
    <row r="54" spans="1:33" x14ac:dyDescent="0.35">
      <c r="M54" s="239" t="s">
        <v>554</v>
      </c>
      <c r="N54" s="239">
        <v>78699510</v>
      </c>
      <c r="P54" s="239" t="s">
        <v>554</v>
      </c>
      <c r="Q54" s="239">
        <v>78699510</v>
      </c>
      <c r="AC54" s="308"/>
    </row>
    <row r="55" spans="1:33" x14ac:dyDescent="0.35">
      <c r="M55" s="239" t="s">
        <v>558</v>
      </c>
      <c r="N55" s="239">
        <f>N51-N54</f>
        <v>2762.097000002861</v>
      </c>
      <c r="P55" s="239" t="s">
        <v>558</v>
      </c>
      <c r="Q55" s="239">
        <f>Q51-Q54</f>
        <v>4270628.700000003</v>
      </c>
      <c r="Y55" s="303" t="s">
        <v>541</v>
      </c>
      <c r="Z55" s="303" t="s">
        <v>541</v>
      </c>
      <c r="AA55" s="239" t="s">
        <v>541</v>
      </c>
    </row>
    <row r="56" spans="1:33" x14ac:dyDescent="0.35">
      <c r="AA56" t="s">
        <v>541</v>
      </c>
    </row>
    <row r="57" spans="1:33" x14ac:dyDescent="0.35">
      <c r="AA57" t="s">
        <v>541</v>
      </c>
    </row>
    <row r="58" spans="1:33" x14ac:dyDescent="0.35">
      <c r="AA58" t="s">
        <v>541</v>
      </c>
    </row>
    <row r="59" spans="1:33" x14ac:dyDescent="0.35">
      <c r="AA59" t="s">
        <v>541</v>
      </c>
    </row>
    <row r="60" spans="1:33" s="641" customFormat="1" x14ac:dyDescent="0.35">
      <c r="D60" s="643"/>
      <c r="E60" s="643"/>
      <c r="F60" s="643"/>
      <c r="G60" s="643"/>
      <c r="H60" s="643"/>
      <c r="I60" s="643"/>
      <c r="J60" s="643"/>
      <c r="K60" s="643"/>
      <c r="L60" s="643"/>
      <c r="M60" s="643"/>
      <c r="N60" s="643"/>
      <c r="O60" s="643"/>
      <c r="P60" s="643"/>
      <c r="Q60" s="643"/>
      <c r="R60" s="643"/>
      <c r="S60" s="643"/>
      <c r="T60" s="643"/>
      <c r="U60" s="643"/>
      <c r="V60" s="643"/>
      <c r="Z60" s="643"/>
      <c r="AA60" s="641" t="s">
        <v>541</v>
      </c>
    </row>
    <row r="61" spans="1:33" x14ac:dyDescent="0.35">
      <c r="A61" s="654">
        <v>45413</v>
      </c>
      <c r="B61" t="s">
        <v>1067</v>
      </c>
      <c r="AA61" t="s">
        <v>541</v>
      </c>
    </row>
    <row r="62" spans="1:33" x14ac:dyDescent="0.35">
      <c r="AA62" t="s">
        <v>541</v>
      </c>
    </row>
    <row r="63" spans="1:33" x14ac:dyDescent="0.35">
      <c r="A63" s="46" t="s">
        <v>1095</v>
      </c>
      <c r="Q63"/>
      <c r="W63" s="239"/>
      <c r="X63" s="239"/>
      <c r="Z63"/>
      <c r="AB63" s="239"/>
    </row>
    <row r="64" spans="1:33" x14ac:dyDescent="0.35">
      <c r="Q64"/>
      <c r="W64" s="239"/>
      <c r="X64" s="239"/>
      <c r="Z64"/>
      <c r="AB64" s="239"/>
    </row>
    <row r="65" spans="1:41" ht="15" thickBot="1" x14ac:dyDescent="0.4">
      <c r="X65" s="239"/>
      <c r="Y65" s="239"/>
      <c r="AA65" s="239"/>
      <c r="AB65" s="239"/>
      <c r="AC65" s="239"/>
      <c r="AD65" s="239"/>
      <c r="AH65" s="239"/>
    </row>
    <row r="66" spans="1:41" ht="15" customHeight="1" thickBot="1" x14ac:dyDescent="0.4">
      <c r="A66" s="797" t="s">
        <v>501</v>
      </c>
      <c r="B66" s="799" t="s">
        <v>502</v>
      </c>
      <c r="C66" s="801" t="s">
        <v>503</v>
      </c>
      <c r="D66" s="819" t="s">
        <v>504</v>
      </c>
      <c r="E66" s="820"/>
      <c r="F66" s="820"/>
      <c r="G66" s="820"/>
      <c r="H66" s="820"/>
      <c r="I66" s="821"/>
      <c r="J66" s="822"/>
      <c r="K66" s="807" t="s">
        <v>56</v>
      </c>
      <c r="M66" s="239" t="s">
        <v>969</v>
      </c>
      <c r="P66" s="239" t="s">
        <v>970</v>
      </c>
      <c r="S66" s="816" t="s">
        <v>505</v>
      </c>
      <c r="T66" s="817"/>
      <c r="U66" s="818"/>
      <c r="V66" s="807" t="s">
        <v>286</v>
      </c>
      <c r="X66" s="274" t="s">
        <v>1096</v>
      </c>
      <c r="Y66" s="274"/>
      <c r="Z66" s="274"/>
      <c r="AA66" s="289"/>
      <c r="AB66" s="274" t="s">
        <v>1097</v>
      </c>
      <c r="AC66" s="274"/>
      <c r="AD66" s="274"/>
      <c r="AF66" s="648" t="s">
        <v>506</v>
      </c>
      <c r="AG66" s="646" t="s">
        <v>507</v>
      </c>
      <c r="AH66" s="650" t="s">
        <v>508</v>
      </c>
      <c r="AI66" s="652" t="s">
        <v>509</v>
      </c>
      <c r="AK66" s="644" t="s">
        <v>510</v>
      </c>
      <c r="AL66" s="644" t="s">
        <v>510</v>
      </c>
      <c r="AM66" s="644" t="s">
        <v>511</v>
      </c>
      <c r="AN66" s="644" t="s">
        <v>507</v>
      </c>
      <c r="AO66" s="644" t="s">
        <v>512</v>
      </c>
    </row>
    <row r="67" spans="1:41" ht="15" thickBot="1" x14ac:dyDescent="0.4">
      <c r="A67" s="798"/>
      <c r="B67" s="800"/>
      <c r="C67" s="802"/>
      <c r="D67" s="240" t="s">
        <v>513</v>
      </c>
      <c r="E67" s="241" t="s">
        <v>514</v>
      </c>
      <c r="F67" s="241" t="s">
        <v>70</v>
      </c>
      <c r="G67" s="241" t="s">
        <v>515</v>
      </c>
      <c r="H67" s="241" t="s">
        <v>516</v>
      </c>
      <c r="I67" s="242" t="s">
        <v>517</v>
      </c>
      <c r="J67" s="243" t="s">
        <v>518</v>
      </c>
      <c r="K67" s="808"/>
      <c r="M67" s="244" t="s">
        <v>550</v>
      </c>
      <c r="N67" s="244" t="s">
        <v>551</v>
      </c>
      <c r="P67" s="244" t="s">
        <v>550</v>
      </c>
      <c r="Q67" s="244" t="s">
        <v>551</v>
      </c>
      <c r="S67" s="244" t="s">
        <v>519</v>
      </c>
      <c r="T67" s="245" t="s">
        <v>70</v>
      </c>
      <c r="U67" s="246" t="s">
        <v>516</v>
      </c>
      <c r="V67" s="808"/>
      <c r="X67" s="655" t="s">
        <v>1098</v>
      </c>
      <c r="Y67" s="655" t="s">
        <v>1099</v>
      </c>
      <c r="Z67" s="655" t="s">
        <v>1100</v>
      </c>
      <c r="AA67" s="656"/>
      <c r="AB67" s="655" t="s">
        <v>1101</v>
      </c>
      <c r="AC67" s="655" t="s">
        <v>1102</v>
      </c>
      <c r="AD67" s="655" t="s">
        <v>1103</v>
      </c>
      <c r="AF67" s="649"/>
      <c r="AG67" s="647"/>
      <c r="AH67" s="651"/>
      <c r="AI67" s="653"/>
      <c r="AK67" s="645"/>
      <c r="AL67" s="645"/>
      <c r="AM67" s="645"/>
      <c r="AN67" s="645"/>
      <c r="AO67" s="645"/>
    </row>
    <row r="68" spans="1:41" x14ac:dyDescent="0.35">
      <c r="A68" s="247" t="s">
        <v>4</v>
      </c>
      <c r="B68" s="248" t="s">
        <v>520</v>
      </c>
      <c r="C68" s="249" t="s">
        <v>521</v>
      </c>
      <c r="D68" s="250">
        <v>792463</v>
      </c>
      <c r="E68" s="251">
        <v>208940</v>
      </c>
      <c r="F68" s="251">
        <v>0</v>
      </c>
      <c r="G68" s="251">
        <v>127666</v>
      </c>
      <c r="H68" s="251">
        <v>0</v>
      </c>
      <c r="I68" s="252">
        <v>0</v>
      </c>
      <c r="J68" s="657">
        <v>5990</v>
      </c>
      <c r="K68" s="253">
        <f>SUM(D68:J68)</f>
        <v>1135059</v>
      </c>
      <c r="M68" s="250">
        <f>V68*30%</f>
        <v>25050.6</v>
      </c>
      <c r="N68" s="307">
        <f>K68+M68</f>
        <v>1160109.6000000001</v>
      </c>
      <c r="P68" s="285">
        <f>V68-M68</f>
        <v>58451.4</v>
      </c>
      <c r="Q68" s="307">
        <f>N68+P68</f>
        <v>1218561</v>
      </c>
      <c r="S68" s="250">
        <v>83502</v>
      </c>
      <c r="T68" s="250">
        <v>0</v>
      </c>
      <c r="U68" s="252"/>
      <c r="V68" s="254">
        <f>SUM(S68:U68)</f>
        <v>83502</v>
      </c>
      <c r="X68" s="658">
        <f>+((D68+E68+S68)*2.5%)+(H68*14%)+(I68*14%)</f>
        <v>27122.625</v>
      </c>
      <c r="Y68" s="658">
        <v>27143</v>
      </c>
      <c r="Z68" s="659">
        <f>+X68-Y68</f>
        <v>-20.375</v>
      </c>
      <c r="AA68" s="239"/>
      <c r="AB68" s="660">
        <v>0</v>
      </c>
      <c r="AC68" s="660"/>
      <c r="AD68" s="660"/>
      <c r="AF68" s="255">
        <f>K68+V68</f>
        <v>1218561</v>
      </c>
      <c r="AG68" s="255">
        <f>+(AF68/100000)</f>
        <v>12.18561</v>
      </c>
      <c r="AH68" s="256">
        <v>12.19</v>
      </c>
      <c r="AI68" s="261">
        <f>+AG68-AH68</f>
        <v>-4.3899999999990058E-3</v>
      </c>
      <c r="AK68" s="255">
        <f>1135063+83500</f>
        <v>1218563</v>
      </c>
      <c r="AL68" s="255">
        <f>+(AK68/100000)</f>
        <v>12.18563</v>
      </c>
      <c r="AM68" s="255">
        <f>+K68+V68</f>
        <v>1218561</v>
      </c>
      <c r="AN68" s="255">
        <f>+(AM68/100000)</f>
        <v>12.18561</v>
      </c>
      <c r="AO68" s="255">
        <f>+AL68-AN68</f>
        <v>1.9999999999242846E-5</v>
      </c>
    </row>
    <row r="69" spans="1:41" x14ac:dyDescent="0.35">
      <c r="A69" s="247" t="s">
        <v>5</v>
      </c>
      <c r="B69" s="258" t="s">
        <v>217</v>
      </c>
      <c r="C69" s="259" t="s">
        <v>521</v>
      </c>
      <c r="D69" s="250">
        <v>1221739</v>
      </c>
      <c r="E69" s="251">
        <v>242547</v>
      </c>
      <c r="F69" s="251">
        <v>0</v>
      </c>
      <c r="G69" s="251">
        <v>250595</v>
      </c>
      <c r="H69" s="251">
        <v>0</v>
      </c>
      <c r="I69" s="252">
        <v>0</v>
      </c>
      <c r="J69" s="657">
        <v>900</v>
      </c>
      <c r="K69" s="253">
        <f>SUM(D69:J69)</f>
        <v>1715781</v>
      </c>
      <c r="M69" s="250">
        <f>V69*30%</f>
        <v>35168.699999999997</v>
      </c>
      <c r="N69" s="307">
        <f>K69+M69</f>
        <v>1750949.7</v>
      </c>
      <c r="P69" s="285">
        <f>V69-M69</f>
        <v>82060.3</v>
      </c>
      <c r="Q69" s="307">
        <f>N69+P69</f>
        <v>1833010</v>
      </c>
      <c r="S69" s="250">
        <v>117229</v>
      </c>
      <c r="T69" s="250">
        <v>0</v>
      </c>
      <c r="U69" s="252"/>
      <c r="V69" s="254">
        <f>SUM(S69:U69)</f>
        <v>117229</v>
      </c>
      <c r="X69" s="658">
        <f>+((D69+E69+S69)*2.5%)+(H69*14%)+(I69*14%)</f>
        <v>39537.875</v>
      </c>
      <c r="Y69" s="658">
        <v>39562</v>
      </c>
      <c r="Z69" s="659">
        <f>+X69-Y69</f>
        <v>-24.125</v>
      </c>
      <c r="AA69" s="239"/>
      <c r="AB69" s="660"/>
      <c r="AC69" s="660"/>
      <c r="AD69" s="660"/>
      <c r="AF69" s="255">
        <f>K69+V69</f>
        <v>1833010</v>
      </c>
      <c r="AG69" s="255">
        <f>+(AF69/100000)</f>
        <v>18.330100000000002</v>
      </c>
      <c r="AH69" s="256">
        <v>18.34</v>
      </c>
      <c r="AI69" s="261">
        <f>+AG69-AH69</f>
        <v>-9.8999999999982435E-3</v>
      </c>
      <c r="AK69" s="255">
        <f>1715782+117231</f>
        <v>1833013</v>
      </c>
      <c r="AL69" s="255">
        <f t="shared" ref="AL69:AL80" si="21">+(AK69/100000)</f>
        <v>18.33013</v>
      </c>
      <c r="AM69" s="255">
        <f>+K69+V69</f>
        <v>1833010</v>
      </c>
      <c r="AN69" s="255">
        <f>+(AM69/100000)</f>
        <v>18.330100000000002</v>
      </c>
      <c r="AO69" s="255">
        <f>+AL69-AN69</f>
        <v>2.9999999998864268E-5</v>
      </c>
    </row>
    <row r="70" spans="1:41" x14ac:dyDescent="0.35">
      <c r="A70" s="247" t="s">
        <v>7</v>
      </c>
      <c r="B70" s="258" t="s">
        <v>219</v>
      </c>
      <c r="C70" s="259" t="s">
        <v>521</v>
      </c>
      <c r="D70" s="250">
        <v>2166711</v>
      </c>
      <c r="E70" s="251">
        <v>397799</v>
      </c>
      <c r="F70" s="251">
        <v>0</v>
      </c>
      <c r="G70" s="251">
        <v>67425</v>
      </c>
      <c r="H70" s="251">
        <v>0</v>
      </c>
      <c r="I70" s="252">
        <v>0</v>
      </c>
      <c r="J70" s="657">
        <v>2911</v>
      </c>
      <c r="K70" s="253">
        <f>SUM(D70:J70)</f>
        <v>2634846</v>
      </c>
      <c r="M70" s="250">
        <f>V70*30%</f>
        <v>68093.7</v>
      </c>
      <c r="N70" s="307">
        <f>K70+M70</f>
        <v>2702939.7</v>
      </c>
      <c r="P70" s="250">
        <f>V70-M70</f>
        <v>158885.29999999999</v>
      </c>
      <c r="Q70" s="307">
        <f>N70+P70</f>
        <v>2861825</v>
      </c>
      <c r="S70" s="250">
        <v>226979</v>
      </c>
      <c r="T70" s="250">
        <v>0</v>
      </c>
      <c r="U70" s="252"/>
      <c r="V70" s="254">
        <f>SUM(S70:U70)</f>
        <v>226979</v>
      </c>
      <c r="X70" s="658">
        <f>+((D70+E70+S70)*2.5%)+(H70*14%)+(I70*14%)</f>
        <v>69787.225000000006</v>
      </c>
      <c r="Y70" s="658">
        <v>69806</v>
      </c>
      <c r="Z70" s="659">
        <f>+X70-Y70</f>
        <v>-18.774999999994179</v>
      </c>
      <c r="AA70" s="239"/>
      <c r="AB70" s="660"/>
      <c r="AC70" s="660"/>
      <c r="AD70" s="660"/>
      <c r="AF70" s="255">
        <f>K70+V70</f>
        <v>2861825</v>
      </c>
      <c r="AG70" s="255">
        <f>+(AF70/100000)</f>
        <v>28.61825</v>
      </c>
      <c r="AH70" s="256">
        <v>28.62</v>
      </c>
      <c r="AI70" s="261">
        <f>+AG70-AH70</f>
        <v>-1.7500000000012506E-3</v>
      </c>
      <c r="AK70" s="255">
        <f>2634829+226997</f>
        <v>2861826</v>
      </c>
      <c r="AL70" s="255">
        <f t="shared" si="21"/>
        <v>28.618259999999999</v>
      </c>
      <c r="AM70" s="255">
        <f>+K70+V70</f>
        <v>2861825</v>
      </c>
      <c r="AN70" s="255">
        <f>+(AM70/100000)</f>
        <v>28.61825</v>
      </c>
      <c r="AO70" s="255">
        <f>+AL70-AN70</f>
        <v>9.9999999996214228E-6</v>
      </c>
    </row>
    <row r="71" spans="1:41" ht="15" thickBot="1" x14ac:dyDescent="0.4">
      <c r="A71" s="260" t="s">
        <v>8</v>
      </c>
      <c r="B71" s="258" t="s">
        <v>220</v>
      </c>
      <c r="C71" s="259" t="s">
        <v>521</v>
      </c>
      <c r="D71" s="250">
        <v>485027</v>
      </c>
      <c r="E71" s="251">
        <v>110786</v>
      </c>
      <c r="F71" s="251">
        <v>0</v>
      </c>
      <c r="G71" s="251">
        <v>406413</v>
      </c>
      <c r="H71" s="251">
        <v>0</v>
      </c>
      <c r="I71" s="252">
        <v>0</v>
      </c>
      <c r="J71" s="657">
        <v>25666</v>
      </c>
      <c r="K71" s="253">
        <f>SUM(D71:J71)</f>
        <v>1027892</v>
      </c>
      <c r="M71" s="250">
        <f>V71*30%</f>
        <v>15877.5</v>
      </c>
      <c r="N71" s="307">
        <f>K71+M71</f>
        <v>1043769.5</v>
      </c>
      <c r="P71" s="250">
        <f>V71-M71</f>
        <v>37047.5</v>
      </c>
      <c r="Q71" s="307">
        <f>N71+P71</f>
        <v>1080817</v>
      </c>
      <c r="S71" s="250">
        <v>52925</v>
      </c>
      <c r="T71" s="250">
        <v>0</v>
      </c>
      <c r="U71" s="252"/>
      <c r="V71" s="254">
        <f>SUM(S71:U71)</f>
        <v>52925</v>
      </c>
      <c r="X71" s="658">
        <f>+((D71+E71+S71)*2.5%)+(H71*14%)+(I71*14%)</f>
        <v>16218.45</v>
      </c>
      <c r="Y71" s="658">
        <v>16211</v>
      </c>
      <c r="Z71" s="658">
        <f>+X71-Y71</f>
        <v>7.4500000000007276</v>
      </c>
      <c r="AA71" s="239"/>
      <c r="AB71" s="660"/>
      <c r="AC71" s="660"/>
      <c r="AD71" s="660"/>
      <c r="AF71" s="255">
        <f>K71+V71</f>
        <v>1080817</v>
      </c>
      <c r="AG71" s="255">
        <f>+(AF71/100000)</f>
        <v>10.80817</v>
      </c>
      <c r="AH71" s="256">
        <v>10.81</v>
      </c>
      <c r="AI71" s="261">
        <f>+AG71-AH71</f>
        <v>-1.8299999999999983E-3</v>
      </c>
      <c r="AK71" s="255">
        <f>1027887+52940</f>
        <v>1080827</v>
      </c>
      <c r="AL71" s="255">
        <f t="shared" si="21"/>
        <v>10.80827</v>
      </c>
      <c r="AM71" s="255">
        <f>+K71+V71</f>
        <v>1080817</v>
      </c>
      <c r="AN71" s="255">
        <f>+(AM71/100000)</f>
        <v>10.80817</v>
      </c>
      <c r="AO71" s="255">
        <f>+AL71-AN71</f>
        <v>9.9999999999766942E-5</v>
      </c>
    </row>
    <row r="72" spans="1:41" ht="15" thickBot="1" x14ac:dyDescent="0.4">
      <c r="A72" s="89"/>
      <c r="B72" s="262"/>
      <c r="C72" s="263" t="s">
        <v>522</v>
      </c>
      <c r="D72" s="264">
        <f>SUM(D68:D71)</f>
        <v>4665940</v>
      </c>
      <c r="E72" s="264">
        <f t="shared" ref="E72:Q72" si="22">SUM(E68:E71)</f>
        <v>960072</v>
      </c>
      <c r="F72" s="264">
        <f t="shared" si="22"/>
        <v>0</v>
      </c>
      <c r="G72" s="264">
        <f t="shared" si="22"/>
        <v>852099</v>
      </c>
      <c r="H72" s="264">
        <f t="shared" si="22"/>
        <v>0</v>
      </c>
      <c r="I72" s="264">
        <f t="shared" si="22"/>
        <v>0</v>
      </c>
      <c r="J72" s="264">
        <f t="shared" si="22"/>
        <v>35467</v>
      </c>
      <c r="K72" s="264">
        <f t="shared" si="22"/>
        <v>6513578</v>
      </c>
      <c r="M72" s="264">
        <f t="shared" si="22"/>
        <v>144190.5</v>
      </c>
      <c r="N72" s="264">
        <f t="shared" si="22"/>
        <v>6657768.5</v>
      </c>
      <c r="P72" s="264">
        <f t="shared" si="22"/>
        <v>336444.5</v>
      </c>
      <c r="Q72" s="264">
        <f t="shared" si="22"/>
        <v>6994213</v>
      </c>
      <c r="S72" s="264">
        <f>SUM(S68:S71)</f>
        <v>480635</v>
      </c>
      <c r="T72" s="264">
        <f>SUM(T68:T71)</f>
        <v>0</v>
      </c>
      <c r="U72" s="264">
        <f>SUM(U68:U71)</f>
        <v>0</v>
      </c>
      <c r="V72" s="264">
        <f>SUM(V68:V71)</f>
        <v>480635</v>
      </c>
      <c r="X72" s="661">
        <f>SUM(X68:X71)</f>
        <v>152666.17500000002</v>
      </c>
      <c r="Y72" s="661">
        <f>SUM(Y68:Y71)</f>
        <v>152722</v>
      </c>
      <c r="Z72" s="661">
        <f>SUM(Z68:Z71)</f>
        <v>-55.824999999993452</v>
      </c>
      <c r="AA72" s="662"/>
      <c r="AB72" s="661">
        <f>SUM(AB68:AB71)</f>
        <v>0</v>
      </c>
      <c r="AC72" s="661">
        <f>SUM(AC68:AC71)</f>
        <v>0</v>
      </c>
      <c r="AD72" s="661">
        <f>SUM(AD68:AD71)</f>
        <v>0</v>
      </c>
      <c r="AF72" s="265">
        <f>SUM(AF68:AF71)</f>
        <v>6994213</v>
      </c>
      <c r="AG72" s="266">
        <f>SUM(AG68:AG71)</f>
        <v>69.942130000000006</v>
      </c>
      <c r="AH72" s="266">
        <f>SUM(AH68:AH71)</f>
        <v>69.960000000000008</v>
      </c>
      <c r="AI72" s="266">
        <f>SUM(AI68:AI71)</f>
        <v>-1.7869999999998498E-2</v>
      </c>
      <c r="AK72" s="266">
        <f>SUM(AK68:AK71)</f>
        <v>6994229</v>
      </c>
      <c r="AL72" s="266">
        <f>SUM(AL68:AL71)</f>
        <v>69.94229</v>
      </c>
      <c r="AM72" s="266">
        <f>SUM(AM68:AM71)</f>
        <v>6994213</v>
      </c>
      <c r="AN72" s="266">
        <f>SUM(AN68:AN71)</f>
        <v>69.942130000000006</v>
      </c>
      <c r="AO72" s="266">
        <f>SUM(AO68:AO71)</f>
        <v>1.5999999999749548E-4</v>
      </c>
    </row>
    <row r="73" spans="1:41" x14ac:dyDescent="0.35">
      <c r="A73" s="267" t="s">
        <v>25</v>
      </c>
      <c r="B73" s="258" t="s">
        <v>523</v>
      </c>
      <c r="C73" s="259" t="s">
        <v>524</v>
      </c>
      <c r="D73" s="250">
        <v>1186067</v>
      </c>
      <c r="E73" s="251">
        <v>321186</v>
      </c>
      <c r="F73" s="251">
        <v>116758</v>
      </c>
      <c r="G73" s="251">
        <v>133214</v>
      </c>
      <c r="H73" s="251">
        <v>0</v>
      </c>
      <c r="I73" s="252">
        <v>0</v>
      </c>
      <c r="J73" s="657">
        <v>250</v>
      </c>
      <c r="K73" s="253">
        <f t="shared" ref="K73:K81" si="23">SUM(D73:J73)</f>
        <v>1757475</v>
      </c>
      <c r="M73" s="250">
        <f t="shared" ref="M73:M81" si="24">V73*30%</f>
        <v>40270.199999999997</v>
      </c>
      <c r="N73" s="307">
        <f t="shared" ref="N73:N81" si="25">K73+M73</f>
        <v>1797745.2</v>
      </c>
      <c r="P73" s="250">
        <f t="shared" ref="P73:P81" si="26">V73-M73</f>
        <v>93963.8</v>
      </c>
      <c r="Q73" s="307">
        <f t="shared" ref="Q73:Q81" si="27">N73+P73</f>
        <v>1891709</v>
      </c>
      <c r="S73" s="250">
        <v>124273</v>
      </c>
      <c r="T73" s="250">
        <v>9961</v>
      </c>
      <c r="U73" s="252"/>
      <c r="V73" s="254">
        <f t="shared" ref="V73:V81" si="28">SUM(S73:U73)</f>
        <v>134234</v>
      </c>
      <c r="X73" s="658">
        <f>+((D73+E73+S73)*2.5%)+(H73*14%)+(I73*14%)</f>
        <v>40788.15</v>
      </c>
      <c r="Y73" s="658">
        <v>40795</v>
      </c>
      <c r="Z73" s="658">
        <f>+X73-Y73</f>
        <v>-6.8499999999985448</v>
      </c>
      <c r="AA73" s="239"/>
      <c r="AB73" s="658">
        <f>+(F73+T73)*10%</f>
        <v>12671.900000000001</v>
      </c>
      <c r="AC73" s="658">
        <v>12681</v>
      </c>
      <c r="AD73" s="658">
        <f>+AB73-AC73</f>
        <v>-9.0999999999985448</v>
      </c>
      <c r="AF73" s="255">
        <f t="shared" ref="AF73:AF81" si="29">K73+V73</f>
        <v>1891709</v>
      </c>
      <c r="AG73" s="255">
        <f t="shared" ref="AG73:AG81" si="30">+(AF73/100000)</f>
        <v>18.917090000000002</v>
      </c>
      <c r="AH73" s="256">
        <v>18.920000000000002</v>
      </c>
      <c r="AI73" s="261">
        <f t="shared" ref="AI73:AI81" si="31">+AG73-AH73</f>
        <v>-2.9099999999999682E-3</v>
      </c>
      <c r="AK73" s="255">
        <f>1757477+134236</f>
        <v>1891713</v>
      </c>
      <c r="AL73" s="255">
        <f t="shared" si="21"/>
        <v>18.91713</v>
      </c>
      <c r="AM73" s="255">
        <f t="shared" ref="AM73:AM81" si="32">+K73+V73</f>
        <v>1891709</v>
      </c>
      <c r="AN73" s="255">
        <f t="shared" ref="AN73:AN81" si="33">+(AM73/100000)</f>
        <v>18.917090000000002</v>
      </c>
      <c r="AO73" s="255">
        <f t="shared" ref="AO73:AO81" si="34">+AL73-AN73</f>
        <v>3.9999999998485691E-5</v>
      </c>
    </row>
    <row r="74" spans="1:41" x14ac:dyDescent="0.35">
      <c r="A74" s="247" t="s">
        <v>26</v>
      </c>
      <c r="B74" s="258" t="s">
        <v>217</v>
      </c>
      <c r="C74" s="259" t="s">
        <v>524</v>
      </c>
      <c r="D74" s="250">
        <v>1489699</v>
      </c>
      <c r="E74" s="251">
        <v>250984</v>
      </c>
      <c r="F74" s="251">
        <v>0</v>
      </c>
      <c r="G74" s="251">
        <v>145099</v>
      </c>
      <c r="H74" s="251">
        <v>0</v>
      </c>
      <c r="I74" s="252">
        <v>0</v>
      </c>
      <c r="J74" s="657">
        <v>4875</v>
      </c>
      <c r="K74" s="253">
        <f t="shared" si="23"/>
        <v>1890657</v>
      </c>
      <c r="M74" s="250">
        <f t="shared" si="24"/>
        <v>42450.6</v>
      </c>
      <c r="N74" s="307">
        <f t="shared" si="25"/>
        <v>1933107.6</v>
      </c>
      <c r="P74" s="250">
        <f t="shared" si="26"/>
        <v>99051.4</v>
      </c>
      <c r="Q74" s="307">
        <f t="shared" si="27"/>
        <v>2032159</v>
      </c>
      <c r="S74" s="250">
        <v>141502</v>
      </c>
      <c r="T74" s="250">
        <v>0</v>
      </c>
      <c r="U74" s="252"/>
      <c r="V74" s="254">
        <f t="shared" si="28"/>
        <v>141502</v>
      </c>
      <c r="X74" s="658">
        <f>+((D74+E74+S74)*2.5%)+(H74*14%)+(I74*14%)</f>
        <v>47054.625</v>
      </c>
      <c r="Y74" s="658">
        <v>47078</v>
      </c>
      <c r="Z74" s="659">
        <f>+X74-Y74</f>
        <v>-23.375</v>
      </c>
      <c r="AA74" s="239"/>
      <c r="AB74" s="660">
        <f>+(F74+T74)*10%</f>
        <v>0</v>
      </c>
      <c r="AC74" s="660"/>
      <c r="AD74" s="660"/>
      <c r="AF74" s="255">
        <f t="shared" si="29"/>
        <v>2032159</v>
      </c>
      <c r="AG74" s="255">
        <f t="shared" si="30"/>
        <v>20.32159</v>
      </c>
      <c r="AH74" s="256">
        <v>20.32</v>
      </c>
      <c r="AI74" s="261">
        <f t="shared" si="31"/>
        <v>1.5900000000002024E-3</v>
      </c>
      <c r="AK74" s="255">
        <f>1890630+141502</f>
        <v>2032132</v>
      </c>
      <c r="AL74" s="255">
        <f t="shared" si="21"/>
        <v>20.32132</v>
      </c>
      <c r="AM74" s="255">
        <f t="shared" si="32"/>
        <v>2032159</v>
      </c>
      <c r="AN74" s="255">
        <f t="shared" si="33"/>
        <v>20.32159</v>
      </c>
      <c r="AO74" s="255">
        <f t="shared" si="34"/>
        <v>-2.7000000000043656E-4</v>
      </c>
    </row>
    <row r="75" spans="1:41" x14ac:dyDescent="0.35">
      <c r="A75" s="247" t="s">
        <v>28</v>
      </c>
      <c r="B75" s="258" t="s">
        <v>525</v>
      </c>
      <c r="C75" s="259" t="s">
        <v>524</v>
      </c>
      <c r="D75" s="250">
        <v>1925072</v>
      </c>
      <c r="E75" s="251">
        <v>361321</v>
      </c>
      <c r="F75" s="251">
        <v>1282700</v>
      </c>
      <c r="G75" s="251">
        <v>42685</v>
      </c>
      <c r="H75" s="251">
        <v>4808</v>
      </c>
      <c r="I75" s="252">
        <v>0</v>
      </c>
      <c r="J75" s="657">
        <v>1699</v>
      </c>
      <c r="K75" s="253">
        <f t="shared" si="23"/>
        <v>3618285</v>
      </c>
      <c r="M75" s="250">
        <f t="shared" si="24"/>
        <v>98365.5</v>
      </c>
      <c r="N75" s="307">
        <f t="shared" si="25"/>
        <v>3716650.5</v>
      </c>
      <c r="P75" s="250">
        <f t="shared" si="26"/>
        <v>229519.5</v>
      </c>
      <c r="Q75" s="307">
        <f t="shared" si="27"/>
        <v>3946170</v>
      </c>
      <c r="S75" s="250">
        <v>209483</v>
      </c>
      <c r="T75" s="250">
        <v>118402</v>
      </c>
      <c r="U75" s="252"/>
      <c r="V75" s="254">
        <f t="shared" si="28"/>
        <v>327885</v>
      </c>
      <c r="X75" s="658">
        <f>+((D75+E75+S75)*2.5%)+(H75*14%)+(I75*14%)</f>
        <v>63070.020000000004</v>
      </c>
      <c r="Y75" s="658">
        <v>63092</v>
      </c>
      <c r="Z75" s="659">
        <f>+X75-Y75</f>
        <v>-21.979999999995925</v>
      </c>
      <c r="AA75" s="239"/>
      <c r="AB75" s="658">
        <f>+(F75+T75)*10%</f>
        <v>140110.20000000001</v>
      </c>
      <c r="AC75" s="658">
        <v>140114</v>
      </c>
      <c r="AD75" s="658">
        <f>+AB75-AC75</f>
        <v>-3.7999999999883585</v>
      </c>
      <c r="AF75" s="255">
        <f t="shared" si="29"/>
        <v>3946170</v>
      </c>
      <c r="AG75" s="255">
        <f t="shared" si="30"/>
        <v>39.4617</v>
      </c>
      <c r="AH75" s="256">
        <v>39.46</v>
      </c>
      <c r="AI75" s="261">
        <f t="shared" si="31"/>
        <v>1.6999999999995907E-3</v>
      </c>
      <c r="AK75" s="255">
        <f>3618287+327885</f>
        <v>3946172</v>
      </c>
      <c r="AL75" s="255">
        <f t="shared" si="21"/>
        <v>39.46172</v>
      </c>
      <c r="AM75" s="255">
        <f t="shared" si="32"/>
        <v>3946170</v>
      </c>
      <c r="AN75" s="255">
        <f t="shared" si="33"/>
        <v>39.4617</v>
      </c>
      <c r="AO75" s="255">
        <f t="shared" si="34"/>
        <v>1.9999999999242846E-5</v>
      </c>
    </row>
    <row r="76" spans="1:41" x14ac:dyDescent="0.35">
      <c r="A76" s="247" t="s">
        <v>29</v>
      </c>
      <c r="B76" s="258" t="s">
        <v>225</v>
      </c>
      <c r="C76" s="259" t="s">
        <v>524</v>
      </c>
      <c r="D76" s="250">
        <v>3373204</v>
      </c>
      <c r="E76" s="251">
        <v>286992</v>
      </c>
      <c r="F76" s="251">
        <v>426090</v>
      </c>
      <c r="G76" s="251">
        <v>410381</v>
      </c>
      <c r="H76" s="251">
        <v>0</v>
      </c>
      <c r="I76" s="252">
        <v>0</v>
      </c>
      <c r="J76" s="657">
        <v>19684</v>
      </c>
      <c r="K76" s="253">
        <f t="shared" si="23"/>
        <v>4516351</v>
      </c>
      <c r="M76" s="250">
        <f t="shared" si="24"/>
        <v>101506.5</v>
      </c>
      <c r="N76" s="307">
        <f t="shared" si="25"/>
        <v>4617857.5</v>
      </c>
      <c r="P76" s="250">
        <f t="shared" si="26"/>
        <v>236848.5</v>
      </c>
      <c r="Q76" s="307">
        <f t="shared" si="27"/>
        <v>4854706</v>
      </c>
      <c r="S76" s="250">
        <v>299830</v>
      </c>
      <c r="T76" s="250">
        <v>38525</v>
      </c>
      <c r="U76" s="252"/>
      <c r="V76" s="254">
        <f t="shared" si="28"/>
        <v>338355</v>
      </c>
      <c r="X76" s="658">
        <f>+((D76+E76+S76)*2.5%)+(H76*14%)+(I76*14%)</f>
        <v>99000.650000000009</v>
      </c>
      <c r="Y76" s="658">
        <v>99028</v>
      </c>
      <c r="Z76" s="659">
        <f>+X76-Y76</f>
        <v>-27.349999999991269</v>
      </c>
      <c r="AA76" s="239"/>
      <c r="AB76" s="658">
        <f>+(F76+T76)*10%</f>
        <v>46461.5</v>
      </c>
      <c r="AC76" s="658">
        <v>46482</v>
      </c>
      <c r="AD76" s="658">
        <f>+AB76-AC76</f>
        <v>-20.5</v>
      </c>
      <c r="AF76" s="255">
        <f t="shared" si="29"/>
        <v>4854706</v>
      </c>
      <c r="AG76" s="255">
        <f t="shared" si="30"/>
        <v>48.547060000000002</v>
      </c>
      <c r="AH76" s="256">
        <v>48.56</v>
      </c>
      <c r="AI76" s="261">
        <f t="shared" si="31"/>
        <v>-1.2940000000000396E-2</v>
      </c>
      <c r="AK76" s="255">
        <f>4517353+338355</f>
        <v>4855708</v>
      </c>
      <c r="AL76" s="255">
        <f t="shared" si="21"/>
        <v>48.557079999999999</v>
      </c>
      <c r="AM76" s="255">
        <f t="shared" si="32"/>
        <v>4854706</v>
      </c>
      <c r="AN76" s="255">
        <f t="shared" si="33"/>
        <v>48.547060000000002</v>
      </c>
      <c r="AO76" s="255">
        <f t="shared" si="34"/>
        <v>1.0019999999997253E-2</v>
      </c>
    </row>
    <row r="77" spans="1:41" x14ac:dyDescent="0.35">
      <c r="A77" s="247" t="s">
        <v>30</v>
      </c>
      <c r="B77" s="258" t="s">
        <v>230</v>
      </c>
      <c r="C77" s="259" t="s">
        <v>524</v>
      </c>
      <c r="D77" s="250">
        <v>254625</v>
      </c>
      <c r="E77" s="251">
        <v>132422</v>
      </c>
      <c r="F77" s="251">
        <v>4266</v>
      </c>
      <c r="G77" s="251">
        <v>9178</v>
      </c>
      <c r="H77" s="251">
        <v>0</v>
      </c>
      <c r="I77" s="252">
        <v>0</v>
      </c>
      <c r="J77" s="657">
        <v>494</v>
      </c>
      <c r="K77" s="253">
        <f t="shared" si="23"/>
        <v>400985</v>
      </c>
      <c r="M77" s="250">
        <f t="shared" si="24"/>
        <v>9819.2999999999993</v>
      </c>
      <c r="N77" s="307">
        <f t="shared" si="25"/>
        <v>410804.3</v>
      </c>
      <c r="P77" s="250">
        <f t="shared" si="26"/>
        <v>22911.7</v>
      </c>
      <c r="Q77" s="307">
        <f t="shared" si="27"/>
        <v>433716</v>
      </c>
      <c r="S77" s="250">
        <v>32305</v>
      </c>
      <c r="T77" s="250">
        <v>426</v>
      </c>
      <c r="U77" s="252"/>
      <c r="V77" s="254">
        <f t="shared" si="28"/>
        <v>32731</v>
      </c>
      <c r="X77" s="658">
        <f>+((D77+E77+S77)*2.5%)+(H77*14%)+(I77*14%)</f>
        <v>10483.800000000001</v>
      </c>
      <c r="Y77" s="658">
        <v>10499</v>
      </c>
      <c r="Z77" s="658">
        <f>+X77-Y77</f>
        <v>-15.199999999998909</v>
      </c>
      <c r="AA77" s="239"/>
      <c r="AB77" s="658">
        <f>+(F77+T77)*10%</f>
        <v>469.20000000000005</v>
      </c>
      <c r="AC77" s="658">
        <v>471</v>
      </c>
      <c r="AD77" s="658">
        <f>+AB77-AC77</f>
        <v>-1.7999999999999545</v>
      </c>
      <c r="AF77" s="255">
        <f t="shared" si="29"/>
        <v>433716</v>
      </c>
      <c r="AG77" s="255">
        <f t="shared" si="30"/>
        <v>4.3371599999999999</v>
      </c>
      <c r="AH77" s="256">
        <v>4.34</v>
      </c>
      <c r="AI77" s="261">
        <f t="shared" si="31"/>
        <v>-2.8399999999999537E-3</v>
      </c>
      <c r="AK77" s="255">
        <f>400988+32732</f>
        <v>433720</v>
      </c>
      <c r="AL77" s="255">
        <f t="shared" si="21"/>
        <v>4.3372000000000002</v>
      </c>
      <c r="AM77" s="255">
        <f t="shared" si="32"/>
        <v>433716</v>
      </c>
      <c r="AN77" s="255">
        <f t="shared" si="33"/>
        <v>4.3371599999999999</v>
      </c>
      <c r="AO77" s="255">
        <f t="shared" si="34"/>
        <v>4.0000000000262048E-5</v>
      </c>
    </row>
    <row r="78" spans="1:41" s="277" customFormat="1" x14ac:dyDescent="0.35">
      <c r="A78" s="268"/>
      <c r="B78" s="269" t="s">
        <v>219</v>
      </c>
      <c r="C78" s="270" t="s">
        <v>524</v>
      </c>
      <c r="D78" s="271">
        <v>0</v>
      </c>
      <c r="E78" s="271">
        <v>0</v>
      </c>
      <c r="F78" s="272">
        <v>0</v>
      </c>
      <c r="G78" s="272">
        <v>0</v>
      </c>
      <c r="H78" s="272">
        <v>0</v>
      </c>
      <c r="I78" s="272">
        <v>0</v>
      </c>
      <c r="J78" s="663">
        <v>0</v>
      </c>
      <c r="K78" s="273">
        <f t="shared" si="23"/>
        <v>0</v>
      </c>
      <c r="L78" s="274"/>
      <c r="M78" s="250">
        <f t="shared" si="24"/>
        <v>0</v>
      </c>
      <c r="N78" s="307">
        <f t="shared" si="25"/>
        <v>0</v>
      </c>
      <c r="O78" s="239"/>
      <c r="P78" s="250">
        <f t="shared" si="26"/>
        <v>0</v>
      </c>
      <c r="Q78" s="307">
        <f t="shared" si="27"/>
        <v>0</v>
      </c>
      <c r="S78" s="271">
        <v>0</v>
      </c>
      <c r="T78" s="271">
        <v>0</v>
      </c>
      <c r="U78" s="275"/>
      <c r="V78" s="276">
        <f t="shared" si="28"/>
        <v>0</v>
      </c>
      <c r="X78" s="664"/>
      <c r="Y78" s="664"/>
      <c r="Z78" s="664"/>
      <c r="AA78" s="274"/>
      <c r="AB78" s="664"/>
      <c r="AC78" s="664"/>
      <c r="AD78" s="664"/>
      <c r="AF78" s="278">
        <f t="shared" si="29"/>
        <v>0</v>
      </c>
      <c r="AG78" s="278">
        <f t="shared" si="30"/>
        <v>0</v>
      </c>
      <c r="AH78" s="279">
        <v>0</v>
      </c>
      <c r="AI78" s="279">
        <f t="shared" si="31"/>
        <v>0</v>
      </c>
      <c r="AJ78" s="277" t="s">
        <v>526</v>
      </c>
      <c r="AK78" s="278"/>
      <c r="AL78" s="278">
        <f t="shared" si="21"/>
        <v>0</v>
      </c>
      <c r="AM78" s="278">
        <f t="shared" si="32"/>
        <v>0</v>
      </c>
      <c r="AN78" s="278">
        <f t="shared" si="33"/>
        <v>0</v>
      </c>
      <c r="AO78" s="278">
        <f t="shared" si="34"/>
        <v>0</v>
      </c>
    </row>
    <row r="79" spans="1:41" x14ac:dyDescent="0.35">
      <c r="A79" s="247" t="s">
        <v>31</v>
      </c>
      <c r="B79" s="258" t="s">
        <v>231</v>
      </c>
      <c r="C79" s="259" t="s">
        <v>524</v>
      </c>
      <c r="D79" s="250">
        <v>1487252</v>
      </c>
      <c r="E79" s="251">
        <v>143041</v>
      </c>
      <c r="F79" s="251">
        <v>254024</v>
      </c>
      <c r="G79" s="251">
        <v>51283</v>
      </c>
      <c r="H79" s="251">
        <v>0</v>
      </c>
      <c r="I79" s="252">
        <v>0</v>
      </c>
      <c r="J79" s="657">
        <v>1831</v>
      </c>
      <c r="K79" s="253">
        <f t="shared" si="23"/>
        <v>1937431</v>
      </c>
      <c r="M79" s="250">
        <f t="shared" si="24"/>
        <v>50745.9</v>
      </c>
      <c r="N79" s="307">
        <f t="shared" si="25"/>
        <v>1988176.9</v>
      </c>
      <c r="P79" s="250">
        <f t="shared" si="26"/>
        <v>118407.1</v>
      </c>
      <c r="Q79" s="307">
        <f t="shared" si="27"/>
        <v>2106584</v>
      </c>
      <c r="S79" s="250">
        <v>147336</v>
      </c>
      <c r="T79" s="250">
        <v>21817</v>
      </c>
      <c r="U79" s="252"/>
      <c r="V79" s="254">
        <f t="shared" si="28"/>
        <v>169153</v>
      </c>
      <c r="X79" s="658">
        <f>+((D79+E79+S79)*2.5%)+(H79*14%)+(I79*14%)</f>
        <v>44440.725000000006</v>
      </c>
      <c r="Y79" s="658">
        <v>44461</v>
      </c>
      <c r="Z79" s="659">
        <f>+X79-Y79</f>
        <v>-20.274999999994179</v>
      </c>
      <c r="AA79" s="239"/>
      <c r="AB79" s="658">
        <f>+(F79+T79)*10%</f>
        <v>27584.100000000002</v>
      </c>
      <c r="AC79" s="658">
        <v>27593</v>
      </c>
      <c r="AD79" s="658">
        <f>+AB79-AC79</f>
        <v>-8.8999999999978172</v>
      </c>
      <c r="AF79" s="255">
        <f t="shared" si="29"/>
        <v>2106584</v>
      </c>
      <c r="AG79" s="255">
        <f t="shared" si="30"/>
        <v>21.065840000000001</v>
      </c>
      <c r="AH79" s="256">
        <v>21.07</v>
      </c>
      <c r="AI79" s="261">
        <f t="shared" si="31"/>
        <v>-4.1599999999988313E-3</v>
      </c>
      <c r="AK79" s="255">
        <f>1937434+169154</f>
        <v>2106588</v>
      </c>
      <c r="AL79" s="255">
        <f t="shared" si="21"/>
        <v>21.06588</v>
      </c>
      <c r="AM79" s="255">
        <f t="shared" si="32"/>
        <v>2106584</v>
      </c>
      <c r="AN79" s="255">
        <f t="shared" si="33"/>
        <v>21.065840000000001</v>
      </c>
      <c r="AO79" s="255">
        <f t="shared" si="34"/>
        <v>3.9999999998485691E-5</v>
      </c>
    </row>
    <row r="80" spans="1:41" x14ac:dyDescent="0.35">
      <c r="A80" s="247" t="s">
        <v>32</v>
      </c>
      <c r="B80" s="258" t="s">
        <v>232</v>
      </c>
      <c r="C80" s="259" t="s">
        <v>524</v>
      </c>
      <c r="D80" s="250">
        <v>1408362</v>
      </c>
      <c r="E80" s="251">
        <v>192062</v>
      </c>
      <c r="F80" s="251">
        <v>0</v>
      </c>
      <c r="G80" s="251">
        <v>72729</v>
      </c>
      <c r="H80" s="251">
        <v>0</v>
      </c>
      <c r="I80" s="252">
        <v>0</v>
      </c>
      <c r="J80" s="657">
        <v>4122</v>
      </c>
      <c r="K80" s="253">
        <f t="shared" si="23"/>
        <v>1677275</v>
      </c>
      <c r="M80" s="250">
        <f t="shared" si="24"/>
        <v>36632.400000000001</v>
      </c>
      <c r="N80" s="307">
        <f t="shared" si="25"/>
        <v>1713907.4</v>
      </c>
      <c r="P80" s="250">
        <f t="shared" si="26"/>
        <v>85475.6</v>
      </c>
      <c r="Q80" s="307">
        <f t="shared" si="27"/>
        <v>1799383</v>
      </c>
      <c r="S80" s="250">
        <v>122108</v>
      </c>
      <c r="T80" s="250">
        <v>0</v>
      </c>
      <c r="U80" s="252"/>
      <c r="V80" s="254">
        <f t="shared" si="28"/>
        <v>122108</v>
      </c>
      <c r="X80" s="658">
        <f>+((D80+E80+S80)*2.5%)+(H80*14%)+(I80*14%)</f>
        <v>43063.3</v>
      </c>
      <c r="Y80" s="658">
        <v>43077</v>
      </c>
      <c r="Z80" s="659">
        <f>+X80-Y80</f>
        <v>-13.69999999999709</v>
      </c>
      <c r="AA80" s="239"/>
      <c r="AB80" s="660">
        <f>+(F80+T80)*10%</f>
        <v>0</v>
      </c>
      <c r="AC80" s="660"/>
      <c r="AD80" s="660"/>
      <c r="AF80" s="255">
        <f t="shared" si="29"/>
        <v>1799383</v>
      </c>
      <c r="AG80" s="255">
        <f t="shared" si="30"/>
        <v>17.993829999999999</v>
      </c>
      <c r="AH80" s="256">
        <v>18</v>
      </c>
      <c r="AI80" s="261">
        <f t="shared" si="31"/>
        <v>-6.170000000000897E-3</v>
      </c>
      <c r="AK80" s="255">
        <f>1677247+122109</f>
        <v>1799356</v>
      </c>
      <c r="AL80" s="255">
        <f t="shared" si="21"/>
        <v>17.993559999999999</v>
      </c>
      <c r="AM80" s="255">
        <f t="shared" si="32"/>
        <v>1799383</v>
      </c>
      <c r="AN80" s="255">
        <f t="shared" si="33"/>
        <v>17.993829999999999</v>
      </c>
      <c r="AO80" s="255">
        <f t="shared" si="34"/>
        <v>-2.7000000000043656E-4</v>
      </c>
    </row>
    <row r="81" spans="1:41" ht="15" thickBot="1" x14ac:dyDescent="0.4">
      <c r="A81" s="260" t="s">
        <v>33</v>
      </c>
      <c r="B81" s="258" t="s">
        <v>220</v>
      </c>
      <c r="C81" s="259" t="s">
        <v>524</v>
      </c>
      <c r="D81" s="250">
        <v>911711</v>
      </c>
      <c r="E81" s="251">
        <v>144753</v>
      </c>
      <c r="F81" s="251">
        <v>453004</v>
      </c>
      <c r="G81" s="251">
        <v>504488</v>
      </c>
      <c r="H81" s="251">
        <v>0</v>
      </c>
      <c r="I81" s="252">
        <v>0</v>
      </c>
      <c r="J81" s="657">
        <v>25292</v>
      </c>
      <c r="K81" s="253">
        <f t="shared" si="23"/>
        <v>2039248</v>
      </c>
      <c r="M81" s="250">
        <f t="shared" si="24"/>
        <v>32498.699999999997</v>
      </c>
      <c r="N81" s="307">
        <f t="shared" si="25"/>
        <v>2071746.7</v>
      </c>
      <c r="P81" s="250">
        <f t="shared" si="26"/>
        <v>75830.3</v>
      </c>
      <c r="Q81" s="307">
        <f t="shared" si="27"/>
        <v>2147577</v>
      </c>
      <c r="S81" s="250">
        <v>77530</v>
      </c>
      <c r="T81" s="250">
        <v>30799</v>
      </c>
      <c r="U81" s="252"/>
      <c r="V81" s="254">
        <f t="shared" si="28"/>
        <v>108329</v>
      </c>
      <c r="X81" s="658">
        <f>+((D81+E81+S81)*2.5%)+(H81*14%)+(I81*14%)</f>
        <v>28349.850000000002</v>
      </c>
      <c r="Y81" s="658">
        <v>28355</v>
      </c>
      <c r="Z81" s="658">
        <f>+X81-Y81</f>
        <v>-5.1499999999978172</v>
      </c>
      <c r="AA81" s="239"/>
      <c r="AB81" s="658">
        <f>+(F81+T81)*10%</f>
        <v>48380.3</v>
      </c>
      <c r="AC81" s="658">
        <v>48395</v>
      </c>
      <c r="AD81" s="658">
        <f>+AB81-AC81</f>
        <v>-14.69999999999709</v>
      </c>
      <c r="AF81" s="255">
        <f t="shared" si="29"/>
        <v>2147577</v>
      </c>
      <c r="AG81" s="255">
        <f t="shared" si="30"/>
        <v>21.475770000000001</v>
      </c>
      <c r="AH81" s="256">
        <v>21.48</v>
      </c>
      <c r="AI81" s="261">
        <f t="shared" si="31"/>
        <v>-4.229999999999734E-3</v>
      </c>
      <c r="AK81" s="255">
        <f>2039249+108330</f>
        <v>2147579</v>
      </c>
      <c r="AL81" s="255">
        <f>+(AK81/100000)</f>
        <v>21.47579</v>
      </c>
      <c r="AM81" s="255">
        <f t="shared" si="32"/>
        <v>2147577</v>
      </c>
      <c r="AN81" s="255">
        <f t="shared" si="33"/>
        <v>21.475770000000001</v>
      </c>
      <c r="AO81" s="255">
        <f t="shared" si="34"/>
        <v>1.9999999999242846E-5</v>
      </c>
    </row>
    <row r="82" spans="1:41" ht="15" thickBot="1" x14ac:dyDescent="0.4">
      <c r="A82" s="89"/>
      <c r="B82" s="262"/>
      <c r="C82" s="263" t="s">
        <v>527</v>
      </c>
      <c r="D82" s="264">
        <f>SUM(D73:D81)</f>
        <v>12035992</v>
      </c>
      <c r="E82" s="264">
        <f t="shared" ref="E82:Q82" si="35">SUM(E73:E81)</f>
        <v>1832761</v>
      </c>
      <c r="F82" s="264">
        <f t="shared" si="35"/>
        <v>2536842</v>
      </c>
      <c r="G82" s="264">
        <f t="shared" si="35"/>
        <v>1369057</v>
      </c>
      <c r="H82" s="264">
        <f t="shared" si="35"/>
        <v>4808</v>
      </c>
      <c r="I82" s="264">
        <f t="shared" si="35"/>
        <v>0</v>
      </c>
      <c r="J82" s="264">
        <f t="shared" si="35"/>
        <v>58247</v>
      </c>
      <c r="K82" s="264">
        <f t="shared" si="35"/>
        <v>17837707</v>
      </c>
      <c r="M82" s="264">
        <f t="shared" si="35"/>
        <v>412289.10000000003</v>
      </c>
      <c r="N82" s="264">
        <f t="shared" si="35"/>
        <v>18249996.100000001</v>
      </c>
      <c r="P82" s="264">
        <f t="shared" si="35"/>
        <v>962007.89999999991</v>
      </c>
      <c r="Q82" s="264">
        <f t="shared" si="35"/>
        <v>19212004</v>
      </c>
      <c r="S82" s="264">
        <f t="shared" ref="S82:Z82" si="36">SUM(S73:S81)</f>
        <v>1154367</v>
      </c>
      <c r="T82" s="264">
        <f t="shared" si="36"/>
        <v>219930</v>
      </c>
      <c r="U82" s="264">
        <f t="shared" si="36"/>
        <v>0</v>
      </c>
      <c r="V82" s="264">
        <f t="shared" si="36"/>
        <v>1374297</v>
      </c>
      <c r="X82" s="661">
        <f t="shared" si="36"/>
        <v>376251.11999999994</v>
      </c>
      <c r="Y82" s="661">
        <f t="shared" si="36"/>
        <v>376385</v>
      </c>
      <c r="Z82" s="661">
        <f t="shared" si="36"/>
        <v>-133.87999999997373</v>
      </c>
      <c r="AA82" s="662"/>
      <c r="AB82" s="661">
        <f>SUM(AB73:AB81)</f>
        <v>275677.2</v>
      </c>
      <c r="AC82" s="661">
        <f>SUM(AC73:AC81)</f>
        <v>275736</v>
      </c>
      <c r="AD82" s="661">
        <f>SUM(AD73:AD81)</f>
        <v>-58.799999999981765</v>
      </c>
      <c r="AF82" s="265">
        <f>SUM(AF73:AF81)</f>
        <v>19212004</v>
      </c>
      <c r="AG82" s="265">
        <f>SUM(AG73:AG81)</f>
        <v>192.12004000000002</v>
      </c>
      <c r="AH82" s="265">
        <f>SUM(AH73:AH81)</f>
        <v>192.14999999999998</v>
      </c>
      <c r="AI82" s="265">
        <f>SUM(AI73:AI81)</f>
        <v>-2.9959999999999987E-2</v>
      </c>
      <c r="AK82" s="265">
        <f>SUM(AK73:AK81)</f>
        <v>19212968</v>
      </c>
      <c r="AL82" s="265">
        <f>SUM(AL73:AL81)</f>
        <v>192.12967999999998</v>
      </c>
      <c r="AM82" s="265">
        <f>SUM(AM73:AM81)</f>
        <v>19212004</v>
      </c>
      <c r="AN82" s="265">
        <f>SUM(AN73:AN81)</f>
        <v>192.12004000000002</v>
      </c>
      <c r="AO82" s="265">
        <f>SUM(AO73:AO81)</f>
        <v>9.6399999999920993E-3</v>
      </c>
    </row>
    <row r="83" spans="1:41" x14ac:dyDescent="0.35">
      <c r="A83" s="267" t="s">
        <v>22</v>
      </c>
      <c r="B83" s="258" t="s">
        <v>525</v>
      </c>
      <c r="C83" s="259" t="s">
        <v>528</v>
      </c>
      <c r="D83" s="250">
        <v>860881</v>
      </c>
      <c r="E83" s="251">
        <v>238831</v>
      </c>
      <c r="F83" s="251">
        <v>417585</v>
      </c>
      <c r="G83" s="251">
        <v>10065</v>
      </c>
      <c r="H83" s="251">
        <v>0</v>
      </c>
      <c r="I83" s="252">
        <v>0</v>
      </c>
      <c r="J83" s="657">
        <v>503</v>
      </c>
      <c r="K83" s="253">
        <f>SUM(D83:J83)</f>
        <v>1527865</v>
      </c>
      <c r="M83" s="250">
        <f>V83*30%</f>
        <v>30550.799999999999</v>
      </c>
      <c r="N83" s="307">
        <f>K83+M83</f>
        <v>1558415.8</v>
      </c>
      <c r="P83" s="250">
        <f>V83-M83</f>
        <v>71285.2</v>
      </c>
      <c r="Q83" s="307">
        <f>N83+P83</f>
        <v>1629701</v>
      </c>
      <c r="S83" s="250">
        <v>69100</v>
      </c>
      <c r="T83" s="250">
        <v>32736</v>
      </c>
      <c r="U83" s="252"/>
      <c r="V83" s="254">
        <f>SUM(S83:U83)</f>
        <v>101836</v>
      </c>
      <c r="X83" s="658">
        <f>+((D83+E83+S83)*2.5%)+(H83*14%)+(I83*14%)</f>
        <v>29220.300000000003</v>
      </c>
      <c r="Y83" s="658">
        <v>29229</v>
      </c>
      <c r="Z83" s="658">
        <f>+X83-Y83</f>
        <v>-8.6999999999970896</v>
      </c>
      <c r="AA83" s="239"/>
      <c r="AB83" s="660"/>
      <c r="AC83" s="660"/>
      <c r="AD83" s="660"/>
      <c r="AF83" s="255">
        <f>K83+V83</f>
        <v>1629701</v>
      </c>
      <c r="AG83" s="255">
        <f>+(AF83/100000)</f>
        <v>16.29701</v>
      </c>
      <c r="AH83" s="256">
        <v>16.3</v>
      </c>
      <c r="AI83" s="261">
        <f>+AG83-AH83</f>
        <v>-2.9900000000004923E-3</v>
      </c>
      <c r="AK83" s="255">
        <f>1528191+101838</f>
        <v>1630029</v>
      </c>
      <c r="AL83" s="255">
        <f t="shared" ref="AL83:AL113" si="37">+(AK83/100000)</f>
        <v>16.30029</v>
      </c>
      <c r="AM83" s="255">
        <f>+K83+V83</f>
        <v>1629701</v>
      </c>
      <c r="AN83" s="255">
        <f>+(AM83/100000)</f>
        <v>16.29701</v>
      </c>
      <c r="AO83" s="255">
        <f>+AL83-AN83</f>
        <v>3.2800000000001717E-3</v>
      </c>
    </row>
    <row r="84" spans="1:41" x14ac:dyDescent="0.35">
      <c r="A84" s="247" t="s">
        <v>23</v>
      </c>
      <c r="B84" s="258" t="s">
        <v>225</v>
      </c>
      <c r="C84" s="259" t="s">
        <v>528</v>
      </c>
      <c r="D84" s="250">
        <v>1423443</v>
      </c>
      <c r="E84" s="251">
        <v>260607</v>
      </c>
      <c r="F84" s="251">
        <v>431900</v>
      </c>
      <c r="G84" s="251">
        <v>56319</v>
      </c>
      <c r="H84" s="251">
        <v>0</v>
      </c>
      <c r="I84" s="252">
        <v>0</v>
      </c>
      <c r="J84" s="657">
        <v>2629</v>
      </c>
      <c r="K84" s="253">
        <f>SUM(D84:J84)</f>
        <v>2174898</v>
      </c>
      <c r="M84" s="250">
        <f>V84*30%</f>
        <v>48971.1</v>
      </c>
      <c r="N84" s="307">
        <f>K84+M84</f>
        <v>2223869.1</v>
      </c>
      <c r="P84" s="250">
        <f>V84-M84</f>
        <v>114265.9</v>
      </c>
      <c r="Q84" s="307">
        <f>N84+P84</f>
        <v>2338135</v>
      </c>
      <c r="S84" s="250">
        <v>129954</v>
      </c>
      <c r="T84" s="250">
        <v>33283</v>
      </c>
      <c r="U84" s="252"/>
      <c r="V84" s="254">
        <f>SUM(S84:U84)</f>
        <v>163237</v>
      </c>
      <c r="X84" s="658">
        <f>+((D84+E84+S84)*2.5%)+(H84*14%)+(I84*14%)</f>
        <v>45350.100000000006</v>
      </c>
      <c r="Y84" s="658">
        <v>45361</v>
      </c>
      <c r="Z84" s="659">
        <f>+X84-Y84</f>
        <v>-10.899999999994179</v>
      </c>
      <c r="AA84" s="239"/>
      <c r="AB84" s="660"/>
      <c r="AC84" s="660"/>
      <c r="AD84" s="660"/>
      <c r="AF84" s="255">
        <f>K84+V84</f>
        <v>2338135</v>
      </c>
      <c r="AG84" s="255">
        <f>+(AF84/100000)</f>
        <v>23.381350000000001</v>
      </c>
      <c r="AH84" s="256">
        <v>23.27</v>
      </c>
      <c r="AI84" s="261">
        <f>+AG84-AH84</f>
        <v>0.11135000000000161</v>
      </c>
      <c r="AK84" s="255">
        <f>2174899+163237</f>
        <v>2338136</v>
      </c>
      <c r="AL84" s="255">
        <f t="shared" si="37"/>
        <v>23.381360000000001</v>
      </c>
      <c r="AM84" s="255">
        <f>+K84+V84</f>
        <v>2338135</v>
      </c>
      <c r="AN84" s="255">
        <f>+(AM84/100000)</f>
        <v>23.381350000000001</v>
      </c>
      <c r="AO84" s="255">
        <f>+AL84-AN84</f>
        <v>9.9999999996214228E-6</v>
      </c>
    </row>
    <row r="85" spans="1:41" ht="15" thickBot="1" x14ac:dyDescent="0.4">
      <c r="A85" s="260" t="s">
        <v>24</v>
      </c>
      <c r="B85" s="258" t="s">
        <v>219</v>
      </c>
      <c r="C85" s="259" t="s">
        <v>528</v>
      </c>
      <c r="D85" s="250">
        <v>1782746</v>
      </c>
      <c r="E85" s="251">
        <v>392168</v>
      </c>
      <c r="F85" s="251">
        <v>313435</v>
      </c>
      <c r="G85" s="251">
        <v>52148</v>
      </c>
      <c r="H85" s="251">
        <v>0</v>
      </c>
      <c r="I85" s="252">
        <v>0</v>
      </c>
      <c r="J85" s="657">
        <v>2477</v>
      </c>
      <c r="K85" s="253">
        <f>SUM(D85:J85)</f>
        <v>2542974</v>
      </c>
      <c r="M85" s="250">
        <f>V85*30%</f>
        <v>62056.5</v>
      </c>
      <c r="N85" s="307">
        <f>K85+M85</f>
        <v>2605030.5</v>
      </c>
      <c r="P85" s="250">
        <f>V85-M85</f>
        <v>144798.5</v>
      </c>
      <c r="Q85" s="307">
        <f>N85+P85</f>
        <v>2749829</v>
      </c>
      <c r="S85" s="250">
        <v>177131</v>
      </c>
      <c r="T85" s="250">
        <v>29724</v>
      </c>
      <c r="U85" s="252"/>
      <c r="V85" s="254">
        <f>SUM(S85:U85)</f>
        <v>206855</v>
      </c>
      <c r="X85" s="658">
        <f>+((D85+E85+S85)*2.5%)+(H85*14%)+(I85*14%)</f>
        <v>58801.125</v>
      </c>
      <c r="Y85" s="658">
        <v>58817</v>
      </c>
      <c r="Z85" s="659">
        <f>+X85-Y85</f>
        <v>-15.875</v>
      </c>
      <c r="AA85" s="239"/>
      <c r="AB85" s="660"/>
      <c r="AC85" s="660"/>
      <c r="AD85" s="660"/>
      <c r="AF85" s="255">
        <f>K85+V85</f>
        <v>2749829</v>
      </c>
      <c r="AG85" s="255">
        <f>+(AF85/100000)</f>
        <v>27.498290000000001</v>
      </c>
      <c r="AH85" s="256">
        <v>27.5</v>
      </c>
      <c r="AI85" s="261">
        <f>+AG85-AH85</f>
        <v>-1.7099999999992122E-3</v>
      </c>
      <c r="AK85" s="255">
        <f>2542975+206855</f>
        <v>2749830</v>
      </c>
      <c r="AL85" s="255">
        <f t="shared" si="37"/>
        <v>27.4983</v>
      </c>
      <c r="AM85" s="255">
        <f>+K85+V85</f>
        <v>2749829</v>
      </c>
      <c r="AN85" s="255">
        <f>+(AM85/100000)</f>
        <v>27.498290000000001</v>
      </c>
      <c r="AO85" s="255">
        <f>+AL85-AN85</f>
        <v>9.9999999996214228E-6</v>
      </c>
    </row>
    <row r="86" spans="1:41" ht="15" thickBot="1" x14ac:dyDescent="0.4">
      <c r="A86" s="89"/>
      <c r="B86" s="262"/>
      <c r="C86" s="263" t="s">
        <v>529</v>
      </c>
      <c r="D86" s="264">
        <f>SUM(D83:D85)</f>
        <v>4067070</v>
      </c>
      <c r="E86" s="264">
        <f t="shared" ref="E86:Q86" si="38">SUM(E83:E85)</f>
        <v>891606</v>
      </c>
      <c r="F86" s="264">
        <f t="shared" si="38"/>
        <v>1162920</v>
      </c>
      <c r="G86" s="264">
        <f t="shared" si="38"/>
        <v>118532</v>
      </c>
      <c r="H86" s="264">
        <f t="shared" si="38"/>
        <v>0</v>
      </c>
      <c r="I86" s="264">
        <f t="shared" si="38"/>
        <v>0</v>
      </c>
      <c r="J86" s="264">
        <f t="shared" si="38"/>
        <v>5609</v>
      </c>
      <c r="K86" s="264">
        <f t="shared" si="38"/>
        <v>6245737</v>
      </c>
      <c r="M86" s="264">
        <f t="shared" si="38"/>
        <v>141578.4</v>
      </c>
      <c r="N86" s="264">
        <f t="shared" si="38"/>
        <v>6387315.4000000004</v>
      </c>
      <c r="P86" s="264">
        <f t="shared" si="38"/>
        <v>330349.59999999998</v>
      </c>
      <c r="Q86" s="264">
        <f t="shared" si="38"/>
        <v>6717665</v>
      </c>
      <c r="S86" s="264">
        <f>SUM(S83:S85)</f>
        <v>376185</v>
      </c>
      <c r="T86" s="264">
        <f>SUM(T83:T85)</f>
        <v>95743</v>
      </c>
      <c r="U86" s="264">
        <f>SUM(U83:U85)</f>
        <v>0</v>
      </c>
      <c r="V86" s="264">
        <f>SUM(V83:V85)</f>
        <v>471928</v>
      </c>
      <c r="X86" s="661">
        <f>SUM(X83:X85)</f>
        <v>133371.52500000002</v>
      </c>
      <c r="Y86" s="661">
        <f>SUM(Y83:Y85)</f>
        <v>133407</v>
      </c>
      <c r="Z86" s="661">
        <f>SUM(Z83:Z85)</f>
        <v>-35.474999999991269</v>
      </c>
      <c r="AA86" s="662"/>
      <c r="AB86" s="661">
        <f>SUM(AB83:AB85)</f>
        <v>0</v>
      </c>
      <c r="AC86" s="661">
        <f>SUM(AC83:AC85)</f>
        <v>0</v>
      </c>
      <c r="AD86" s="661">
        <f>SUM(AD83:AD85)</f>
        <v>0</v>
      </c>
      <c r="AF86" s="265">
        <f>SUM(AF83:AF85)</f>
        <v>6717665</v>
      </c>
      <c r="AG86" s="265">
        <f>SUM(AG83:AG85)</f>
        <v>67.176649999999995</v>
      </c>
      <c r="AH86" s="265">
        <f>SUM(AH83:AH85)</f>
        <v>67.069999999999993</v>
      </c>
      <c r="AI86" s="265">
        <f>SUM(AI83:AI85)</f>
        <v>0.10665000000000191</v>
      </c>
      <c r="AK86" s="265">
        <f>SUM(AK83:AK85)</f>
        <v>6717995</v>
      </c>
      <c r="AL86" s="265">
        <f>SUBTOTAL(9,AL83:AL85)</f>
        <v>67.179950000000005</v>
      </c>
      <c r="AM86" s="265">
        <f>SUM(AM83:AM85)</f>
        <v>6717665</v>
      </c>
      <c r="AN86" s="265">
        <f>SUM(AN83:AN85)</f>
        <v>67.176649999999995</v>
      </c>
      <c r="AO86" s="265">
        <f>SUM(AO83:AO85)</f>
        <v>3.2999999999994145E-3</v>
      </c>
    </row>
    <row r="87" spans="1:41" x14ac:dyDescent="0.35">
      <c r="A87" s="72" t="s">
        <v>9</v>
      </c>
      <c r="B87" s="258" t="s">
        <v>530</v>
      </c>
      <c r="C87" s="259" t="s">
        <v>531</v>
      </c>
      <c r="D87" s="250">
        <v>1716094</v>
      </c>
      <c r="E87" s="251">
        <v>372443</v>
      </c>
      <c r="F87" s="251">
        <v>374599</v>
      </c>
      <c r="G87" s="251">
        <v>30196</v>
      </c>
      <c r="H87" s="251">
        <v>0</v>
      </c>
      <c r="I87" s="252">
        <v>0</v>
      </c>
      <c r="J87" s="657">
        <v>1472</v>
      </c>
      <c r="K87" s="253">
        <f>SUM(D87:J87)</f>
        <v>2494804</v>
      </c>
      <c r="M87" s="250">
        <f>V87*30%</f>
        <v>63067.799999999996</v>
      </c>
      <c r="N87" s="307">
        <f>K87+M87</f>
        <v>2557871.7999999998</v>
      </c>
      <c r="P87" s="250">
        <f>V87-M87</f>
        <v>147158.20000000001</v>
      </c>
      <c r="Q87" s="307">
        <f>N87+P87</f>
        <v>2705030</v>
      </c>
      <c r="S87" s="250">
        <v>180153</v>
      </c>
      <c r="T87" s="250">
        <v>30073</v>
      </c>
      <c r="U87" s="252"/>
      <c r="V87" s="254">
        <f>SUM(S87:U87)</f>
        <v>210226</v>
      </c>
      <c r="X87" s="658">
        <f>+((D87+E87+S87)*2.5%)+(H87*14%)+(I87*14%)</f>
        <v>56717.25</v>
      </c>
      <c r="Y87" s="658">
        <v>56732</v>
      </c>
      <c r="Z87" s="659">
        <f>+X87-Y87</f>
        <v>-14.75</v>
      </c>
      <c r="AA87" s="239"/>
      <c r="AB87" s="660"/>
      <c r="AC87" s="660"/>
      <c r="AD87" s="660"/>
      <c r="AF87" s="255">
        <f>K87+V87</f>
        <v>2705030</v>
      </c>
      <c r="AG87" s="255">
        <f>+(AF87/100000)</f>
        <v>27.0503</v>
      </c>
      <c r="AH87" s="256">
        <v>27.05</v>
      </c>
      <c r="AI87" s="261">
        <f>+AG87-AH87</f>
        <v>2.9999999999930083E-4</v>
      </c>
      <c r="AK87" s="255">
        <f>2494762+210226</f>
        <v>2704988</v>
      </c>
      <c r="AL87" s="255">
        <f>+(AK87/100000)</f>
        <v>27.049880000000002</v>
      </c>
      <c r="AM87" s="255">
        <f>+K87+V87</f>
        <v>2705030</v>
      </c>
      <c r="AN87" s="255">
        <f>+(AM87/100000)</f>
        <v>27.0503</v>
      </c>
      <c r="AO87" s="255">
        <f>+AL87-AN87</f>
        <v>-4.1999999999831061E-4</v>
      </c>
    </row>
    <row r="88" spans="1:41" x14ac:dyDescent="0.35">
      <c r="A88" s="68" t="s">
        <v>10</v>
      </c>
      <c r="B88" s="258" t="s">
        <v>532</v>
      </c>
      <c r="C88" s="259" t="s">
        <v>531</v>
      </c>
      <c r="D88" s="250">
        <v>2306424</v>
      </c>
      <c r="E88" s="251">
        <v>358578</v>
      </c>
      <c r="F88" s="251">
        <v>588964</v>
      </c>
      <c r="G88" s="251">
        <v>72457</v>
      </c>
      <c r="H88" s="251">
        <v>0</v>
      </c>
      <c r="I88" s="252">
        <v>0</v>
      </c>
      <c r="J88" s="657">
        <v>1452</v>
      </c>
      <c r="K88" s="253">
        <f>SUM(D88:J88)</f>
        <v>3327875</v>
      </c>
      <c r="M88" s="250">
        <f>V88*30%</f>
        <v>80835.599999999991</v>
      </c>
      <c r="N88" s="307">
        <f>K88+M88</f>
        <v>3408710.6</v>
      </c>
      <c r="P88" s="250">
        <f>V88-M88</f>
        <v>188616.40000000002</v>
      </c>
      <c r="Q88" s="307">
        <f>N88+P88</f>
        <v>3597327</v>
      </c>
      <c r="S88" s="250">
        <v>221515</v>
      </c>
      <c r="T88" s="250">
        <v>47937</v>
      </c>
      <c r="U88" s="252"/>
      <c r="V88" s="254">
        <f>SUM(S88:U88)</f>
        <v>269452</v>
      </c>
      <c r="X88" s="658">
        <f>+((D88+E88+S88)*2.5%)+(H88*14%)+(I88*14%)</f>
        <v>72162.925000000003</v>
      </c>
      <c r="Y88" s="658">
        <v>72171</v>
      </c>
      <c r="Z88" s="659">
        <f>+X88-Y88</f>
        <v>-8.0749999999970896</v>
      </c>
      <c r="AA88" s="239"/>
      <c r="AB88" s="660"/>
      <c r="AC88" s="660"/>
      <c r="AD88" s="660"/>
      <c r="AF88" s="255">
        <f>K88+V88</f>
        <v>3597327</v>
      </c>
      <c r="AG88" s="255">
        <f>+(AF88/100000)</f>
        <v>35.973269999999999</v>
      </c>
      <c r="AH88" s="256">
        <v>35.979999999999997</v>
      </c>
      <c r="AI88" s="261">
        <f>+AG88-AH88</f>
        <v>-6.7299999999974602E-3</v>
      </c>
      <c r="AK88" s="255">
        <f>3327877+269453</f>
        <v>3597330</v>
      </c>
      <c r="AL88" s="255">
        <f>+(AK88/100000)</f>
        <v>35.973300000000002</v>
      </c>
      <c r="AM88" s="255">
        <f>+K88+V88</f>
        <v>3597327</v>
      </c>
      <c r="AN88" s="255">
        <f>+(AM88/100000)</f>
        <v>35.973269999999999</v>
      </c>
      <c r="AO88" s="255">
        <f>+AL88-AN88</f>
        <v>3.0000000002416982E-5</v>
      </c>
    </row>
    <row r="89" spans="1:41" x14ac:dyDescent="0.35">
      <c r="A89" s="68" t="s">
        <v>12</v>
      </c>
      <c r="B89" s="258" t="s">
        <v>525</v>
      </c>
      <c r="C89" s="259" t="s">
        <v>531</v>
      </c>
      <c r="D89" s="250">
        <v>1852542</v>
      </c>
      <c r="E89" s="251">
        <v>309100</v>
      </c>
      <c r="F89" s="251">
        <v>1797258</v>
      </c>
      <c r="G89" s="251">
        <v>25886</v>
      </c>
      <c r="H89" s="251">
        <v>20456</v>
      </c>
      <c r="I89" s="252">
        <v>0</v>
      </c>
      <c r="J89" s="657">
        <v>1297</v>
      </c>
      <c r="K89" s="253">
        <f>SUM(D89:J89)</f>
        <v>4006539</v>
      </c>
      <c r="M89" s="250">
        <f>V89*30%</f>
        <v>94232.7</v>
      </c>
      <c r="N89" s="307">
        <f>K89+M89</f>
        <v>4100771.7</v>
      </c>
      <c r="P89" s="250">
        <f>V89-M89</f>
        <v>219876.3</v>
      </c>
      <c r="Q89" s="307">
        <f>N89+P89</f>
        <v>4320648</v>
      </c>
      <c r="S89" s="250">
        <v>171481</v>
      </c>
      <c r="T89" s="250">
        <v>142628</v>
      </c>
      <c r="U89" s="252"/>
      <c r="V89" s="254">
        <f>SUM(S89:U89)</f>
        <v>314109</v>
      </c>
      <c r="X89" s="658">
        <f>+((D89+E89+S89)*2.5%)+(H89*14%)+(I89*14%)</f>
        <v>61191.915000000008</v>
      </c>
      <c r="Y89" s="658">
        <v>61208</v>
      </c>
      <c r="Z89" s="659">
        <f>+X89-Y89</f>
        <v>-16.084999999991851</v>
      </c>
      <c r="AA89" s="239"/>
      <c r="AB89" s="660"/>
      <c r="AC89" s="660"/>
      <c r="AD89" s="660"/>
      <c r="AF89" s="255">
        <f>K89+V89</f>
        <v>4320648</v>
      </c>
      <c r="AG89" s="255">
        <f>+(AF89/100000)</f>
        <v>43.206479999999999</v>
      </c>
      <c r="AH89" s="256">
        <v>43.21</v>
      </c>
      <c r="AI89" s="261">
        <f>+AG89-AH89</f>
        <v>-3.520000000001744E-3</v>
      </c>
      <c r="AK89" s="255">
        <f>4006541+314109</f>
        <v>4320650</v>
      </c>
      <c r="AL89" s="255">
        <f t="shared" si="37"/>
        <v>43.206499999999998</v>
      </c>
      <c r="AM89" s="255">
        <f>+K89+V89</f>
        <v>4320648</v>
      </c>
      <c r="AN89" s="255">
        <f>+(AM89/100000)</f>
        <v>43.206479999999999</v>
      </c>
      <c r="AO89" s="255">
        <f>+AL89-AN89</f>
        <v>1.9999999999242846E-5</v>
      </c>
    </row>
    <row r="90" spans="1:41" ht="15" thickBot="1" x14ac:dyDescent="0.4">
      <c r="A90" s="69" t="s">
        <v>13</v>
      </c>
      <c r="B90" s="280" t="s">
        <v>219</v>
      </c>
      <c r="C90" s="281" t="s">
        <v>531</v>
      </c>
      <c r="D90" s="250">
        <v>2203729</v>
      </c>
      <c r="E90" s="251">
        <v>389215</v>
      </c>
      <c r="F90" s="251">
        <v>395063</v>
      </c>
      <c r="G90" s="251">
        <v>22352</v>
      </c>
      <c r="H90" s="251">
        <v>0</v>
      </c>
      <c r="I90" s="252">
        <v>0</v>
      </c>
      <c r="J90" s="657">
        <v>919</v>
      </c>
      <c r="K90" s="253">
        <f>SUM(D90:J90)</f>
        <v>3011278</v>
      </c>
      <c r="M90" s="250">
        <f>V90*30%</f>
        <v>76151.7</v>
      </c>
      <c r="N90" s="307">
        <f>K90+M90</f>
        <v>3087429.7</v>
      </c>
      <c r="P90" s="250">
        <f>V90-M90</f>
        <v>177687.3</v>
      </c>
      <c r="Q90" s="307">
        <f>N90+P90</f>
        <v>3265117</v>
      </c>
      <c r="S90" s="250">
        <v>217206</v>
      </c>
      <c r="T90" s="250">
        <v>36633</v>
      </c>
      <c r="U90" s="252"/>
      <c r="V90" s="254">
        <f>SUM(S90:U90)</f>
        <v>253839</v>
      </c>
      <c r="X90" s="658">
        <f>+((D90+E90+S90)*2.5%)+(H90*14%)+(I90*14%)</f>
        <v>70253.75</v>
      </c>
      <c r="Y90" s="658">
        <v>70259</v>
      </c>
      <c r="Z90" s="659">
        <f>+X90-Y90</f>
        <v>-5.25</v>
      </c>
      <c r="AA90" s="239"/>
      <c r="AB90" s="660"/>
      <c r="AC90" s="660"/>
      <c r="AD90" s="660"/>
      <c r="AF90" s="255">
        <f>K90+V90</f>
        <v>3265117</v>
      </c>
      <c r="AG90" s="255">
        <f>+(AF90/100000)</f>
        <v>32.65117</v>
      </c>
      <c r="AH90" s="256">
        <v>32.65</v>
      </c>
      <c r="AI90" s="261">
        <f>+AG90-AH90</f>
        <v>1.1700000000018917E-3</v>
      </c>
      <c r="AK90" s="255">
        <f>3011281+253842</f>
        <v>3265123</v>
      </c>
      <c r="AL90" s="255">
        <f t="shared" si="37"/>
        <v>32.651229999999998</v>
      </c>
      <c r="AM90" s="255">
        <f>+K90+V90</f>
        <v>3265117</v>
      </c>
      <c r="AN90" s="255">
        <f>+(AM90/100000)</f>
        <v>32.65117</v>
      </c>
      <c r="AO90" s="255">
        <f>+AL90-AN90</f>
        <v>5.9999999997728537E-5</v>
      </c>
    </row>
    <row r="91" spans="1:41" ht="15" thickBot="1" x14ac:dyDescent="0.4">
      <c r="A91" s="89"/>
      <c r="B91" s="282"/>
      <c r="C91" s="283" t="s">
        <v>533</v>
      </c>
      <c r="D91" s="264">
        <f>SUM(D87:D90)</f>
        <v>8078789</v>
      </c>
      <c r="E91" s="264">
        <f t="shared" ref="E91:Q91" si="39">SUM(E87:E90)</f>
        <v>1429336</v>
      </c>
      <c r="F91" s="264">
        <f t="shared" si="39"/>
        <v>3155884</v>
      </c>
      <c r="G91" s="264">
        <f t="shared" si="39"/>
        <v>150891</v>
      </c>
      <c r="H91" s="264">
        <f t="shared" si="39"/>
        <v>20456</v>
      </c>
      <c r="I91" s="264">
        <f t="shared" si="39"/>
        <v>0</v>
      </c>
      <c r="J91" s="264">
        <f t="shared" si="39"/>
        <v>5140</v>
      </c>
      <c r="K91" s="264">
        <f t="shared" si="39"/>
        <v>12840496</v>
      </c>
      <c r="M91" s="264">
        <f t="shared" si="39"/>
        <v>314287.8</v>
      </c>
      <c r="N91" s="264">
        <f t="shared" si="39"/>
        <v>13154783.800000001</v>
      </c>
      <c r="P91" s="264">
        <f t="shared" si="39"/>
        <v>733338.2</v>
      </c>
      <c r="Q91" s="264">
        <f t="shared" si="39"/>
        <v>13888122</v>
      </c>
      <c r="S91" s="284">
        <f>SUM(S87:S90)</f>
        <v>790355</v>
      </c>
      <c r="T91" s="284">
        <f t="shared" ref="T91:Z91" si="40">SUM(T87:T90)</f>
        <v>257271</v>
      </c>
      <c r="U91" s="284">
        <f t="shared" si="40"/>
        <v>0</v>
      </c>
      <c r="V91" s="284">
        <f t="shared" si="40"/>
        <v>1047626</v>
      </c>
      <c r="X91" s="661">
        <f t="shared" si="40"/>
        <v>260325.84000000003</v>
      </c>
      <c r="Y91" s="661">
        <f t="shared" si="40"/>
        <v>260370</v>
      </c>
      <c r="Z91" s="661">
        <f t="shared" si="40"/>
        <v>-44.159999999988941</v>
      </c>
      <c r="AA91" s="662"/>
      <c r="AB91" s="661">
        <f>SUM(AB87:AB90)</f>
        <v>0</v>
      </c>
      <c r="AC91" s="661">
        <f>SUM(AC87:AC90)</f>
        <v>0</v>
      </c>
      <c r="AD91" s="661">
        <f>SUM(AD87:AD90)</f>
        <v>0</v>
      </c>
      <c r="AF91" s="284">
        <f>SUM(AF87:AF90)</f>
        <v>13888122</v>
      </c>
      <c r="AG91" s="284">
        <f>SUM(AG87:AG90)</f>
        <v>138.88122000000001</v>
      </c>
      <c r="AH91" s="284">
        <f>SUM(AH87:AH90)</f>
        <v>138.89000000000001</v>
      </c>
      <c r="AI91" s="284">
        <f>SUM(AI87:AI90)</f>
        <v>-8.7799999999980116E-3</v>
      </c>
      <c r="AK91" s="284">
        <f>SUM(AK87:AK90)</f>
        <v>13888091</v>
      </c>
      <c r="AL91" s="284">
        <f>SUM(AL87:AL90)</f>
        <v>138.88091</v>
      </c>
      <c r="AM91" s="284">
        <f>SUM(AM87:AM90)</f>
        <v>13888122</v>
      </c>
      <c r="AN91" s="284">
        <f>SUM(AN87:AN90)</f>
        <v>138.88122000000001</v>
      </c>
      <c r="AO91" s="284">
        <f>SUM(AO87:AO90)</f>
        <v>-3.0999999999892225E-4</v>
      </c>
    </row>
    <row r="92" spans="1:41" x14ac:dyDescent="0.35">
      <c r="A92" s="267" t="s">
        <v>18</v>
      </c>
      <c r="B92" s="258" t="s">
        <v>525</v>
      </c>
      <c r="C92" s="249" t="s">
        <v>226</v>
      </c>
      <c r="D92" s="250">
        <v>1024703</v>
      </c>
      <c r="E92" s="251">
        <v>288699</v>
      </c>
      <c r="F92" s="251">
        <v>889692</v>
      </c>
      <c r="G92" s="251">
        <v>5638</v>
      </c>
      <c r="H92" s="251">
        <v>2328</v>
      </c>
      <c r="I92" s="252">
        <v>3460</v>
      </c>
      <c r="J92" s="657">
        <v>282</v>
      </c>
      <c r="K92" s="253">
        <f>SUM(D92:J92)</f>
        <v>2214802</v>
      </c>
      <c r="M92" s="250">
        <f>V92*30%</f>
        <v>58015.5</v>
      </c>
      <c r="N92" s="307">
        <f>K92+M92</f>
        <v>2272817.5</v>
      </c>
      <c r="P92" s="250">
        <f>V92-M92</f>
        <v>135369.5</v>
      </c>
      <c r="Q92" s="307">
        <f>N92+P92</f>
        <v>2408187</v>
      </c>
      <c r="S92" s="250">
        <v>115197</v>
      </c>
      <c r="T92" s="250">
        <v>78188</v>
      </c>
      <c r="U92" s="252"/>
      <c r="V92" s="254">
        <f>SUM(S92:U92)</f>
        <v>193385</v>
      </c>
      <c r="X92" s="658">
        <f>+((D92+E92+S92)*2.5%)+(H92*14%)+(I92*14%)</f>
        <v>36525.294999999998</v>
      </c>
      <c r="Y92" s="658">
        <v>36398</v>
      </c>
      <c r="Z92" s="659">
        <f>+X92-Y92</f>
        <v>127.29499999999825</v>
      </c>
      <c r="AA92" s="239"/>
      <c r="AB92" s="658">
        <f>+(F92+T92)*10%</f>
        <v>96788</v>
      </c>
      <c r="AC92" s="658">
        <v>96806</v>
      </c>
      <c r="AD92" s="658">
        <f>+AB92-AC92</f>
        <v>-18</v>
      </c>
      <c r="AF92" s="255">
        <f>K92+V92</f>
        <v>2408187</v>
      </c>
      <c r="AG92" s="255">
        <f>+(AF92/100000)</f>
        <v>24.081869999999999</v>
      </c>
      <c r="AH92" s="256">
        <v>23.93</v>
      </c>
      <c r="AI92" s="665">
        <f>+AG92-AH92</f>
        <v>0.15186999999999884</v>
      </c>
      <c r="AK92" s="255">
        <f>2214804+193386</f>
        <v>2408190</v>
      </c>
      <c r="AL92" s="255">
        <f t="shared" si="37"/>
        <v>24.081900000000001</v>
      </c>
      <c r="AM92" s="255">
        <f>+K92+V92</f>
        <v>2408187</v>
      </c>
      <c r="AN92" s="255">
        <f t="shared" ref="AN92:AN113" si="41">+(AM92/100000)</f>
        <v>24.081869999999999</v>
      </c>
      <c r="AO92" s="255">
        <f>+AL92-AN92</f>
        <v>3.0000000002416982E-5</v>
      </c>
    </row>
    <row r="93" spans="1:41" x14ac:dyDescent="0.35">
      <c r="A93" s="247" t="s">
        <v>17</v>
      </c>
      <c r="B93" s="258" t="s">
        <v>224</v>
      </c>
      <c r="C93" s="259" t="s">
        <v>226</v>
      </c>
      <c r="D93" s="250">
        <f>2694338+316676</f>
        <v>3011014</v>
      </c>
      <c r="E93" s="251">
        <v>392336</v>
      </c>
      <c r="F93" s="251">
        <v>0</v>
      </c>
      <c r="G93" s="251">
        <v>184563</v>
      </c>
      <c r="H93" s="251">
        <v>0</v>
      </c>
      <c r="I93" s="252">
        <v>0</v>
      </c>
      <c r="J93" s="657">
        <v>414</v>
      </c>
      <c r="K93" s="288">
        <f>SUM(D93:J93)</f>
        <v>3588327</v>
      </c>
      <c r="L93" s="289"/>
      <c r="M93" s="250">
        <f>V93*30%</f>
        <v>65796.899999999994</v>
      </c>
      <c r="N93" s="307">
        <f>K93+M93</f>
        <v>3654123.9</v>
      </c>
      <c r="P93" s="250">
        <f>V93-M93</f>
        <v>153526.1</v>
      </c>
      <c r="Q93" s="307">
        <f>N93+P93</f>
        <v>3807650</v>
      </c>
      <c r="R93"/>
      <c r="S93" s="250">
        <v>219323</v>
      </c>
      <c r="T93" s="250">
        <v>0</v>
      </c>
      <c r="U93" s="287"/>
      <c r="V93" s="290">
        <f>SUM(S93:U93)</f>
        <v>219323</v>
      </c>
      <c r="X93" s="658">
        <f>+((D93+E93+J93+S93-316676)*2.5%)+(H93*14%)+(I93*14%)+(316676*9%)</f>
        <v>111161.11500000001</v>
      </c>
      <c r="Y93" s="659">
        <f>82659+28505</f>
        <v>111164</v>
      </c>
      <c r="Z93" s="659">
        <f>+X93-Y93</f>
        <v>-2.8849999999947613</v>
      </c>
      <c r="AA93" s="289"/>
      <c r="AB93" s="658">
        <f>+(F93+T93)*10%</f>
        <v>0</v>
      </c>
      <c r="AC93" s="659"/>
      <c r="AD93" s="658">
        <f>+AB93-AC93</f>
        <v>0</v>
      </c>
      <c r="AF93" s="255">
        <f>K93+V93</f>
        <v>3807650</v>
      </c>
      <c r="AG93" s="255">
        <f>+(AF93/100000)</f>
        <v>38.076500000000003</v>
      </c>
      <c r="AH93" s="291">
        <v>38.08</v>
      </c>
      <c r="AI93" s="261">
        <f>+AG93-AH93</f>
        <v>-3.4999999999953957E-3</v>
      </c>
      <c r="AK93" s="255">
        <f>3271651+219323+316676</f>
        <v>3807650</v>
      </c>
      <c r="AL93" s="255">
        <f t="shared" si="37"/>
        <v>38.076500000000003</v>
      </c>
      <c r="AM93" s="255">
        <f>+K93+V93</f>
        <v>3807650</v>
      </c>
      <c r="AN93" s="255">
        <f t="shared" si="41"/>
        <v>38.076500000000003</v>
      </c>
      <c r="AO93" s="255">
        <f>+AL93-AN93</f>
        <v>0</v>
      </c>
    </row>
    <row r="94" spans="1:41" ht="15" thickBot="1" x14ac:dyDescent="0.4">
      <c r="A94" s="260" t="s">
        <v>20</v>
      </c>
      <c r="B94" s="258" t="s">
        <v>219</v>
      </c>
      <c r="C94" s="281" t="s">
        <v>226</v>
      </c>
      <c r="D94" s="250">
        <f>2580756-97417</f>
        <v>2483339</v>
      </c>
      <c r="E94" s="251">
        <f>276436-19045</f>
        <v>257391</v>
      </c>
      <c r="F94" s="251">
        <f>690848-138253</f>
        <v>552595</v>
      </c>
      <c r="G94" s="251">
        <v>57756</v>
      </c>
      <c r="H94" s="251">
        <v>0</v>
      </c>
      <c r="I94" s="252">
        <v>0</v>
      </c>
      <c r="J94" s="657">
        <v>3013</v>
      </c>
      <c r="K94" s="253">
        <f>SUM(D94:J94)</f>
        <v>3354094</v>
      </c>
      <c r="M94" s="250">
        <f>V94*30%</f>
        <v>84243.599999999991</v>
      </c>
      <c r="N94" s="307">
        <f>K94+M94</f>
        <v>3438337.6</v>
      </c>
      <c r="P94" s="250">
        <f>V94-M94</f>
        <v>196568.40000000002</v>
      </c>
      <c r="Q94" s="307">
        <f>N94+P94</f>
        <v>3634906</v>
      </c>
      <c r="S94" s="250">
        <f>243472-11647</f>
        <v>231825</v>
      </c>
      <c r="T94" s="250">
        <f>62812-13825</f>
        <v>48987</v>
      </c>
      <c r="U94" s="252"/>
      <c r="V94" s="254">
        <f>SUM(S94:U94)</f>
        <v>280812</v>
      </c>
      <c r="X94" s="658">
        <f>+((D94+E94+S94)*2.5%)+(H94*14%)+(I94*14%)</f>
        <v>74313.875</v>
      </c>
      <c r="Y94" s="658">
        <v>74331</v>
      </c>
      <c r="Z94" s="659">
        <f>+X94-Y94</f>
        <v>-17.125</v>
      </c>
      <c r="AA94" s="239"/>
      <c r="AB94" s="658">
        <f>+(F94+T94)*10%</f>
        <v>60158.200000000004</v>
      </c>
      <c r="AC94" s="658">
        <v>60165</v>
      </c>
      <c r="AD94" s="658">
        <f>+AB94-AC94</f>
        <v>-6.7999999999956344</v>
      </c>
      <c r="AF94" s="255">
        <f>K94+V94</f>
        <v>3634906</v>
      </c>
      <c r="AG94" s="255">
        <f>+(AF94/100000)</f>
        <v>36.349060000000001</v>
      </c>
      <c r="AH94" s="256">
        <v>36.270000000000003</v>
      </c>
      <c r="AI94" s="665">
        <f>+AG94-AH94</f>
        <v>7.9059999999998354E-2</v>
      </c>
      <c r="AK94" s="255">
        <f>3354110+280813</f>
        <v>3634923</v>
      </c>
      <c r="AL94" s="255">
        <f t="shared" si="37"/>
        <v>36.349229999999999</v>
      </c>
      <c r="AM94" s="255">
        <f>+K94+V94</f>
        <v>3634906</v>
      </c>
      <c r="AN94" s="255">
        <f t="shared" si="41"/>
        <v>36.349060000000001</v>
      </c>
      <c r="AO94" s="255">
        <f>+AL94-AN94</f>
        <v>1.699999999971169E-4</v>
      </c>
    </row>
    <row r="95" spans="1:41" ht="15" thickBot="1" x14ac:dyDescent="0.4">
      <c r="A95" s="89"/>
      <c r="B95" s="262"/>
      <c r="C95" s="283" t="s">
        <v>534</v>
      </c>
      <c r="D95" s="264">
        <f>SUM(D92:D94)</f>
        <v>6519056</v>
      </c>
      <c r="E95" s="264">
        <f t="shared" ref="E95:Q95" si="42">SUM(E92:E94)</f>
        <v>938426</v>
      </c>
      <c r="F95" s="264">
        <f t="shared" si="42"/>
        <v>1442287</v>
      </c>
      <c r="G95" s="264">
        <f t="shared" si="42"/>
        <v>247957</v>
      </c>
      <c r="H95" s="264">
        <f t="shared" si="42"/>
        <v>2328</v>
      </c>
      <c r="I95" s="264">
        <f t="shared" si="42"/>
        <v>3460</v>
      </c>
      <c r="J95" s="264">
        <f t="shared" si="42"/>
        <v>3709</v>
      </c>
      <c r="K95" s="264">
        <f t="shared" si="42"/>
        <v>9157223</v>
      </c>
      <c r="M95" s="264">
        <f t="shared" si="42"/>
        <v>208056</v>
      </c>
      <c r="N95" s="264">
        <f t="shared" si="42"/>
        <v>9365279</v>
      </c>
      <c r="P95" s="264">
        <f t="shared" si="42"/>
        <v>485464</v>
      </c>
      <c r="Q95" s="264">
        <f t="shared" si="42"/>
        <v>9850743</v>
      </c>
      <c r="S95" s="284">
        <f>SUM(S92:S94)</f>
        <v>566345</v>
      </c>
      <c r="T95" s="284">
        <f t="shared" ref="T95:Z95" si="43">SUM(T92:T94)</f>
        <v>127175</v>
      </c>
      <c r="U95" s="284">
        <f t="shared" si="43"/>
        <v>0</v>
      </c>
      <c r="V95" s="284">
        <f t="shared" si="43"/>
        <v>693520</v>
      </c>
      <c r="X95" s="661">
        <f t="shared" si="43"/>
        <v>222000.285</v>
      </c>
      <c r="Y95" s="661">
        <f t="shared" si="43"/>
        <v>221893</v>
      </c>
      <c r="Z95" s="661">
        <f t="shared" si="43"/>
        <v>107.28500000000349</v>
      </c>
      <c r="AA95" s="662"/>
      <c r="AB95" s="661">
        <f>SUM(AB92:AB94)</f>
        <v>156946.20000000001</v>
      </c>
      <c r="AC95" s="661">
        <f>SUM(AC92:AC94)</f>
        <v>156971</v>
      </c>
      <c r="AD95" s="661">
        <f>SUM(AD92:AD94)</f>
        <v>-24.799999999995634</v>
      </c>
      <c r="AF95" s="265">
        <f>SUM(AF92:AF94)</f>
        <v>9850743</v>
      </c>
      <c r="AG95" s="265">
        <f>SUM(AG92:AG94)</f>
        <v>98.507429999999999</v>
      </c>
      <c r="AH95" s="265">
        <f>SUM(AH92:AH94)</f>
        <v>98.28</v>
      </c>
      <c r="AI95" s="265">
        <f>SUM(AI92:AI94)</f>
        <v>0.2274300000000018</v>
      </c>
      <c r="AK95" s="265">
        <f>SUM(AK92:AK94)</f>
        <v>9850763</v>
      </c>
      <c r="AL95" s="265">
        <f>SUM(AL92:AL94)</f>
        <v>98.507630000000006</v>
      </c>
      <c r="AM95" s="265">
        <f>SUM(AM92:AM94)</f>
        <v>9850743</v>
      </c>
      <c r="AN95" s="265">
        <f>SUM(AN92:AN94)</f>
        <v>98.507429999999999</v>
      </c>
      <c r="AO95" s="265">
        <f>SUM(AO92:AO94)</f>
        <v>1.9999999999953388E-4</v>
      </c>
    </row>
    <row r="96" spans="1:41" x14ac:dyDescent="0.35">
      <c r="A96" s="267" t="s">
        <v>44</v>
      </c>
      <c r="B96" s="258" t="s">
        <v>216</v>
      </c>
      <c r="C96" s="249" t="s">
        <v>535</v>
      </c>
      <c r="D96" s="250">
        <v>1451934</v>
      </c>
      <c r="E96" s="251">
        <v>256199</v>
      </c>
      <c r="F96" s="251">
        <v>460553</v>
      </c>
      <c r="G96" s="251">
        <v>72518</v>
      </c>
      <c r="H96" s="251">
        <v>0</v>
      </c>
      <c r="I96" s="252">
        <v>0</v>
      </c>
      <c r="J96" s="657">
        <v>3809</v>
      </c>
      <c r="K96" s="253">
        <f>SUM(D96:J96)</f>
        <v>2245013</v>
      </c>
      <c r="M96" s="250">
        <f>V96*30%</f>
        <v>53932.2</v>
      </c>
      <c r="N96" s="307">
        <f>K96+M96</f>
        <v>2298945.2000000002</v>
      </c>
      <c r="P96" s="250">
        <f>V96-M96</f>
        <v>125841.8</v>
      </c>
      <c r="Q96" s="307">
        <f>N96+P96</f>
        <v>2424787</v>
      </c>
      <c r="S96" s="250">
        <v>143466</v>
      </c>
      <c r="T96" s="250">
        <v>36308</v>
      </c>
      <c r="U96" s="252"/>
      <c r="V96" s="254">
        <f>SUM(S96:U96)</f>
        <v>179774</v>
      </c>
      <c r="X96" s="658">
        <f>+((D96+E96+S96)*2.5%)+(H96*14%)+(I96*14%)</f>
        <v>46289.975000000006</v>
      </c>
      <c r="Y96" s="658">
        <v>46290</v>
      </c>
      <c r="Z96" s="659">
        <f>+X96-Y96</f>
        <v>-2.4999999994179234E-2</v>
      </c>
      <c r="AA96" s="239"/>
      <c r="AB96" s="658">
        <f>+(F96+T96)*10%</f>
        <v>49686.100000000006</v>
      </c>
      <c r="AC96" s="658">
        <v>49702</v>
      </c>
      <c r="AD96" s="658">
        <f>+AB96-AC96</f>
        <v>-15.899999999994179</v>
      </c>
      <c r="AF96" s="255">
        <f>K96+V96</f>
        <v>2424787</v>
      </c>
      <c r="AG96" s="255">
        <f>+(AF96/100000)</f>
        <v>24.247869999999999</v>
      </c>
      <c r="AH96" s="291">
        <v>24.23</v>
      </c>
      <c r="AI96" s="261">
        <f>+AG96-AH96</f>
        <v>1.7869999999998498E-2</v>
      </c>
      <c r="AK96" s="255">
        <f>2245016+179774</f>
        <v>2424790</v>
      </c>
      <c r="AL96" s="255">
        <f t="shared" si="37"/>
        <v>24.247900000000001</v>
      </c>
      <c r="AM96" s="255">
        <f>+K96+V96</f>
        <v>2424787</v>
      </c>
      <c r="AN96" s="255">
        <f t="shared" si="41"/>
        <v>24.247869999999999</v>
      </c>
      <c r="AO96" s="255">
        <f>+AL96-AN96</f>
        <v>3.0000000002416982E-5</v>
      </c>
    </row>
    <row r="97" spans="1:41" x14ac:dyDescent="0.35">
      <c r="A97" s="247" t="s">
        <v>45</v>
      </c>
      <c r="B97" s="258" t="s">
        <v>532</v>
      </c>
      <c r="C97" s="259" t="s">
        <v>535</v>
      </c>
      <c r="D97" s="250">
        <v>1483614</v>
      </c>
      <c r="E97" s="251">
        <v>151610</v>
      </c>
      <c r="F97" s="251">
        <v>183696</v>
      </c>
      <c r="G97" s="251">
        <v>137332</v>
      </c>
      <c r="H97" s="251">
        <v>0</v>
      </c>
      <c r="I97" s="252">
        <v>0</v>
      </c>
      <c r="J97" s="657">
        <v>8758</v>
      </c>
      <c r="K97" s="253">
        <f>SUM(D97:J97)</f>
        <v>1965010</v>
      </c>
      <c r="M97" s="250">
        <f>V97*30%</f>
        <v>41849.699999999997</v>
      </c>
      <c r="N97" s="307">
        <f>K97+M97</f>
        <v>2006859.7</v>
      </c>
      <c r="P97" s="250">
        <f>V97-M97</f>
        <v>97649.3</v>
      </c>
      <c r="Q97" s="307">
        <f>N97+P97</f>
        <v>2104509</v>
      </c>
      <c r="S97" s="250">
        <v>125310</v>
      </c>
      <c r="T97" s="250">
        <v>14189</v>
      </c>
      <c r="U97" s="252"/>
      <c r="V97" s="254">
        <f>SUM(S97:U97)</f>
        <v>139499</v>
      </c>
      <c r="X97" s="658">
        <f>+((D97+E97+S97)*2.5%)+(H97*14%)+(I97*14%)</f>
        <v>44013.350000000006</v>
      </c>
      <c r="Y97" s="658">
        <v>44032</v>
      </c>
      <c r="Z97" s="659">
        <f>+X97-Y97</f>
        <v>-18.649999999994179</v>
      </c>
      <c r="AA97" s="239"/>
      <c r="AB97" s="658">
        <f>+(F97+T97)*10%</f>
        <v>19788.5</v>
      </c>
      <c r="AC97" s="658">
        <v>19795</v>
      </c>
      <c r="AD97" s="658">
        <f>+AB97-AC97</f>
        <v>-6.5</v>
      </c>
      <c r="AF97" s="255">
        <f>K97+V97</f>
        <v>2104509</v>
      </c>
      <c r="AG97" s="255">
        <f>+(AF97/100000)</f>
        <v>21.045089999999998</v>
      </c>
      <c r="AH97" s="256">
        <v>21.04</v>
      </c>
      <c r="AI97" s="261">
        <f>+AG97-AH97</f>
        <v>5.0899999999991508E-3</v>
      </c>
      <c r="AK97" s="255">
        <f>1964529+139500</f>
        <v>2104029</v>
      </c>
      <c r="AL97" s="255">
        <f t="shared" si="37"/>
        <v>21.040289999999999</v>
      </c>
      <c r="AM97" s="255">
        <f>+K97+V97</f>
        <v>2104509</v>
      </c>
      <c r="AN97" s="255">
        <f t="shared" si="41"/>
        <v>21.045089999999998</v>
      </c>
      <c r="AO97" s="255">
        <f>+AL97-AN97</f>
        <v>-4.7999999999994714E-3</v>
      </c>
    </row>
    <row r="98" spans="1:41" x14ac:dyDescent="0.35">
      <c r="A98" s="247" t="s">
        <v>47</v>
      </c>
      <c r="B98" s="258" t="s">
        <v>525</v>
      </c>
      <c r="C98" s="259" t="s">
        <v>535</v>
      </c>
      <c r="D98" s="250">
        <v>986343</v>
      </c>
      <c r="E98" s="251">
        <v>143286</v>
      </c>
      <c r="F98" s="251">
        <v>893932</v>
      </c>
      <c r="G98" s="251">
        <v>7437</v>
      </c>
      <c r="H98" s="251">
        <v>0</v>
      </c>
      <c r="I98" s="252">
        <v>0</v>
      </c>
      <c r="J98" s="657">
        <v>442</v>
      </c>
      <c r="K98" s="253">
        <f>SUM(D98:J98)</f>
        <v>2031440</v>
      </c>
      <c r="M98" s="250">
        <f>V98*30%</f>
        <v>42789.599999999999</v>
      </c>
      <c r="N98" s="307">
        <f>K98+M98</f>
        <v>2074229.6</v>
      </c>
      <c r="P98" s="250">
        <f>V98-M98</f>
        <v>99842.4</v>
      </c>
      <c r="Q98" s="307">
        <f>N98+P98</f>
        <v>2174072</v>
      </c>
      <c r="S98" s="250">
        <v>83140</v>
      </c>
      <c r="T98" s="250">
        <v>59492</v>
      </c>
      <c r="U98" s="252"/>
      <c r="V98" s="254">
        <f>SUM(S98:U98)</f>
        <v>142632</v>
      </c>
      <c r="X98" s="658">
        <f>+((D98+E98+S98)*2.5%)+(H98*14%)+(I98*14%)</f>
        <v>30319.225000000002</v>
      </c>
      <c r="Y98" s="658">
        <v>30322</v>
      </c>
      <c r="Z98" s="659">
        <f>+X98-Y98</f>
        <v>-2.7749999999978172</v>
      </c>
      <c r="AA98" s="239"/>
      <c r="AB98" s="658">
        <f>+(F98+T98)*10%</f>
        <v>95342.400000000009</v>
      </c>
      <c r="AC98" s="658">
        <v>95349</v>
      </c>
      <c r="AD98" s="658">
        <f>+AB98-AC98</f>
        <v>-6.5999999999912689</v>
      </c>
      <c r="AF98" s="255">
        <f>K98+V98</f>
        <v>2174072</v>
      </c>
      <c r="AG98" s="255">
        <f>+(AF98/100000)</f>
        <v>21.74072</v>
      </c>
      <c r="AH98" s="256">
        <v>21.03</v>
      </c>
      <c r="AI98" s="666">
        <f>+AG98-AH98</f>
        <v>0.71071999999999846</v>
      </c>
      <c r="AK98" s="255">
        <f>2031442+142632</f>
        <v>2174074</v>
      </c>
      <c r="AL98" s="255">
        <f t="shared" si="37"/>
        <v>21.740739999999999</v>
      </c>
      <c r="AM98" s="255">
        <f>+K98+V98</f>
        <v>2174072</v>
      </c>
      <c r="AN98" s="255">
        <f t="shared" si="41"/>
        <v>21.74072</v>
      </c>
      <c r="AO98" s="255">
        <f>+AL98-AN98</f>
        <v>1.9999999999242846E-5</v>
      </c>
    </row>
    <row r="99" spans="1:41" ht="15" thickBot="1" x14ac:dyDescent="0.4">
      <c r="A99" s="260" t="s">
        <v>48</v>
      </c>
      <c r="B99" s="280" t="s">
        <v>219</v>
      </c>
      <c r="C99" s="281" t="s">
        <v>535</v>
      </c>
      <c r="D99" s="250">
        <v>1472943</v>
      </c>
      <c r="E99" s="251">
        <v>181394</v>
      </c>
      <c r="F99" s="251">
        <v>178614</v>
      </c>
      <c r="G99" s="251">
        <v>35708</v>
      </c>
      <c r="H99" s="251">
        <v>0</v>
      </c>
      <c r="I99" s="252">
        <v>0</v>
      </c>
      <c r="J99" s="657">
        <v>1652</v>
      </c>
      <c r="K99" s="253">
        <f>SUM(D99:J99)</f>
        <v>1870311</v>
      </c>
      <c r="M99" s="250">
        <f>V99*30%</f>
        <v>42234.6</v>
      </c>
      <c r="N99" s="307">
        <f>K99+M99</f>
        <v>1912545.6</v>
      </c>
      <c r="P99" s="250">
        <f>V99-M99</f>
        <v>98547.4</v>
      </c>
      <c r="Q99" s="307">
        <f>N99+P99</f>
        <v>2011093</v>
      </c>
      <c r="S99" s="250">
        <v>125554</v>
      </c>
      <c r="T99" s="250">
        <v>15228</v>
      </c>
      <c r="U99" s="252"/>
      <c r="V99" s="254">
        <f>SUM(S99:U99)</f>
        <v>140782</v>
      </c>
      <c r="X99" s="658">
        <f>+((D99+E99+S99)*2.5%)+(H99*14%)+(I99*14%)</f>
        <v>44497.275000000001</v>
      </c>
      <c r="Y99" s="658">
        <v>44515</v>
      </c>
      <c r="Z99" s="659">
        <f>+X99-Y99</f>
        <v>-17.724999999998545</v>
      </c>
      <c r="AA99" s="239"/>
      <c r="AB99" s="658">
        <f>+(F99+T99)*10%</f>
        <v>19384.2</v>
      </c>
      <c r="AC99" s="658">
        <v>19390</v>
      </c>
      <c r="AD99" s="658">
        <f>+AB99-AC99</f>
        <v>-5.7999999999992724</v>
      </c>
      <c r="AF99" s="255">
        <f>K99+V99</f>
        <v>2011093</v>
      </c>
      <c r="AG99" s="255">
        <f>+(AF99/100000)</f>
        <v>20.11093</v>
      </c>
      <c r="AH99" s="256">
        <v>20.82</v>
      </c>
      <c r="AI99" s="666">
        <f>+AG99-AH99</f>
        <v>-0.70907000000000053</v>
      </c>
      <c r="AK99" s="255">
        <f>1870313+140783</f>
        <v>2011096</v>
      </c>
      <c r="AL99" s="255">
        <f t="shared" si="37"/>
        <v>20.110959999999999</v>
      </c>
      <c r="AM99" s="255">
        <f>+K99+V99</f>
        <v>2011093</v>
      </c>
      <c r="AN99" s="255">
        <f t="shared" si="41"/>
        <v>20.11093</v>
      </c>
      <c r="AO99" s="255">
        <f>+AL99-AN99</f>
        <v>2.9999999998864268E-5</v>
      </c>
    </row>
    <row r="100" spans="1:41" ht="15" thickBot="1" x14ac:dyDescent="0.4">
      <c r="A100" s="89"/>
      <c r="B100" s="282"/>
      <c r="C100" s="283" t="s">
        <v>536</v>
      </c>
      <c r="D100" s="264">
        <f>SUM(D96:D99)</f>
        <v>5394834</v>
      </c>
      <c r="E100" s="264">
        <f t="shared" ref="E100:Q100" si="44">SUM(E96:E99)</f>
        <v>732489</v>
      </c>
      <c r="F100" s="264">
        <f t="shared" si="44"/>
        <v>1716795</v>
      </c>
      <c r="G100" s="264">
        <f t="shared" si="44"/>
        <v>252995</v>
      </c>
      <c r="H100" s="264">
        <f t="shared" si="44"/>
        <v>0</v>
      </c>
      <c r="I100" s="264">
        <f t="shared" si="44"/>
        <v>0</v>
      </c>
      <c r="J100" s="264">
        <f t="shared" si="44"/>
        <v>14661</v>
      </c>
      <c r="K100" s="264">
        <f t="shared" si="44"/>
        <v>8111774</v>
      </c>
      <c r="M100" s="264">
        <f t="shared" si="44"/>
        <v>180806.1</v>
      </c>
      <c r="N100" s="264">
        <f t="shared" si="44"/>
        <v>8292580.0999999996</v>
      </c>
      <c r="P100" s="264">
        <f t="shared" si="44"/>
        <v>421880.9</v>
      </c>
      <c r="Q100" s="264">
        <f t="shared" si="44"/>
        <v>8714461</v>
      </c>
      <c r="S100" s="284">
        <f>SUM(S96:S99)</f>
        <v>477470</v>
      </c>
      <c r="T100" s="284">
        <f t="shared" ref="T100:Z100" si="45">SUM(T96:T99)</f>
        <v>125217</v>
      </c>
      <c r="U100" s="284">
        <f t="shared" si="45"/>
        <v>0</v>
      </c>
      <c r="V100" s="284">
        <f t="shared" si="45"/>
        <v>602687</v>
      </c>
      <c r="X100" s="661">
        <f t="shared" si="45"/>
        <v>165119.82500000001</v>
      </c>
      <c r="Y100" s="661">
        <f t="shared" si="45"/>
        <v>165159</v>
      </c>
      <c r="Z100" s="661">
        <f t="shared" si="45"/>
        <v>-39.17499999998472</v>
      </c>
      <c r="AA100" s="662"/>
      <c r="AB100" s="661">
        <f>SUM(AB96:AB99)</f>
        <v>184201.2</v>
      </c>
      <c r="AC100" s="661">
        <f>SUM(AC96:AC99)</f>
        <v>184236</v>
      </c>
      <c r="AD100" s="661">
        <f>SUM(AD96:AD99)</f>
        <v>-34.79999999998472</v>
      </c>
      <c r="AF100" s="265">
        <f>SUM(AF96:AF99)</f>
        <v>8714461</v>
      </c>
      <c r="AG100" s="265">
        <f>SUM(AG96:AG99)</f>
        <v>87.144609999999986</v>
      </c>
      <c r="AH100" s="265">
        <f>SUM(AH96:AH99)</f>
        <v>87.12</v>
      </c>
      <c r="AI100" s="265">
        <f>SUM(AI96:AI99)</f>
        <v>2.460999999999558E-2</v>
      </c>
      <c r="AK100" s="265">
        <f>SUM(AK96:AK99)</f>
        <v>8713989</v>
      </c>
      <c r="AL100" s="265">
        <f>SUM(AL96:AL99)</f>
        <v>87.139890000000008</v>
      </c>
      <c r="AM100" s="265">
        <f>SUM(AM96:AM99)</f>
        <v>8714461</v>
      </c>
      <c r="AN100" s="265">
        <f>SUM(AN96:AN99)</f>
        <v>87.144609999999986</v>
      </c>
      <c r="AO100" s="265">
        <f>SUM(AO96:AO99)</f>
        <v>-4.7199999999989473E-3</v>
      </c>
    </row>
    <row r="101" spans="1:41" ht="15" thickBot="1" x14ac:dyDescent="0.4">
      <c r="A101" s="89" t="s">
        <v>43</v>
      </c>
      <c r="B101" s="280" t="s">
        <v>219</v>
      </c>
      <c r="C101" s="292" t="s">
        <v>233</v>
      </c>
      <c r="D101" s="250">
        <v>4341115</v>
      </c>
      <c r="E101" s="251">
        <v>947227</v>
      </c>
      <c r="F101" s="251">
        <v>601700</v>
      </c>
      <c r="G101" s="251">
        <v>68498</v>
      </c>
      <c r="H101" s="251">
        <v>0</v>
      </c>
      <c r="I101" s="252">
        <v>0</v>
      </c>
      <c r="J101" s="657">
        <v>230</v>
      </c>
      <c r="K101" s="253">
        <f t="shared" ref="K101:K107" si="46">SUM(D101:J101)</f>
        <v>5958770</v>
      </c>
      <c r="M101" s="250">
        <f t="shared" ref="M101:M107" si="47">V101*30%</f>
        <v>160164.6</v>
      </c>
      <c r="N101" s="307">
        <f t="shared" ref="N101:N107" si="48">K101+M101</f>
        <v>6118934.5999999996</v>
      </c>
      <c r="P101" s="250">
        <f t="shared" ref="P101:P107" si="49">V101-M101</f>
        <v>373717.4</v>
      </c>
      <c r="Q101" s="307">
        <f t="shared" ref="Q101:Q107" si="50">N101+P101</f>
        <v>6492652</v>
      </c>
      <c r="R101"/>
      <c r="S101" s="250">
        <v>478216</v>
      </c>
      <c r="T101" s="250">
        <v>55666</v>
      </c>
      <c r="U101" s="252"/>
      <c r="V101" s="254">
        <f t="shared" ref="V101:V107" si="51">SUM(S101:U101)</f>
        <v>533882</v>
      </c>
      <c r="X101" s="658">
        <f t="shared" ref="X101:X107" si="52">+((D101+E101+S101)*2.5%)+(H101*14%)+(I101*14%)</f>
        <v>144163.95000000001</v>
      </c>
      <c r="Y101" s="658">
        <v>144187</v>
      </c>
      <c r="Z101" s="659">
        <f t="shared" ref="Z101:Z113" si="53">+X101-Y101</f>
        <v>-23.049999999988358</v>
      </c>
      <c r="AA101" s="239"/>
      <c r="AB101" s="660"/>
      <c r="AC101" s="660"/>
      <c r="AD101" s="660"/>
      <c r="AF101" s="255">
        <f t="shared" ref="AF101:AF107" si="54">K101+V101</f>
        <v>6492652</v>
      </c>
      <c r="AG101" s="255">
        <f t="shared" ref="AG101:AG107" si="55">+(AF101/100000)</f>
        <v>64.926519999999996</v>
      </c>
      <c r="AH101" s="256">
        <v>64.87</v>
      </c>
      <c r="AI101" s="665">
        <f t="shared" ref="AI101:AI107" si="56">+AG101-AH101</f>
        <v>5.651999999999191E-2</v>
      </c>
      <c r="AK101" s="255">
        <f>5958772+533883</f>
        <v>6492655</v>
      </c>
      <c r="AL101" s="255">
        <f t="shared" si="37"/>
        <v>64.926550000000006</v>
      </c>
      <c r="AM101" s="255">
        <f t="shared" ref="AM101:AM107" si="57">+K101+V101</f>
        <v>6492652</v>
      </c>
      <c r="AN101" s="255">
        <f t="shared" si="41"/>
        <v>64.926519999999996</v>
      </c>
      <c r="AO101" s="255">
        <f t="shared" ref="AO101:AO107" si="58">+AL101-AN101</f>
        <v>3.000000000952241E-5</v>
      </c>
    </row>
    <row r="102" spans="1:41" ht="15" thickBot="1" x14ac:dyDescent="0.4">
      <c r="A102" s="89" t="s">
        <v>34</v>
      </c>
      <c r="B102" s="280" t="s">
        <v>523</v>
      </c>
      <c r="C102" s="292" t="s">
        <v>233</v>
      </c>
      <c r="D102" s="250">
        <v>1263892</v>
      </c>
      <c r="E102" s="251">
        <v>347552</v>
      </c>
      <c r="F102" s="251">
        <v>303886</v>
      </c>
      <c r="G102" s="251">
        <v>0</v>
      </c>
      <c r="H102" s="251">
        <v>0</v>
      </c>
      <c r="I102" s="252">
        <v>0</v>
      </c>
      <c r="J102" s="657">
        <v>0</v>
      </c>
      <c r="K102" s="253">
        <f t="shared" si="46"/>
        <v>1915330</v>
      </c>
      <c r="M102" s="250">
        <f t="shared" si="47"/>
        <v>50553.9</v>
      </c>
      <c r="N102" s="307">
        <f t="shared" si="48"/>
        <v>1965883.9</v>
      </c>
      <c r="P102" s="250">
        <f t="shared" si="49"/>
        <v>117959.1</v>
      </c>
      <c r="Q102" s="307">
        <f t="shared" si="50"/>
        <v>2083843</v>
      </c>
      <c r="R102"/>
      <c r="S102" s="250">
        <v>141795</v>
      </c>
      <c r="T102" s="250">
        <v>26718</v>
      </c>
      <c r="U102" s="252"/>
      <c r="V102" s="254">
        <f t="shared" si="51"/>
        <v>168513</v>
      </c>
      <c r="X102" s="658">
        <f t="shared" si="52"/>
        <v>43830.975000000006</v>
      </c>
      <c r="Y102" s="658">
        <v>43860</v>
      </c>
      <c r="Z102" s="659">
        <f t="shared" si="53"/>
        <v>-29.024999999994179</v>
      </c>
      <c r="AA102" s="239"/>
      <c r="AB102" s="660"/>
      <c r="AC102" s="660"/>
      <c r="AD102" s="660"/>
      <c r="AF102" s="255">
        <f t="shared" si="54"/>
        <v>2083843</v>
      </c>
      <c r="AG102" s="255">
        <f t="shared" si="55"/>
        <v>20.838429999999999</v>
      </c>
      <c r="AH102" s="256">
        <v>20.84</v>
      </c>
      <c r="AI102" s="261">
        <f t="shared" si="56"/>
        <v>-1.5700000000009595E-3</v>
      </c>
      <c r="AK102" s="255">
        <f>1914673+168514</f>
        <v>2083187</v>
      </c>
      <c r="AL102" s="255">
        <f t="shared" si="37"/>
        <v>20.831869999999999</v>
      </c>
      <c r="AM102" s="255">
        <f t="shared" si="57"/>
        <v>2083843</v>
      </c>
      <c r="AN102" s="255">
        <f t="shared" si="41"/>
        <v>20.838429999999999</v>
      </c>
      <c r="AO102" s="255">
        <f t="shared" si="58"/>
        <v>-6.5600000000003433E-3</v>
      </c>
    </row>
    <row r="103" spans="1:41" ht="15" thickBot="1" x14ac:dyDescent="0.4">
      <c r="A103" s="89" t="s">
        <v>40</v>
      </c>
      <c r="B103" s="280" t="s">
        <v>225</v>
      </c>
      <c r="C103" s="667" t="s">
        <v>233</v>
      </c>
      <c r="D103" s="250">
        <v>3379997</v>
      </c>
      <c r="E103" s="251">
        <v>440765</v>
      </c>
      <c r="F103" s="251">
        <v>1051921</v>
      </c>
      <c r="G103" s="251">
        <v>46585</v>
      </c>
      <c r="H103" s="251">
        <v>0</v>
      </c>
      <c r="I103" s="252">
        <v>0</v>
      </c>
      <c r="J103" s="657">
        <v>590</v>
      </c>
      <c r="K103" s="253">
        <f t="shared" si="46"/>
        <v>4919858</v>
      </c>
      <c r="M103" s="250">
        <f t="shared" si="47"/>
        <v>134048.69999999998</v>
      </c>
      <c r="N103" s="307">
        <f t="shared" si="48"/>
        <v>5053906.7</v>
      </c>
      <c r="P103" s="250">
        <f t="shared" si="49"/>
        <v>312780.30000000005</v>
      </c>
      <c r="Q103" s="307">
        <f t="shared" si="50"/>
        <v>5366687</v>
      </c>
      <c r="R103"/>
      <c r="S103" s="250">
        <v>351968</v>
      </c>
      <c r="T103" s="250">
        <v>94861</v>
      </c>
      <c r="U103" s="252"/>
      <c r="V103" s="254">
        <f t="shared" si="51"/>
        <v>446829</v>
      </c>
      <c r="X103" s="658">
        <f t="shared" si="52"/>
        <v>104318.25</v>
      </c>
      <c r="Y103" s="658">
        <v>104321</v>
      </c>
      <c r="Z103" s="659">
        <f t="shared" si="53"/>
        <v>-2.75</v>
      </c>
      <c r="AA103" s="239"/>
      <c r="AB103" s="660"/>
      <c r="AC103" s="660"/>
      <c r="AD103" s="660"/>
      <c r="AF103" s="255">
        <f t="shared" si="54"/>
        <v>5366687</v>
      </c>
      <c r="AG103" s="255">
        <f t="shared" si="55"/>
        <v>53.666870000000003</v>
      </c>
      <c r="AH103" s="256">
        <v>53.68</v>
      </c>
      <c r="AI103" s="261">
        <f>+AG103-AH103</f>
        <v>-1.3129999999996755E-2</v>
      </c>
      <c r="AK103" s="255">
        <f>4919861+446830</f>
        <v>5366691</v>
      </c>
      <c r="AL103" s="255">
        <f t="shared" si="37"/>
        <v>53.666910000000001</v>
      </c>
      <c r="AM103" s="255">
        <f t="shared" si="57"/>
        <v>5366687</v>
      </c>
      <c r="AN103" s="255">
        <f t="shared" si="41"/>
        <v>53.666870000000003</v>
      </c>
      <c r="AO103" s="255">
        <f t="shared" si="58"/>
        <v>3.9999999998485691E-5</v>
      </c>
    </row>
    <row r="104" spans="1:41" ht="15" thickBot="1" x14ac:dyDescent="0.4">
      <c r="A104" s="89"/>
      <c r="B104" s="668" t="s">
        <v>525</v>
      </c>
      <c r="C104" s="669" t="s">
        <v>233</v>
      </c>
      <c r="D104" s="250">
        <v>1715254</v>
      </c>
      <c r="E104" s="251">
        <v>363622</v>
      </c>
      <c r="F104" s="251">
        <v>1772739</v>
      </c>
      <c r="G104" s="251">
        <v>0</v>
      </c>
      <c r="H104" s="251">
        <v>0</v>
      </c>
      <c r="I104" s="252">
        <v>0</v>
      </c>
      <c r="J104" s="657">
        <v>0</v>
      </c>
      <c r="K104" s="253">
        <f>SUM(D104:J104)</f>
        <v>3851615</v>
      </c>
      <c r="M104" s="250">
        <f t="shared" si="47"/>
        <v>102608.09999999999</v>
      </c>
      <c r="N104" s="307">
        <f t="shared" si="48"/>
        <v>3954223.1</v>
      </c>
      <c r="P104" s="250">
        <f t="shared" si="49"/>
        <v>239418.90000000002</v>
      </c>
      <c r="Q104" s="307">
        <f t="shared" si="50"/>
        <v>4193642</v>
      </c>
      <c r="R104"/>
      <c r="S104" s="250">
        <v>186562</v>
      </c>
      <c r="T104" s="250">
        <v>155465</v>
      </c>
      <c r="U104" s="252"/>
      <c r="V104" s="254">
        <f t="shared" si="51"/>
        <v>342027</v>
      </c>
      <c r="X104" s="658">
        <f t="shared" si="52"/>
        <v>56635.950000000004</v>
      </c>
      <c r="Y104" s="658">
        <v>56639</v>
      </c>
      <c r="Z104" s="659">
        <f t="shared" si="53"/>
        <v>-3.0499999999956344</v>
      </c>
      <c r="AA104" s="239"/>
      <c r="AB104" s="660"/>
      <c r="AC104" s="660"/>
      <c r="AD104" s="660"/>
      <c r="AF104" s="255">
        <f t="shared" si="54"/>
        <v>4193642</v>
      </c>
      <c r="AG104" s="255">
        <f t="shared" si="55"/>
        <v>41.936419999999998</v>
      </c>
      <c r="AH104" s="256">
        <v>42.17</v>
      </c>
      <c r="AI104" s="665">
        <f>+AG104-AH104</f>
        <v>-0.23358000000000345</v>
      </c>
      <c r="AK104" s="255">
        <f>3849811+342027</f>
        <v>4191838</v>
      </c>
      <c r="AL104" s="255">
        <f t="shared" si="37"/>
        <v>41.918379999999999</v>
      </c>
      <c r="AM104" s="255">
        <f t="shared" si="57"/>
        <v>4193642</v>
      </c>
      <c r="AN104" s="255">
        <f t="shared" si="41"/>
        <v>41.936419999999998</v>
      </c>
      <c r="AO104" s="255">
        <f t="shared" si="58"/>
        <v>-1.8039999999999168E-2</v>
      </c>
    </row>
    <row r="105" spans="1:41" ht="15" thickBot="1" x14ac:dyDescent="0.4">
      <c r="A105" s="89" t="s">
        <v>35</v>
      </c>
      <c r="B105" s="46" t="s">
        <v>537</v>
      </c>
      <c r="C105" s="293" t="s">
        <v>233</v>
      </c>
      <c r="D105" s="250">
        <v>3204862</v>
      </c>
      <c r="E105" s="251">
        <v>281984</v>
      </c>
      <c r="F105" s="251">
        <v>454907</v>
      </c>
      <c r="G105" s="251">
        <v>0</v>
      </c>
      <c r="H105" s="251">
        <v>0</v>
      </c>
      <c r="I105" s="252">
        <v>0</v>
      </c>
      <c r="J105" s="657">
        <v>0</v>
      </c>
      <c r="K105" s="253">
        <f t="shared" si="46"/>
        <v>3941753</v>
      </c>
      <c r="M105" s="250">
        <f t="shared" si="47"/>
        <v>95352</v>
      </c>
      <c r="N105" s="307">
        <f t="shared" si="48"/>
        <v>4037105</v>
      </c>
      <c r="P105" s="250">
        <f t="shared" si="49"/>
        <v>222488</v>
      </c>
      <c r="Q105" s="307">
        <f t="shared" si="50"/>
        <v>4259593</v>
      </c>
      <c r="R105"/>
      <c r="S105" s="250">
        <v>284504</v>
      </c>
      <c r="T105" s="250">
        <v>33336</v>
      </c>
      <c r="U105" s="296"/>
      <c r="V105" s="254">
        <f t="shared" si="51"/>
        <v>317840</v>
      </c>
      <c r="X105" s="658">
        <f t="shared" si="52"/>
        <v>94283.75</v>
      </c>
      <c r="Y105" s="658">
        <v>94298</v>
      </c>
      <c r="Z105" s="659">
        <f t="shared" si="53"/>
        <v>-14.25</v>
      </c>
      <c r="AA105" s="239"/>
      <c r="AB105" s="660"/>
      <c r="AC105" s="660"/>
      <c r="AD105" s="660"/>
      <c r="AF105" s="255">
        <f t="shared" si="54"/>
        <v>4259593</v>
      </c>
      <c r="AG105" s="255">
        <f t="shared" si="55"/>
        <v>42.595930000000003</v>
      </c>
      <c r="AH105" s="297">
        <v>42.6</v>
      </c>
      <c r="AI105" s="261">
        <f t="shared" si="56"/>
        <v>-4.0699999999986858E-3</v>
      </c>
      <c r="AK105" s="255">
        <f>3941961+317841</f>
        <v>4259802</v>
      </c>
      <c r="AL105" s="255">
        <f t="shared" si="37"/>
        <v>42.598019999999998</v>
      </c>
      <c r="AM105" s="255">
        <f t="shared" si="57"/>
        <v>4259593</v>
      </c>
      <c r="AN105" s="255">
        <f t="shared" si="41"/>
        <v>42.595930000000003</v>
      </c>
      <c r="AO105" s="255">
        <f>+AL105-AN105</f>
        <v>2.0899999999954844E-3</v>
      </c>
    </row>
    <row r="106" spans="1:41" ht="15" thickBot="1" x14ac:dyDescent="0.4">
      <c r="A106" s="89"/>
      <c r="B106" s="46" t="s">
        <v>1104</v>
      </c>
      <c r="C106" s="293" t="s">
        <v>233</v>
      </c>
      <c r="D106" s="250">
        <v>263079</v>
      </c>
      <c r="E106" s="251">
        <v>76846</v>
      </c>
      <c r="F106" s="251">
        <v>0</v>
      </c>
      <c r="G106" s="251">
        <v>0</v>
      </c>
      <c r="H106" s="251">
        <v>0</v>
      </c>
      <c r="I106" s="252">
        <v>0</v>
      </c>
      <c r="J106" s="657">
        <v>0</v>
      </c>
      <c r="K106" s="253">
        <f>SUM(D106:J106)</f>
        <v>339925</v>
      </c>
      <c r="M106" s="250">
        <f t="shared" si="47"/>
        <v>6859.8</v>
      </c>
      <c r="N106" s="307">
        <f t="shared" si="48"/>
        <v>346784.8</v>
      </c>
      <c r="P106" s="250">
        <f t="shared" si="49"/>
        <v>16006.2</v>
      </c>
      <c r="Q106" s="307">
        <f t="shared" si="50"/>
        <v>362791</v>
      </c>
      <c r="R106"/>
      <c r="S106" s="250">
        <v>22866</v>
      </c>
      <c r="T106" s="250">
        <v>0</v>
      </c>
      <c r="U106" s="296"/>
      <c r="V106" s="254">
        <f t="shared" si="51"/>
        <v>22866</v>
      </c>
      <c r="X106" s="658">
        <f t="shared" si="52"/>
        <v>9069.7749999999996</v>
      </c>
      <c r="Y106" s="658">
        <v>9076</v>
      </c>
      <c r="Z106" s="659">
        <f t="shared" si="53"/>
        <v>-6.2250000000003638</v>
      </c>
      <c r="AA106" s="239"/>
      <c r="AB106" s="660"/>
      <c r="AC106" s="660"/>
      <c r="AD106" s="660"/>
      <c r="AF106" s="255">
        <f t="shared" si="54"/>
        <v>362791</v>
      </c>
      <c r="AG106" s="255">
        <f t="shared" si="55"/>
        <v>3.62791</v>
      </c>
      <c r="AH106" s="297">
        <v>3.61</v>
      </c>
      <c r="AI106" s="261">
        <f t="shared" si="56"/>
        <v>1.7910000000000093E-2</v>
      </c>
      <c r="AK106" s="255">
        <f>340051+22866</f>
        <v>362917</v>
      </c>
      <c r="AL106" s="255">
        <f t="shared" si="37"/>
        <v>3.6291699999999998</v>
      </c>
      <c r="AM106" s="255">
        <f t="shared" si="57"/>
        <v>362791</v>
      </c>
      <c r="AN106" s="255">
        <f t="shared" si="41"/>
        <v>3.62791</v>
      </c>
      <c r="AO106" s="255">
        <f>+AL106-AN106</f>
        <v>1.2599999999998168E-3</v>
      </c>
    </row>
    <row r="107" spans="1:41" ht="15" thickBot="1" x14ac:dyDescent="0.4">
      <c r="A107" s="89" t="s">
        <v>41</v>
      </c>
      <c r="B107" s="46" t="s">
        <v>538</v>
      </c>
      <c r="C107" s="293" t="s">
        <v>233</v>
      </c>
      <c r="D107" s="250">
        <v>742673</v>
      </c>
      <c r="E107" s="251">
        <v>338498</v>
      </c>
      <c r="F107" s="251">
        <v>0</v>
      </c>
      <c r="G107" s="251">
        <v>0</v>
      </c>
      <c r="H107" s="251">
        <v>0</v>
      </c>
      <c r="I107" s="252">
        <v>0</v>
      </c>
      <c r="J107" s="657">
        <v>0</v>
      </c>
      <c r="K107" s="253">
        <f t="shared" si="46"/>
        <v>1081171</v>
      </c>
      <c r="M107" s="250">
        <f t="shared" si="47"/>
        <v>23525.1</v>
      </c>
      <c r="N107" s="307">
        <f t="shared" si="48"/>
        <v>1104696.1000000001</v>
      </c>
      <c r="P107" s="250">
        <f t="shared" si="49"/>
        <v>54891.9</v>
      </c>
      <c r="Q107" s="307">
        <f t="shared" si="50"/>
        <v>1159588</v>
      </c>
      <c r="R107"/>
      <c r="S107" s="250">
        <v>78417</v>
      </c>
      <c r="T107" s="250">
        <v>0</v>
      </c>
      <c r="U107" s="296"/>
      <c r="V107" s="254">
        <f t="shared" si="51"/>
        <v>78417</v>
      </c>
      <c r="X107" s="658">
        <f t="shared" si="52"/>
        <v>28989.7</v>
      </c>
      <c r="Y107" s="658">
        <v>28993</v>
      </c>
      <c r="Z107" s="659">
        <f t="shared" si="53"/>
        <v>-3.2999999999992724</v>
      </c>
      <c r="AA107" s="239"/>
      <c r="AB107" s="660"/>
      <c r="AC107" s="660"/>
      <c r="AD107" s="660"/>
      <c r="AF107" s="255">
        <f t="shared" si="54"/>
        <v>1159588</v>
      </c>
      <c r="AG107" s="255">
        <f t="shared" si="55"/>
        <v>11.595879999999999</v>
      </c>
      <c r="AH107" s="297">
        <v>11.6</v>
      </c>
      <c r="AI107" s="261">
        <f t="shared" si="56"/>
        <v>-4.1200000000003456E-3</v>
      </c>
      <c r="AK107" s="255">
        <f>1081473+78418</f>
        <v>1159891</v>
      </c>
      <c r="AL107" s="255">
        <f t="shared" si="37"/>
        <v>11.59891</v>
      </c>
      <c r="AM107" s="255">
        <f t="shared" si="57"/>
        <v>1159588</v>
      </c>
      <c r="AN107" s="255">
        <f t="shared" si="41"/>
        <v>11.595879999999999</v>
      </c>
      <c r="AO107" s="255">
        <f t="shared" si="58"/>
        <v>3.0300000000007543E-3</v>
      </c>
    </row>
    <row r="108" spans="1:41" ht="15" thickBot="1" x14ac:dyDescent="0.4">
      <c r="A108" s="89"/>
      <c r="B108" s="282"/>
      <c r="C108" s="282" t="s">
        <v>539</v>
      </c>
      <c r="D108" s="264">
        <f>SUM(D101:D107)</f>
        <v>14910872</v>
      </c>
      <c r="E108" s="264">
        <f t="shared" ref="E108:Q108" si="59">SUM(E101:E107)</f>
        <v>2796494</v>
      </c>
      <c r="F108" s="264">
        <f t="shared" si="59"/>
        <v>4185153</v>
      </c>
      <c r="G108" s="264">
        <f t="shared" si="59"/>
        <v>115083</v>
      </c>
      <c r="H108" s="264">
        <f t="shared" si="59"/>
        <v>0</v>
      </c>
      <c r="I108" s="264">
        <f t="shared" si="59"/>
        <v>0</v>
      </c>
      <c r="J108" s="264">
        <f t="shared" si="59"/>
        <v>820</v>
      </c>
      <c r="K108" s="264">
        <f t="shared" si="59"/>
        <v>22008422</v>
      </c>
      <c r="M108" s="264">
        <f t="shared" si="59"/>
        <v>573112.19999999995</v>
      </c>
      <c r="N108" s="264">
        <f t="shared" si="59"/>
        <v>22581534.200000003</v>
      </c>
      <c r="O108"/>
      <c r="P108" s="264">
        <f t="shared" si="59"/>
        <v>1337261.8</v>
      </c>
      <c r="Q108" s="264">
        <f t="shared" si="59"/>
        <v>23918796</v>
      </c>
      <c r="R108"/>
      <c r="S108" s="264">
        <f t="shared" ref="S108:Z108" si="60">SUM(S101:S107)</f>
        <v>1544328</v>
      </c>
      <c r="T108" s="264">
        <f t="shared" si="60"/>
        <v>366046</v>
      </c>
      <c r="U108" s="264">
        <f t="shared" si="60"/>
        <v>0</v>
      </c>
      <c r="V108" s="264">
        <f t="shared" si="60"/>
        <v>1910374</v>
      </c>
      <c r="X108" s="661">
        <f t="shared" si="60"/>
        <v>481292.35000000009</v>
      </c>
      <c r="Y108" s="661">
        <f t="shared" si="60"/>
        <v>481374</v>
      </c>
      <c r="Z108" s="661">
        <f t="shared" si="60"/>
        <v>-81.649999999977808</v>
      </c>
      <c r="AA108" s="662"/>
      <c r="AB108" s="661">
        <f>SUM(AB101:AB107)</f>
        <v>0</v>
      </c>
      <c r="AC108" s="661">
        <f>SUM(AC101:AC107)</f>
        <v>0</v>
      </c>
      <c r="AD108" s="661">
        <f>SUM(AD101:AD107)</f>
        <v>0</v>
      </c>
      <c r="AF108" s="264">
        <f>SUM(AF101:AF107)</f>
        <v>23918796</v>
      </c>
      <c r="AG108" s="264">
        <f>SUM(AG101:AG107)</f>
        <v>239.18796</v>
      </c>
      <c r="AH108" s="264">
        <f>SUM(AH101:AH107)</f>
        <v>239.37</v>
      </c>
      <c r="AI108" s="264">
        <f>SUM(AI101:AI107)</f>
        <v>-0.1820400000000082</v>
      </c>
      <c r="AK108" s="264">
        <f>SUM(AK101:AK107)</f>
        <v>23916981</v>
      </c>
      <c r="AL108" s="264">
        <f>SUM(AL101:AL107)</f>
        <v>239.16980999999996</v>
      </c>
      <c r="AM108" s="264">
        <f>SUM(AM101:AM107)</f>
        <v>23918796</v>
      </c>
      <c r="AN108" s="264">
        <f>SUM(AN101:AN107)</f>
        <v>239.18796</v>
      </c>
      <c r="AO108" s="264">
        <f>SUM(AO101:AO107)</f>
        <v>-1.8149999999995448E-2</v>
      </c>
    </row>
    <row r="109" spans="1:41" ht="15" thickBot="1" x14ac:dyDescent="0.4">
      <c r="A109" s="33" t="s">
        <v>54</v>
      </c>
      <c r="B109" s="258" t="s">
        <v>219</v>
      </c>
      <c r="C109" s="293" t="s">
        <v>540</v>
      </c>
      <c r="D109" s="250">
        <v>3524953</v>
      </c>
      <c r="E109" s="251">
        <v>742187</v>
      </c>
      <c r="F109" s="251">
        <v>717852</v>
      </c>
      <c r="G109" s="251">
        <v>25821</v>
      </c>
      <c r="H109" s="251">
        <v>0</v>
      </c>
      <c r="I109" s="252">
        <v>0</v>
      </c>
      <c r="J109" s="657">
        <v>0</v>
      </c>
      <c r="K109" s="253">
        <f>SUM(D109:J109)</f>
        <v>5010813</v>
      </c>
      <c r="M109" s="250">
        <f>V109*30%</f>
        <v>132926.39999999999</v>
      </c>
      <c r="N109" s="307">
        <f>K109+M109</f>
        <v>5143739.4000000004</v>
      </c>
      <c r="P109" s="250">
        <f>V109-M109</f>
        <v>310161.59999999998</v>
      </c>
      <c r="Q109" s="307">
        <f>N109+P109</f>
        <v>5453901</v>
      </c>
      <c r="R109"/>
      <c r="S109" s="250">
        <v>381291</v>
      </c>
      <c r="T109" s="250">
        <v>61797</v>
      </c>
      <c r="U109" s="252"/>
      <c r="V109" s="254">
        <f>SUM(S109:U109)</f>
        <v>443088</v>
      </c>
      <c r="X109" s="658">
        <f>+((D109+E109+S109)*2.5%)+(H109*14%)+(I109*14%)</f>
        <v>116210.77500000001</v>
      </c>
      <c r="Y109" s="658">
        <v>116205</v>
      </c>
      <c r="Z109" s="659">
        <f t="shared" si="53"/>
        <v>5.7750000000087311</v>
      </c>
      <c r="AA109" s="239"/>
      <c r="AB109" s="658">
        <f>+(F109+T109)*10%</f>
        <v>77964.900000000009</v>
      </c>
      <c r="AC109" s="658">
        <v>77973</v>
      </c>
      <c r="AD109" s="658">
        <f>+AB109-AC109</f>
        <v>-8.0999999999912689</v>
      </c>
      <c r="AF109" s="255">
        <f>K109+V109</f>
        <v>5453901</v>
      </c>
      <c r="AG109" s="255">
        <f>+(AF109/100000)</f>
        <v>54.539009999999998</v>
      </c>
      <c r="AH109" s="256">
        <v>54.51</v>
      </c>
      <c r="AI109" s="261">
        <f>+AG109-AH109</f>
        <v>2.9009999999999536E-2</v>
      </c>
      <c r="AK109" s="255">
        <f>5010814+443088</f>
        <v>5453902</v>
      </c>
      <c r="AL109" s="255">
        <f t="shared" si="37"/>
        <v>54.539020000000001</v>
      </c>
      <c r="AM109" s="255">
        <f>+K109+V109</f>
        <v>5453901</v>
      </c>
      <c r="AN109" s="255">
        <f t="shared" si="41"/>
        <v>54.539009999999998</v>
      </c>
      <c r="AO109" s="255">
        <f>+AL109-AN109</f>
        <v>1.0000000003174137E-5</v>
      </c>
    </row>
    <row r="110" spans="1:41" ht="15" thickBot="1" x14ac:dyDescent="0.4">
      <c r="A110" s="33" t="s">
        <v>49</v>
      </c>
      <c r="B110" s="258" t="s">
        <v>523</v>
      </c>
      <c r="C110" s="293" t="s">
        <v>540</v>
      </c>
      <c r="D110" s="250">
        <v>980337</v>
      </c>
      <c r="E110" s="251">
        <v>213314</v>
      </c>
      <c r="F110" s="251">
        <v>39536</v>
      </c>
      <c r="G110" s="251">
        <f>36244+883</f>
        <v>37127</v>
      </c>
      <c r="H110" s="251">
        <v>0</v>
      </c>
      <c r="I110" s="252">
        <v>0</v>
      </c>
      <c r="J110" s="657">
        <v>0</v>
      </c>
      <c r="K110" s="253">
        <f>SUM(D110:J110)</f>
        <v>1270314</v>
      </c>
      <c r="M110" s="250">
        <f>V110*30%</f>
        <v>31133.699999999997</v>
      </c>
      <c r="N110" s="307">
        <f>K110+M110</f>
        <v>1301447.7</v>
      </c>
      <c r="P110" s="250">
        <f>V110-M110</f>
        <v>72645.3</v>
      </c>
      <c r="Q110" s="307">
        <f>N110+P110</f>
        <v>1374093</v>
      </c>
      <c r="R110"/>
      <c r="S110" s="250">
        <v>100374</v>
      </c>
      <c r="T110" s="250">
        <v>3405</v>
      </c>
      <c r="U110" s="252"/>
      <c r="V110" s="254">
        <f>SUM(S110:U110)</f>
        <v>103779</v>
      </c>
      <c r="X110" s="658">
        <f>+((D110+E110+S110)*2.5%)+(H110*14%)+(I110*14%)</f>
        <v>32350.625</v>
      </c>
      <c r="Y110" s="658">
        <v>32353</v>
      </c>
      <c r="Z110" s="658">
        <f t="shared" si="53"/>
        <v>-2.375</v>
      </c>
      <c r="AA110" s="239"/>
      <c r="AB110" s="658">
        <f>+(F110+T110)*10%</f>
        <v>4294.1000000000004</v>
      </c>
      <c r="AC110" s="658">
        <v>4305</v>
      </c>
      <c r="AD110" s="658">
        <f>+AB110-AC110</f>
        <v>-10.899999999999636</v>
      </c>
      <c r="AF110" s="255">
        <f>K110+V110</f>
        <v>1374093</v>
      </c>
      <c r="AG110" s="255">
        <f>+(AF110/100000)</f>
        <v>13.740930000000001</v>
      </c>
      <c r="AH110" s="256">
        <v>13.74</v>
      </c>
      <c r="AI110" s="261">
        <f>+AG110-AH110</f>
        <v>9.3000000000031946E-4</v>
      </c>
      <c r="AK110" s="255">
        <f>1270342+103780</f>
        <v>1374122</v>
      </c>
      <c r="AL110" s="255">
        <f t="shared" si="37"/>
        <v>13.74122</v>
      </c>
      <c r="AM110" s="255">
        <f>+K110+V110</f>
        <v>1374093</v>
      </c>
      <c r="AN110" s="255">
        <f t="shared" si="41"/>
        <v>13.740930000000001</v>
      </c>
      <c r="AO110" s="255">
        <f>+AL110-AN110</f>
        <v>2.899999999996794E-4</v>
      </c>
    </row>
    <row r="111" spans="1:41" ht="15" thickBot="1" x14ac:dyDescent="0.4">
      <c r="A111" s="33" t="s">
        <v>55</v>
      </c>
      <c r="B111" s="258" t="s">
        <v>220</v>
      </c>
      <c r="C111" s="293" t="s">
        <v>540</v>
      </c>
      <c r="D111" s="250">
        <v>479577</v>
      </c>
      <c r="E111" s="251">
        <v>78254</v>
      </c>
      <c r="F111" s="251">
        <v>58984</v>
      </c>
      <c r="G111" s="251">
        <f>18686+850</f>
        <v>19536</v>
      </c>
      <c r="H111" s="251">
        <v>0</v>
      </c>
      <c r="I111" s="252">
        <v>0</v>
      </c>
      <c r="J111" s="657">
        <v>656</v>
      </c>
      <c r="K111" s="253">
        <f>SUM(D111:J111)</f>
        <v>637007</v>
      </c>
      <c r="M111" s="250">
        <f>V111*30%</f>
        <v>16125</v>
      </c>
      <c r="N111" s="307">
        <f>K111+M111</f>
        <v>653132</v>
      </c>
      <c r="P111" s="250">
        <f>V111-M111</f>
        <v>37625</v>
      </c>
      <c r="Q111" s="307">
        <f>N111+P111</f>
        <v>690757</v>
      </c>
      <c r="R111"/>
      <c r="S111" s="250">
        <v>48685</v>
      </c>
      <c r="T111" s="250">
        <v>5065</v>
      </c>
      <c r="U111" s="252"/>
      <c r="V111" s="254">
        <f>SUM(S111:U111)</f>
        <v>53750</v>
      </c>
      <c r="X111" s="658">
        <f>+((D111+E111+S111)*2.5%)+(H111*14%)+(I111*14%)</f>
        <v>15162.900000000001</v>
      </c>
      <c r="Y111" s="658">
        <v>15161</v>
      </c>
      <c r="Z111" s="658">
        <f t="shared" si="53"/>
        <v>1.9000000000014552</v>
      </c>
      <c r="AA111" s="239"/>
      <c r="AB111" s="658">
        <f>+(F111+T111)*10%</f>
        <v>6404.9000000000005</v>
      </c>
      <c r="AC111" s="658">
        <v>6414</v>
      </c>
      <c r="AD111" s="658">
        <f>+AB111-AC111</f>
        <v>-9.0999999999994543</v>
      </c>
      <c r="AF111" s="255">
        <f>K111+V111</f>
        <v>690757</v>
      </c>
      <c r="AG111" s="255">
        <f>+(AF111/100000)</f>
        <v>6.9075699999999998</v>
      </c>
      <c r="AH111" s="256">
        <v>6.91</v>
      </c>
      <c r="AI111" s="261">
        <f>+AG111-AH111</f>
        <v>-2.4300000000003763E-3</v>
      </c>
      <c r="AK111" s="255">
        <f>636608+53751</f>
        <v>690359</v>
      </c>
      <c r="AL111" s="255">
        <f t="shared" si="37"/>
        <v>6.9035900000000003</v>
      </c>
      <c r="AM111" s="255">
        <f>+K111+V111</f>
        <v>690757</v>
      </c>
      <c r="AN111" s="255">
        <f t="shared" si="41"/>
        <v>6.9075699999999998</v>
      </c>
      <c r="AO111" s="255">
        <f>+AL111-AN111</f>
        <v>-3.9799999999994284E-3</v>
      </c>
    </row>
    <row r="112" spans="1:41" ht="15" thickBot="1" x14ac:dyDescent="0.4">
      <c r="A112" s="33" t="s">
        <v>52</v>
      </c>
      <c r="B112" s="258" t="s">
        <v>225</v>
      </c>
      <c r="C112" s="293" t="s">
        <v>540</v>
      </c>
      <c r="D112" s="250">
        <v>2819446</v>
      </c>
      <c r="E112" s="251">
        <v>342132</v>
      </c>
      <c r="F112" s="251">
        <v>479020</v>
      </c>
      <c r="G112" s="251">
        <v>69048</v>
      </c>
      <c r="H112" s="251">
        <v>0</v>
      </c>
      <c r="I112" s="252">
        <v>0</v>
      </c>
      <c r="J112" s="657">
        <v>0</v>
      </c>
      <c r="K112" s="253">
        <f>SUM(D112:J112)</f>
        <v>3709646</v>
      </c>
      <c r="M112" s="250">
        <f>V112*30%</f>
        <v>92005.8</v>
      </c>
      <c r="N112" s="307">
        <f>K112+M112</f>
        <v>3801651.8</v>
      </c>
      <c r="P112" s="250">
        <f>V112-M112</f>
        <v>214680.2</v>
      </c>
      <c r="Q112" s="307">
        <f>N112+P112</f>
        <v>4016332</v>
      </c>
      <c r="R112"/>
      <c r="S112" s="250">
        <v>266214</v>
      </c>
      <c r="T112" s="250">
        <v>40472</v>
      </c>
      <c r="U112" s="252"/>
      <c r="V112" s="254">
        <f>SUM(S112:U112)</f>
        <v>306686</v>
      </c>
      <c r="X112" s="658">
        <f>+((D112+E112+S112)*2.5%)+(H112*14%)+(I112*14%)</f>
        <v>85694.8</v>
      </c>
      <c r="Y112" s="658">
        <v>85716</v>
      </c>
      <c r="Z112" s="659">
        <f t="shared" si="53"/>
        <v>-21.19999999999709</v>
      </c>
      <c r="AA112" s="239"/>
      <c r="AB112" s="658">
        <f>+(F112+T112)*10%</f>
        <v>51949.200000000004</v>
      </c>
      <c r="AC112" s="658">
        <v>51956</v>
      </c>
      <c r="AD112" s="658">
        <f>+AB112-AC112</f>
        <v>-6.7999999999956344</v>
      </c>
      <c r="AF112" s="255">
        <f>K112+V112</f>
        <v>4016332</v>
      </c>
      <c r="AG112" s="255">
        <f>+(AF112/100000)</f>
        <v>40.163319999999999</v>
      </c>
      <c r="AH112" s="256">
        <v>40.159999999999997</v>
      </c>
      <c r="AI112" s="261">
        <f>+AG112-AH112</f>
        <v>3.3200000000022101E-3</v>
      </c>
      <c r="AK112" s="255">
        <f>3709647+306687</f>
        <v>4016334</v>
      </c>
      <c r="AL112" s="255">
        <f t="shared" si="37"/>
        <v>40.163339999999998</v>
      </c>
      <c r="AM112" s="255">
        <f>+K112+V112</f>
        <v>4016332</v>
      </c>
      <c r="AN112" s="255">
        <f t="shared" si="41"/>
        <v>40.163319999999999</v>
      </c>
      <c r="AO112" s="255">
        <f>+AL112-AN112</f>
        <v>1.9999999999242846E-5</v>
      </c>
    </row>
    <row r="113" spans="1:41" ht="15" thickBot="1" x14ac:dyDescent="0.4">
      <c r="A113" s="33" t="s">
        <v>53</v>
      </c>
      <c r="B113" s="258" t="s">
        <v>230</v>
      </c>
      <c r="C113" s="293" t="s">
        <v>540</v>
      </c>
      <c r="D113" s="250">
        <v>793046</v>
      </c>
      <c r="E113" s="251">
        <v>485084</v>
      </c>
      <c r="F113" s="251">
        <v>0</v>
      </c>
      <c r="G113" s="251">
        <v>13083</v>
      </c>
      <c r="H113" s="251">
        <v>0</v>
      </c>
      <c r="I113" s="252">
        <v>0</v>
      </c>
      <c r="J113" s="657">
        <v>473</v>
      </c>
      <c r="K113" s="253">
        <f>SUM(D113:J113)</f>
        <v>1291686</v>
      </c>
      <c r="M113" s="250">
        <f>V113*30%</f>
        <v>31422.899999999998</v>
      </c>
      <c r="N113" s="307">
        <f>K113+M113</f>
        <v>1323108.8999999999</v>
      </c>
      <c r="P113" s="250">
        <f>V113-M113</f>
        <v>73320.100000000006</v>
      </c>
      <c r="Q113" s="307">
        <f>N113+P113</f>
        <v>1396429</v>
      </c>
      <c r="R113"/>
      <c r="S113" s="250">
        <v>104743</v>
      </c>
      <c r="T113" s="250">
        <v>0</v>
      </c>
      <c r="U113" s="252"/>
      <c r="V113" s="254">
        <f>SUM(S113:U113)</f>
        <v>104743</v>
      </c>
      <c r="X113" s="658">
        <f>+((D113+E113+S113)*2.5%)+(H113*14%)+(I113*14%)</f>
        <v>34571.825000000004</v>
      </c>
      <c r="Y113" s="658">
        <v>34573</v>
      </c>
      <c r="Z113" s="658">
        <f t="shared" si="53"/>
        <v>-1.1749999999956344</v>
      </c>
      <c r="AA113" s="239"/>
      <c r="AB113" s="660">
        <f>+(F113+T113)*10%</f>
        <v>0</v>
      </c>
      <c r="AC113" s="660"/>
      <c r="AD113" s="660">
        <f>+AB113-AC113</f>
        <v>0</v>
      </c>
      <c r="AF113" s="255">
        <f>K113+V113</f>
        <v>1396429</v>
      </c>
      <c r="AG113" s="255">
        <f>+(AF113/100000)</f>
        <v>13.96429</v>
      </c>
      <c r="AH113" s="256">
        <v>13.97</v>
      </c>
      <c r="AI113" s="261">
        <f>+AG113-AH113</f>
        <v>-5.710000000000548E-3</v>
      </c>
      <c r="AK113" s="255">
        <f>1291647+104783</f>
        <v>1396430</v>
      </c>
      <c r="AL113" s="255">
        <f t="shared" si="37"/>
        <v>13.9643</v>
      </c>
      <c r="AM113" s="255">
        <f>+K113+V113</f>
        <v>1396429</v>
      </c>
      <c r="AN113" s="255">
        <f t="shared" si="41"/>
        <v>13.96429</v>
      </c>
      <c r="AO113" s="255">
        <f>+AL113-AN113</f>
        <v>9.9999999996214228E-6</v>
      </c>
    </row>
    <row r="114" spans="1:41" ht="15" thickBot="1" x14ac:dyDescent="0.4">
      <c r="A114" s="33"/>
      <c r="B114" s="298"/>
      <c r="C114" s="298"/>
      <c r="D114" s="299">
        <f>SUM(D109:D113)</f>
        <v>8597359</v>
      </c>
      <c r="E114" s="299">
        <f t="shared" ref="E114:K114" si="61">SUM(E109:E113)</f>
        <v>1860971</v>
      </c>
      <c r="F114" s="299">
        <f t="shared" si="61"/>
        <v>1295392</v>
      </c>
      <c r="G114" s="299">
        <f t="shared" si="61"/>
        <v>164615</v>
      </c>
      <c r="H114" s="299">
        <f t="shared" si="61"/>
        <v>0</v>
      </c>
      <c r="I114" s="299">
        <f t="shared" si="61"/>
        <v>0</v>
      </c>
      <c r="J114" s="299">
        <f t="shared" si="61"/>
        <v>1129</v>
      </c>
      <c r="K114" s="299">
        <f t="shared" si="61"/>
        <v>11919466</v>
      </c>
      <c r="M114" s="299">
        <f>SUM(M109:M113)</f>
        <v>303613.8</v>
      </c>
      <c r="N114" s="299">
        <f>SUM(N109:N113)</f>
        <v>12223079.800000001</v>
      </c>
      <c r="O114"/>
      <c r="P114" s="299">
        <f>SUM(P109:P113)</f>
        <v>708432.2</v>
      </c>
      <c r="Q114" s="299">
        <f>SUM(Q109:Q113)</f>
        <v>12931512</v>
      </c>
      <c r="R114"/>
      <c r="S114" s="299">
        <f t="shared" ref="S114:Z114" si="62">SUM(S109:S113)</f>
        <v>901307</v>
      </c>
      <c r="T114" s="299">
        <f t="shared" si="62"/>
        <v>110739</v>
      </c>
      <c r="U114" s="299">
        <f t="shared" si="62"/>
        <v>0</v>
      </c>
      <c r="V114" s="299">
        <f t="shared" si="62"/>
        <v>1012046</v>
      </c>
      <c r="X114" s="661">
        <f t="shared" si="62"/>
        <v>283990.92500000005</v>
      </c>
      <c r="Y114" s="661">
        <f t="shared" si="62"/>
        <v>284008</v>
      </c>
      <c r="Z114" s="661">
        <f t="shared" si="62"/>
        <v>-17.074999999982538</v>
      </c>
      <c r="AA114" s="662"/>
      <c r="AB114" s="661">
        <f>SUM(AB109:AB113)</f>
        <v>140613.1</v>
      </c>
      <c r="AC114" s="661">
        <f>SUM(AC109:AC113)</f>
        <v>140648</v>
      </c>
      <c r="AD114" s="661">
        <f>SUM(AD109:AD113)</f>
        <v>-34.899999999985994</v>
      </c>
      <c r="AF114" s="299">
        <f>SUM(AF109:AF113)</f>
        <v>12931512</v>
      </c>
      <c r="AG114" s="299">
        <f>SUM(AG109:AG113)</f>
        <v>129.31512000000001</v>
      </c>
      <c r="AH114" s="299">
        <f>SUM(AH109:AH113)</f>
        <v>129.29</v>
      </c>
      <c r="AI114" s="299">
        <f>SUM(AI109:AI113)</f>
        <v>2.5120000000001141E-2</v>
      </c>
      <c r="AK114" s="299">
        <f>SUM(AK109:AK113)</f>
        <v>12931147</v>
      </c>
      <c r="AL114" s="299">
        <f>SUM(AL109:AL113)</f>
        <v>129.31147000000001</v>
      </c>
      <c r="AM114" s="299">
        <f>SUM(AM109:AM113)</f>
        <v>12931512</v>
      </c>
      <c r="AN114" s="299">
        <f>SUM(AN109:AN113)</f>
        <v>129.31512000000001</v>
      </c>
      <c r="AO114" s="299">
        <f>SUM(AO109:AO113)</f>
        <v>-3.6499999999977106E-3</v>
      </c>
    </row>
    <row r="115" spans="1:41" ht="15" thickBot="1" x14ac:dyDescent="0.4">
      <c r="A115" s="33"/>
      <c r="B115" s="300"/>
      <c r="C115" s="301" t="s">
        <v>378</v>
      </c>
      <c r="D115" s="302">
        <f>D72+D82+D86+D91+D95+D100+D108+D114</f>
        <v>64269912</v>
      </c>
      <c r="E115" s="302">
        <f t="shared" ref="E115:K115" si="63">E72+E82+E86+E91+E95+E100+E108+E114</f>
        <v>11442155</v>
      </c>
      <c r="F115" s="302">
        <f t="shared" si="63"/>
        <v>15495273</v>
      </c>
      <c r="G115" s="302">
        <f t="shared" si="63"/>
        <v>3271229</v>
      </c>
      <c r="H115" s="302">
        <f t="shared" si="63"/>
        <v>27592</v>
      </c>
      <c r="I115" s="302">
        <f t="shared" si="63"/>
        <v>3460</v>
      </c>
      <c r="J115" s="302">
        <f t="shared" si="63"/>
        <v>124782</v>
      </c>
      <c r="K115" s="302">
        <f t="shared" si="63"/>
        <v>94634403</v>
      </c>
      <c r="M115" s="302">
        <f>M72+M82+M86+M91+M95+M100+M108+M114</f>
        <v>2277933.9</v>
      </c>
      <c r="N115" s="302">
        <f>N72+N82+N86+N91+N95+N100+N108+N114</f>
        <v>96912336.899999991</v>
      </c>
      <c r="P115" s="302">
        <f>P72+P82+P86+P91+P95+P100+P108+P114</f>
        <v>5315179.1000000006</v>
      </c>
      <c r="Q115" s="302">
        <f>Q72+Q82+Q86+Q91+Q95+Q100+Q108+Q114</f>
        <v>102227516</v>
      </c>
      <c r="S115" s="302">
        <f>S72+S82+S86+S91+S95+S100+S108+S114</f>
        <v>6290992</v>
      </c>
      <c r="T115" s="302">
        <f t="shared" ref="T115:Z115" si="64">T72+T82+T86+T91+T95+T100+T108+T114</f>
        <v>1302121</v>
      </c>
      <c r="U115" s="302">
        <f t="shared" si="64"/>
        <v>0</v>
      </c>
      <c r="V115" s="302">
        <f t="shared" si="64"/>
        <v>7593113</v>
      </c>
      <c r="X115" s="670">
        <f t="shared" si="64"/>
        <v>2075018.0449999999</v>
      </c>
      <c r="Y115" s="670">
        <f t="shared" si="64"/>
        <v>2075318</v>
      </c>
      <c r="Z115" s="670">
        <f t="shared" si="64"/>
        <v>-299.95499999988897</v>
      </c>
      <c r="AA115" s="671"/>
      <c r="AB115" s="670">
        <f>AB72+AB82+AB86+AB91+AB95+AB100+AB108+AB114</f>
        <v>757437.70000000007</v>
      </c>
      <c r="AC115" s="670">
        <f>AC72+AC82+AC86+AC91+AC95+AC100+AC108+AC114</f>
        <v>757591</v>
      </c>
      <c r="AD115" s="670">
        <f>AD72+AD82+AD86+AD91+AD95+AD100+AD108+AD114</f>
        <v>-153.29999999994811</v>
      </c>
      <c r="AF115" s="302">
        <f>AF72+AF82+AF86+AF91+AF95+AF100+AF108+AF114</f>
        <v>102227516</v>
      </c>
      <c r="AG115" s="302">
        <f>AG72+AG82+AG86+AG91+AG95+AG100+AG108+AG114</f>
        <v>1022.2751599999999</v>
      </c>
      <c r="AH115" s="302">
        <f>AH72+AH82+AH86+AH91+AH95+AH100+AH108+AH114</f>
        <v>1022.13</v>
      </c>
      <c r="AI115" s="302">
        <f>AI72+AI82+AI86+AI91+AI95+AI100+AI108+AI114</f>
        <v>0.14515999999999574</v>
      </c>
      <c r="AK115" s="302">
        <f>AK72+AK82+AK86+AK91+AK95+AK100+AK108+AK114</f>
        <v>102226163</v>
      </c>
      <c r="AL115" s="302">
        <f>AL72+AL82+AL86+AL91+AL95+AL100+AL108+AL114</f>
        <v>1022.2616300000001</v>
      </c>
      <c r="AM115" s="302">
        <f>AM72+AM82+AM86+AM91+AM95+AM100+AM108+AM114</f>
        <v>102227516</v>
      </c>
      <c r="AN115" s="302">
        <f>AN72+AN82+AN86+AN91+AN95+AN100+AN108+AN114</f>
        <v>1022.2751599999999</v>
      </c>
      <c r="AO115" s="302">
        <f>AO72+AO82+AO86+AO91+AO95+AO100+AO108+AO114</f>
        <v>-1.3530000000002484E-2</v>
      </c>
    </row>
    <row r="117" spans="1:41" x14ac:dyDescent="0.35">
      <c r="D117" s="239">
        <v>64270930.829999998</v>
      </c>
      <c r="E117" s="239">
        <v>11442175.15</v>
      </c>
      <c r="F117" s="239">
        <v>15495287.720000001</v>
      </c>
      <c r="G117" s="239">
        <v>3270841.28</v>
      </c>
      <c r="H117" s="239">
        <v>27593.759999999998</v>
      </c>
      <c r="I117" s="239">
        <v>3460</v>
      </c>
      <c r="J117" s="239">
        <v>124593.27</v>
      </c>
      <c r="K117" s="239">
        <f>SUM(D117:J117)</f>
        <v>94634882.010000005</v>
      </c>
      <c r="M117" s="239">
        <v>2277957.77</v>
      </c>
    </row>
    <row r="118" spans="1:41" x14ac:dyDescent="0.35">
      <c r="D118" s="239">
        <f>D115-D117</f>
        <v>-1018.8299999982119</v>
      </c>
      <c r="E118" s="239">
        <f t="shared" ref="E118:J118" si="65">E115-E117</f>
        <v>-20.150000000372529</v>
      </c>
      <c r="F118" s="239">
        <f t="shared" si="65"/>
        <v>-14.720000000670552</v>
      </c>
      <c r="G118" s="239">
        <f t="shared" si="65"/>
        <v>387.72000000020489</v>
      </c>
      <c r="H118" s="239">
        <f t="shared" si="65"/>
        <v>-1.7599999999983993</v>
      </c>
      <c r="I118" s="239">
        <f t="shared" si="65"/>
        <v>0</v>
      </c>
      <c r="J118" s="239">
        <f t="shared" si="65"/>
        <v>188.72999999999593</v>
      </c>
      <c r="M118" s="239">
        <f>M115-M117</f>
        <v>-23.870000000111759</v>
      </c>
      <c r="N118" s="239">
        <v>96914450.200000003</v>
      </c>
      <c r="P118" s="239" t="s">
        <v>554</v>
      </c>
      <c r="Q118" s="239">
        <f>N118+P115</f>
        <v>102229629.3</v>
      </c>
    </row>
    <row r="119" spans="1:41" x14ac:dyDescent="0.35">
      <c r="N119" s="239">
        <f>N115-N118</f>
        <v>-2113.3000000119209</v>
      </c>
      <c r="P119" s="239" t="s">
        <v>558</v>
      </c>
      <c r="Q119" s="239">
        <f>Q115-Q118</f>
        <v>-2113.2999999970198</v>
      </c>
    </row>
    <row r="120" spans="1:41" x14ac:dyDescent="0.35">
      <c r="N120" s="239">
        <v>1610.42</v>
      </c>
      <c r="P120" s="239" t="s">
        <v>1105</v>
      </c>
      <c r="Q120" s="239">
        <f>N120</f>
        <v>1610.42</v>
      </c>
    </row>
    <row r="121" spans="1:41" x14ac:dyDescent="0.35">
      <c r="N121" s="239">
        <f>N119+N120</f>
        <v>-502.88000001192086</v>
      </c>
      <c r="P121" s="239" t="s">
        <v>1106</v>
      </c>
      <c r="Q121" s="239">
        <f>Q119+Q120</f>
        <v>-502.8799999970197</v>
      </c>
    </row>
  </sheetData>
  <mergeCells count="23">
    <mergeCell ref="S66:U66"/>
    <mergeCell ref="V66:V67"/>
    <mergeCell ref="A66:A67"/>
    <mergeCell ref="B66:B67"/>
    <mergeCell ref="C66:C67"/>
    <mergeCell ref="D66:J66"/>
    <mergeCell ref="K66:K67"/>
    <mergeCell ref="AD4:AD5"/>
    <mergeCell ref="AE4:AE5"/>
    <mergeCell ref="AF4:AF5"/>
    <mergeCell ref="AG4:AG5"/>
    <mergeCell ref="V4:V5"/>
    <mergeCell ref="X4:X5"/>
    <mergeCell ref="Y4:Y5"/>
    <mergeCell ref="Z4:Z5"/>
    <mergeCell ref="AA4:AA5"/>
    <mergeCell ref="AC4:AC5"/>
    <mergeCell ref="S4:U4"/>
    <mergeCell ref="A4:A5"/>
    <mergeCell ref="B4:B5"/>
    <mergeCell ref="C4:C5"/>
    <mergeCell ref="D4:J4"/>
    <mergeCell ref="K4:K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G57"/>
  <sheetViews>
    <sheetView workbookViewId="0">
      <pane xSplit="1" ySplit="11" topLeftCell="B52" activePane="bottomRight" state="frozen"/>
      <selection pane="topRight" activeCell="B1" sqref="B1"/>
      <selection pane="bottomLeft" activeCell="A8" sqref="A8"/>
      <selection pane="bottomRight" activeCell="K55" sqref="K55:K56"/>
    </sheetView>
  </sheetViews>
  <sheetFormatPr defaultRowHeight="14.5" x14ac:dyDescent="0.35"/>
  <cols>
    <col min="1" max="1" width="14.81640625" customWidth="1"/>
    <col min="2" max="2" width="13.6328125" customWidth="1"/>
    <col min="3" max="4" width="12.453125" bestFit="1" customWidth="1"/>
    <col min="5" max="5" width="9.1796875" hidden="1" customWidth="1"/>
    <col min="6" max="6" width="12.453125" bestFit="1" customWidth="1"/>
    <col min="7" max="7" width="12.36328125" bestFit="1" customWidth="1"/>
    <col min="8" max="8" width="9.6328125" customWidth="1"/>
    <col min="9" max="9" width="10" bestFit="1" customWidth="1"/>
    <col min="10" max="10" width="9.36328125" hidden="1" customWidth="1"/>
    <col min="11" max="11" width="10.54296875" customWidth="1"/>
    <col min="12" max="12" width="9.7265625" customWidth="1"/>
    <col min="13" max="13" width="9.81640625" hidden="1" customWidth="1"/>
    <col min="14" max="14" width="7.36328125" hidden="1" customWidth="1"/>
    <col min="15" max="15" width="10" bestFit="1" customWidth="1"/>
    <col min="16" max="16" width="9.6328125" bestFit="1" customWidth="1"/>
    <col min="17" max="17" width="7.7265625" customWidth="1"/>
    <col min="18" max="18" width="10" bestFit="1" customWidth="1"/>
    <col min="19" max="19" width="8.90625" hidden="1" customWidth="1"/>
    <col min="20" max="24" width="10" bestFit="1" customWidth="1"/>
    <col min="25" max="25" width="7.90625" hidden="1" customWidth="1"/>
    <col min="26" max="27" width="10" bestFit="1" customWidth="1"/>
    <col min="28" max="28" width="9" bestFit="1" customWidth="1"/>
    <col min="29" max="31" width="10" bestFit="1" customWidth="1"/>
    <col min="32" max="33" width="11.6328125" bestFit="1" customWidth="1"/>
    <col min="34" max="36" width="8.90625" hidden="1" customWidth="1"/>
    <col min="37" max="37" width="9.81640625" bestFit="1" customWidth="1"/>
    <col min="38" max="38" width="11.6328125" bestFit="1" customWidth="1"/>
    <col min="39" max="39" width="9.81640625" bestFit="1" customWidth="1"/>
    <col min="40" max="40" width="8.90625" customWidth="1"/>
    <col min="41" max="41" width="9.7265625" customWidth="1"/>
    <col min="42" max="42" width="12.54296875" bestFit="1" customWidth="1"/>
    <col min="43" max="43" width="12.36328125" bestFit="1" customWidth="1"/>
    <col min="44" max="44" width="8.90625" hidden="1" customWidth="1"/>
    <col min="45" max="47" width="12.36328125" bestFit="1" customWidth="1"/>
    <col min="48" max="49" width="9.81640625" hidden="1" customWidth="1"/>
    <col min="50" max="52" width="12.36328125" bestFit="1" customWidth="1"/>
    <col min="53" max="53" width="11.36328125" bestFit="1" customWidth="1"/>
    <col min="54" max="54" width="11.26953125" bestFit="1" customWidth="1"/>
    <col min="55" max="55" width="14.90625" bestFit="1" customWidth="1"/>
    <col min="56" max="56" width="11.08984375" bestFit="1" customWidth="1"/>
    <col min="57" max="57" width="10.26953125" bestFit="1" customWidth="1"/>
  </cols>
  <sheetData>
    <row r="2" spans="1:55" ht="29" hidden="1" x14ac:dyDescent="0.35">
      <c r="C2" s="155" t="s">
        <v>4</v>
      </c>
      <c r="D2" s="155" t="s">
        <v>5</v>
      </c>
      <c r="E2" s="155" t="s">
        <v>6</v>
      </c>
      <c r="F2" s="155" t="s">
        <v>7</v>
      </c>
      <c r="G2" s="155" t="s">
        <v>8</v>
      </c>
      <c r="H2" s="155" t="s">
        <v>9</v>
      </c>
      <c r="I2" s="155" t="s">
        <v>10</v>
      </c>
      <c r="J2" s="155" t="s">
        <v>11</v>
      </c>
      <c r="K2" s="155" t="s">
        <v>12</v>
      </c>
      <c r="L2" s="155" t="s">
        <v>13</v>
      </c>
      <c r="M2" s="155" t="s">
        <v>15</v>
      </c>
      <c r="N2" s="155" t="s">
        <v>16</v>
      </c>
      <c r="O2" s="155" t="s">
        <v>17</v>
      </c>
      <c r="P2" s="155" t="s">
        <v>18</v>
      </c>
      <c r="Q2" s="155" t="s">
        <v>19</v>
      </c>
      <c r="R2" s="155" t="s">
        <v>20</v>
      </c>
      <c r="S2" s="155" t="s">
        <v>21</v>
      </c>
      <c r="T2" s="155" t="s">
        <v>22</v>
      </c>
      <c r="U2" s="155" t="s">
        <v>23</v>
      </c>
      <c r="V2" s="155" t="s">
        <v>24</v>
      </c>
      <c r="W2" s="155" t="s">
        <v>25</v>
      </c>
      <c r="X2" s="155" t="s">
        <v>26</v>
      </c>
      <c r="Y2" s="155" t="s">
        <v>27</v>
      </c>
      <c r="Z2" s="155" t="s">
        <v>28</v>
      </c>
      <c r="AA2" s="155" t="s">
        <v>29</v>
      </c>
      <c r="AB2" s="155" t="s">
        <v>30</v>
      </c>
      <c r="AC2" s="155" t="s">
        <v>31</v>
      </c>
      <c r="AD2" s="155" t="s">
        <v>32</v>
      </c>
      <c r="AE2" s="155" t="s">
        <v>33</v>
      </c>
      <c r="AF2" s="155" t="s">
        <v>34</v>
      </c>
      <c r="AG2" s="155" t="s">
        <v>35</v>
      </c>
      <c r="AH2" s="155" t="s">
        <v>36</v>
      </c>
      <c r="AI2" s="155" t="s">
        <v>37</v>
      </c>
      <c r="AJ2" s="155" t="s">
        <v>38</v>
      </c>
      <c r="AK2" s="155" t="s">
        <v>39</v>
      </c>
      <c r="AL2" s="155" t="s">
        <v>40</v>
      </c>
      <c r="AM2" s="155" t="s">
        <v>41</v>
      </c>
      <c r="AN2" s="155" t="s">
        <v>42</v>
      </c>
      <c r="AO2" s="155" t="s">
        <v>43</v>
      </c>
      <c r="AP2" s="155" t="s">
        <v>44</v>
      </c>
      <c r="AQ2" s="155" t="s">
        <v>45</v>
      </c>
      <c r="AR2" s="155" t="s">
        <v>46</v>
      </c>
      <c r="AS2" s="155" t="s">
        <v>47</v>
      </c>
      <c r="AT2" s="155" t="s">
        <v>48</v>
      </c>
      <c r="AU2" s="155" t="s">
        <v>51</v>
      </c>
      <c r="AV2" s="155" t="s">
        <v>49</v>
      </c>
      <c r="AW2" s="155" t="s">
        <v>50</v>
      </c>
      <c r="AX2" s="155" t="s">
        <v>52</v>
      </c>
      <c r="AY2" s="155" t="s">
        <v>53</v>
      </c>
      <c r="AZ2" s="155" t="s">
        <v>54</v>
      </c>
      <c r="BA2" s="155" t="s">
        <v>55</v>
      </c>
      <c r="BB2" s="155" t="s">
        <v>14</v>
      </c>
    </row>
    <row r="3" spans="1:55" ht="29" hidden="1" x14ac:dyDescent="0.35">
      <c r="C3" s="155" t="s">
        <v>208</v>
      </c>
      <c r="D3" s="155" t="s">
        <v>208</v>
      </c>
      <c r="E3" s="155" t="s">
        <v>208</v>
      </c>
      <c r="F3" s="155" t="s">
        <v>208</v>
      </c>
      <c r="G3" s="155" t="s">
        <v>208</v>
      </c>
      <c r="H3" s="155" t="s">
        <v>209</v>
      </c>
      <c r="I3" s="155" t="s">
        <v>209</v>
      </c>
      <c r="J3" s="155" t="s">
        <v>209</v>
      </c>
      <c r="K3" s="155" t="s">
        <v>209</v>
      </c>
      <c r="L3" s="155" t="s">
        <v>209</v>
      </c>
      <c r="M3" s="155" t="s">
        <v>229</v>
      </c>
      <c r="N3" s="155" t="s">
        <v>229</v>
      </c>
      <c r="O3" s="155" t="s">
        <v>229</v>
      </c>
      <c r="P3" s="155" t="s">
        <v>229</v>
      </c>
      <c r="Q3" s="155" t="s">
        <v>229</v>
      </c>
      <c r="R3" s="155" t="s">
        <v>229</v>
      </c>
      <c r="S3" s="155" t="s">
        <v>212</v>
      </c>
      <c r="T3" s="155" t="s">
        <v>212</v>
      </c>
      <c r="U3" s="155" t="s">
        <v>212</v>
      </c>
      <c r="V3" s="155" t="s">
        <v>212</v>
      </c>
      <c r="W3" s="155" t="s">
        <v>229</v>
      </c>
      <c r="X3" s="155" t="s">
        <v>229</v>
      </c>
      <c r="Y3" s="155" t="s">
        <v>229</v>
      </c>
      <c r="Z3" s="155" t="s">
        <v>229</v>
      </c>
      <c r="AA3" s="155" t="s">
        <v>229</v>
      </c>
      <c r="AB3" s="155" t="s">
        <v>229</v>
      </c>
      <c r="AC3" s="155" t="s">
        <v>229</v>
      </c>
      <c r="AD3" s="155" t="s">
        <v>229</v>
      </c>
      <c r="AE3" s="155" t="s">
        <v>229</v>
      </c>
      <c r="AF3" s="155" t="s">
        <v>209</v>
      </c>
      <c r="AG3" s="155" t="s">
        <v>209</v>
      </c>
      <c r="AH3" s="155" t="s">
        <v>209</v>
      </c>
      <c r="AI3" s="155" t="s">
        <v>209</v>
      </c>
      <c r="AJ3" s="155" t="s">
        <v>209</v>
      </c>
      <c r="AK3" s="155" t="s">
        <v>209</v>
      </c>
      <c r="AL3" s="155" t="s">
        <v>209</v>
      </c>
      <c r="AM3" s="155" t="s">
        <v>209</v>
      </c>
      <c r="AN3" s="155" t="s">
        <v>209</v>
      </c>
      <c r="AO3" s="155" t="s">
        <v>209</v>
      </c>
      <c r="AP3" s="155" t="s">
        <v>234</v>
      </c>
      <c r="AQ3" s="155" t="s">
        <v>234</v>
      </c>
      <c r="AR3" s="155" t="s">
        <v>234</v>
      </c>
      <c r="AS3" s="155" t="s">
        <v>234</v>
      </c>
      <c r="AT3" s="155" t="s">
        <v>234</v>
      </c>
      <c r="AU3" s="155" t="s">
        <v>234</v>
      </c>
      <c r="AV3" s="155" t="s">
        <v>234</v>
      </c>
      <c r="AW3" s="155" t="s">
        <v>234</v>
      </c>
      <c r="AX3" s="155" t="s">
        <v>234</v>
      </c>
      <c r="AY3" s="155" t="s">
        <v>234</v>
      </c>
      <c r="AZ3" s="155" t="s">
        <v>234</v>
      </c>
      <c r="BA3" s="155" t="s">
        <v>234</v>
      </c>
      <c r="BB3" s="155" t="s">
        <v>229</v>
      </c>
    </row>
    <row r="4" spans="1:55" ht="43.5" hidden="1" x14ac:dyDescent="0.35">
      <c r="C4" s="155" t="s">
        <v>214</v>
      </c>
      <c r="D4" s="155" t="s">
        <v>214</v>
      </c>
      <c r="E4" s="155" t="s">
        <v>214</v>
      </c>
      <c r="F4" s="155" t="s">
        <v>214</v>
      </c>
      <c r="G4" s="155" t="s">
        <v>214</v>
      </c>
      <c r="H4" s="155" t="s">
        <v>215</v>
      </c>
      <c r="I4" s="155" t="s">
        <v>215</v>
      </c>
      <c r="J4" s="155" t="s">
        <v>215</v>
      </c>
      <c r="K4" s="155" t="s">
        <v>215</v>
      </c>
      <c r="L4" s="155" t="s">
        <v>215</v>
      </c>
      <c r="M4" s="155" t="s">
        <v>226</v>
      </c>
      <c r="N4" s="155" t="s">
        <v>226</v>
      </c>
      <c r="O4" s="155" t="s">
        <v>226</v>
      </c>
      <c r="P4" s="155" t="s">
        <v>226</v>
      </c>
      <c r="Q4" s="155" t="s">
        <v>226</v>
      </c>
      <c r="R4" s="155" t="s">
        <v>226</v>
      </c>
      <c r="S4" s="155" t="s">
        <v>228</v>
      </c>
      <c r="T4" s="155" t="s">
        <v>228</v>
      </c>
      <c r="U4" s="155" t="s">
        <v>228</v>
      </c>
      <c r="V4" s="155" t="s">
        <v>228</v>
      </c>
      <c r="W4" s="155" t="s">
        <v>213</v>
      </c>
      <c r="X4" s="155" t="s">
        <v>213</v>
      </c>
      <c r="Y4" s="155" t="s">
        <v>213</v>
      </c>
      <c r="Z4" s="155" t="s">
        <v>213</v>
      </c>
      <c r="AA4" s="155" t="s">
        <v>213</v>
      </c>
      <c r="AB4" s="155" t="s">
        <v>213</v>
      </c>
      <c r="AC4" s="155" t="s">
        <v>213</v>
      </c>
      <c r="AD4" s="155" t="s">
        <v>213</v>
      </c>
      <c r="AE4" s="155" t="s">
        <v>213</v>
      </c>
      <c r="AF4" s="155" t="s">
        <v>233</v>
      </c>
      <c r="AG4" s="155" t="s">
        <v>233</v>
      </c>
      <c r="AH4" s="155" t="s">
        <v>233</v>
      </c>
      <c r="AI4" s="155" t="s">
        <v>233</v>
      </c>
      <c r="AJ4" s="155" t="s">
        <v>233</v>
      </c>
      <c r="AK4" s="155" t="s">
        <v>233</v>
      </c>
      <c r="AL4" s="155" t="s">
        <v>233</v>
      </c>
      <c r="AM4" s="155" t="s">
        <v>233</v>
      </c>
      <c r="AN4" s="155" t="s">
        <v>233</v>
      </c>
      <c r="AO4" s="155" t="s">
        <v>233</v>
      </c>
      <c r="AP4" s="155" t="s">
        <v>318</v>
      </c>
      <c r="AQ4" s="155" t="s">
        <v>318</v>
      </c>
      <c r="AR4" s="155" t="s">
        <v>318</v>
      </c>
      <c r="AS4" s="155" t="s">
        <v>318</v>
      </c>
      <c r="AT4" s="155" t="s">
        <v>318</v>
      </c>
      <c r="AU4" s="155" t="s">
        <v>318</v>
      </c>
      <c r="AV4" s="155" t="s">
        <v>235</v>
      </c>
      <c r="AW4" s="155" t="s">
        <v>318</v>
      </c>
      <c r="AX4" s="155" t="s">
        <v>235</v>
      </c>
      <c r="AY4" s="155" t="s">
        <v>235</v>
      </c>
      <c r="AZ4" s="155" t="s">
        <v>235</v>
      </c>
      <c r="BA4" s="155" t="s">
        <v>235</v>
      </c>
      <c r="BB4" s="155" t="s">
        <v>210</v>
      </c>
    </row>
    <row r="5" spans="1:55" ht="43.5" hidden="1" x14ac:dyDescent="0.35">
      <c r="C5" s="155" t="s">
        <v>216</v>
      </c>
      <c r="D5" s="155" t="s">
        <v>217</v>
      </c>
      <c r="E5" s="155" t="s">
        <v>218</v>
      </c>
      <c r="F5" s="155" t="s">
        <v>219</v>
      </c>
      <c r="G5" s="155" t="s">
        <v>220</v>
      </c>
      <c r="H5" s="155" t="s">
        <v>216</v>
      </c>
      <c r="I5" s="155" t="s">
        <v>217</v>
      </c>
      <c r="J5" s="155" t="s">
        <v>218</v>
      </c>
      <c r="K5" s="155" t="s">
        <v>221</v>
      </c>
      <c r="L5" s="155" t="s">
        <v>219</v>
      </c>
      <c r="M5" s="155" t="s">
        <v>223</v>
      </c>
      <c r="N5" s="155" t="s">
        <v>218</v>
      </c>
      <c r="O5" s="155" t="s">
        <v>224</v>
      </c>
      <c r="P5" s="155" t="s">
        <v>221</v>
      </c>
      <c r="Q5" s="155" t="s">
        <v>227</v>
      </c>
      <c r="R5" s="155" t="s">
        <v>219</v>
      </c>
      <c r="S5" s="155" t="s">
        <v>218</v>
      </c>
      <c r="T5" s="155" t="s">
        <v>221</v>
      </c>
      <c r="U5" s="155" t="s">
        <v>225</v>
      </c>
      <c r="V5" s="155" t="s">
        <v>219</v>
      </c>
      <c r="W5" s="155" t="s">
        <v>216</v>
      </c>
      <c r="X5" s="155" t="s">
        <v>217</v>
      </c>
      <c r="Y5" s="155" t="s">
        <v>218</v>
      </c>
      <c r="Z5" s="155" t="s">
        <v>221</v>
      </c>
      <c r="AA5" s="155" t="s">
        <v>225</v>
      </c>
      <c r="AB5" s="155" t="s">
        <v>230</v>
      </c>
      <c r="AC5" s="155" t="s">
        <v>231</v>
      </c>
      <c r="AD5" s="155" t="s">
        <v>232</v>
      </c>
      <c r="AE5" s="155" t="s">
        <v>220</v>
      </c>
      <c r="AF5" s="155" t="s">
        <v>216</v>
      </c>
      <c r="AG5" s="155" t="s">
        <v>217</v>
      </c>
      <c r="AH5" s="155" t="s">
        <v>218</v>
      </c>
      <c r="AI5" s="155" t="s">
        <v>218</v>
      </c>
      <c r="AJ5" s="155" t="s">
        <v>218</v>
      </c>
      <c r="AK5" s="155" t="s">
        <v>221</v>
      </c>
      <c r="AL5" s="155" t="s">
        <v>225</v>
      </c>
      <c r="AM5" s="155" t="s">
        <v>325</v>
      </c>
      <c r="AN5" s="155" t="s">
        <v>230</v>
      </c>
      <c r="AO5" s="155" t="s">
        <v>219</v>
      </c>
      <c r="AP5" s="155" t="s">
        <v>216</v>
      </c>
      <c r="AQ5" s="155" t="s">
        <v>217</v>
      </c>
      <c r="AR5" s="155" t="s">
        <v>218</v>
      </c>
      <c r="AS5" s="155" t="s">
        <v>221</v>
      </c>
      <c r="AT5" s="155" t="s">
        <v>219</v>
      </c>
      <c r="AU5" s="155" t="s">
        <v>218</v>
      </c>
      <c r="AV5" s="155" t="s">
        <v>216</v>
      </c>
      <c r="AW5" s="155" t="s">
        <v>218</v>
      </c>
      <c r="AX5" s="155" t="s">
        <v>225</v>
      </c>
      <c r="AY5" s="155" t="s">
        <v>230</v>
      </c>
      <c r="AZ5" s="155" t="s">
        <v>219</v>
      </c>
      <c r="BA5" s="155" t="s">
        <v>220</v>
      </c>
      <c r="BB5" s="155" t="s">
        <v>222</v>
      </c>
    </row>
    <row r="6" spans="1:55" ht="15" thickBot="1" x14ac:dyDescent="0.4"/>
    <row r="7" spans="1:55" ht="15" thickBot="1" x14ac:dyDescent="0.4">
      <c r="A7" s="89"/>
      <c r="B7" s="90"/>
      <c r="C7" s="91" t="s">
        <v>4</v>
      </c>
      <c r="D7" s="91" t="s">
        <v>5</v>
      </c>
      <c r="E7" s="95" t="s">
        <v>6</v>
      </c>
      <c r="F7" s="91" t="s">
        <v>7</v>
      </c>
      <c r="G7" s="95" t="s">
        <v>8</v>
      </c>
      <c r="H7" s="91" t="s">
        <v>9</v>
      </c>
      <c r="I7" s="95" t="s">
        <v>10</v>
      </c>
      <c r="J7" s="91" t="s">
        <v>11</v>
      </c>
      <c r="K7" s="95" t="s">
        <v>12</v>
      </c>
      <c r="L7" s="91" t="s">
        <v>13</v>
      </c>
      <c r="M7" s="91" t="s">
        <v>15</v>
      </c>
      <c r="N7" s="92" t="s">
        <v>16</v>
      </c>
      <c r="O7" s="93" t="s">
        <v>17</v>
      </c>
      <c r="P7" s="93" t="s">
        <v>18</v>
      </c>
      <c r="Q7" s="93" t="s">
        <v>19</v>
      </c>
      <c r="R7" s="94" t="s">
        <v>20</v>
      </c>
      <c r="S7" s="107" t="s">
        <v>21</v>
      </c>
      <c r="T7" s="93" t="s">
        <v>22</v>
      </c>
      <c r="U7" s="93" t="s">
        <v>23</v>
      </c>
      <c r="V7" s="94" t="s">
        <v>24</v>
      </c>
      <c r="W7" s="92" t="s">
        <v>25</v>
      </c>
      <c r="X7" s="93" t="s">
        <v>26</v>
      </c>
      <c r="Y7" s="93" t="s">
        <v>27</v>
      </c>
      <c r="Z7" s="93" t="s">
        <v>28</v>
      </c>
      <c r="AA7" s="93" t="s">
        <v>29</v>
      </c>
      <c r="AB7" s="93" t="s">
        <v>30</v>
      </c>
      <c r="AC7" s="93" t="s">
        <v>31</v>
      </c>
      <c r="AD7" s="93" t="s">
        <v>32</v>
      </c>
      <c r="AE7" s="105" t="s">
        <v>33</v>
      </c>
      <c r="AF7" s="107" t="s">
        <v>34</v>
      </c>
      <c r="AG7" s="93" t="s">
        <v>35</v>
      </c>
      <c r="AH7" s="93" t="s">
        <v>36</v>
      </c>
      <c r="AI7" s="93" t="s">
        <v>37</v>
      </c>
      <c r="AJ7" s="93" t="s">
        <v>38</v>
      </c>
      <c r="AK7" s="93" t="s">
        <v>39</v>
      </c>
      <c r="AL7" s="93" t="s">
        <v>40</v>
      </c>
      <c r="AM7" s="93" t="s">
        <v>41</v>
      </c>
      <c r="AN7" s="93" t="s">
        <v>42</v>
      </c>
      <c r="AO7" s="94" t="s">
        <v>43</v>
      </c>
      <c r="AP7" s="107" t="s">
        <v>44</v>
      </c>
      <c r="AQ7" s="92" t="s">
        <v>45</v>
      </c>
      <c r="AR7" s="93" t="s">
        <v>46</v>
      </c>
      <c r="AS7" s="93" t="s">
        <v>47</v>
      </c>
      <c r="AT7" s="93" t="s">
        <v>48</v>
      </c>
      <c r="AU7" s="93" t="s">
        <v>49</v>
      </c>
      <c r="AV7" s="95" t="s">
        <v>50</v>
      </c>
      <c r="AW7" s="107" t="s">
        <v>51</v>
      </c>
      <c r="AX7" s="92" t="s">
        <v>52</v>
      </c>
      <c r="AY7" s="93" t="s">
        <v>53</v>
      </c>
      <c r="AZ7" s="93" t="s">
        <v>54</v>
      </c>
      <c r="BA7" s="94" t="s">
        <v>55</v>
      </c>
      <c r="BB7" s="95" t="s">
        <v>14</v>
      </c>
      <c r="BC7" s="104" t="s">
        <v>56</v>
      </c>
    </row>
    <row r="8" spans="1:55" s="64" customFormat="1" ht="44" thickBot="1" x14ac:dyDescent="0.4">
      <c r="A8" s="96"/>
      <c r="B8" s="97"/>
      <c r="C8" s="98" t="s">
        <v>214</v>
      </c>
      <c r="D8" s="98" t="s">
        <v>214</v>
      </c>
      <c r="E8" s="99" t="s">
        <v>214</v>
      </c>
      <c r="F8" s="98" t="s">
        <v>214</v>
      </c>
      <c r="G8" s="99" t="s">
        <v>214</v>
      </c>
      <c r="H8" s="98" t="s">
        <v>215</v>
      </c>
      <c r="I8" s="99" t="s">
        <v>215</v>
      </c>
      <c r="J8" s="100" t="s">
        <v>215</v>
      </c>
      <c r="K8" s="76" t="s">
        <v>215</v>
      </c>
      <c r="L8" s="100" t="s">
        <v>215</v>
      </c>
      <c r="M8" s="108" t="s">
        <v>226</v>
      </c>
      <c r="N8" s="101" t="s">
        <v>226</v>
      </c>
      <c r="O8" s="102" t="s">
        <v>226</v>
      </c>
      <c r="P8" s="102" t="s">
        <v>226</v>
      </c>
      <c r="Q8" s="102" t="s">
        <v>226</v>
      </c>
      <c r="R8" s="103" t="s">
        <v>226</v>
      </c>
      <c r="S8" s="108" t="s">
        <v>228</v>
      </c>
      <c r="T8" s="102" t="s">
        <v>228</v>
      </c>
      <c r="U8" s="102" t="s">
        <v>228</v>
      </c>
      <c r="V8" s="103" t="s">
        <v>228</v>
      </c>
      <c r="W8" s="101" t="s">
        <v>213</v>
      </c>
      <c r="X8" s="102" t="s">
        <v>213</v>
      </c>
      <c r="Y8" s="102" t="s">
        <v>213</v>
      </c>
      <c r="Z8" s="102" t="s">
        <v>213</v>
      </c>
      <c r="AA8" s="102" t="s">
        <v>213</v>
      </c>
      <c r="AB8" s="102" t="s">
        <v>213</v>
      </c>
      <c r="AC8" s="102" t="s">
        <v>213</v>
      </c>
      <c r="AD8" s="102" t="s">
        <v>213</v>
      </c>
      <c r="AE8" s="106" t="s">
        <v>213</v>
      </c>
      <c r="AF8" s="108" t="s">
        <v>233</v>
      </c>
      <c r="AG8" s="102" t="s">
        <v>233</v>
      </c>
      <c r="AH8" s="102" t="s">
        <v>233</v>
      </c>
      <c r="AI8" s="102" t="s">
        <v>233</v>
      </c>
      <c r="AJ8" s="102" t="s">
        <v>233</v>
      </c>
      <c r="AK8" s="102" t="s">
        <v>233</v>
      </c>
      <c r="AL8" s="102" t="s">
        <v>233</v>
      </c>
      <c r="AM8" s="102" t="s">
        <v>233</v>
      </c>
      <c r="AN8" s="102" t="s">
        <v>233</v>
      </c>
      <c r="AO8" s="103" t="s">
        <v>233</v>
      </c>
      <c r="AP8" s="108" t="s">
        <v>318</v>
      </c>
      <c r="AQ8" s="101" t="s">
        <v>318</v>
      </c>
      <c r="AR8" s="102" t="s">
        <v>318</v>
      </c>
      <c r="AS8" s="102" t="s">
        <v>318</v>
      </c>
      <c r="AT8" s="102" t="s">
        <v>318</v>
      </c>
      <c r="AU8" s="102" t="s">
        <v>235</v>
      </c>
      <c r="AV8" s="76" t="s">
        <v>318</v>
      </c>
      <c r="AW8" s="108" t="s">
        <v>235</v>
      </c>
      <c r="AX8" s="101" t="s">
        <v>235</v>
      </c>
      <c r="AY8" s="102" t="s">
        <v>235</v>
      </c>
      <c r="AZ8" s="102" t="s">
        <v>235</v>
      </c>
      <c r="BA8" s="103" t="s">
        <v>235</v>
      </c>
      <c r="BB8" s="76" t="s">
        <v>210</v>
      </c>
      <c r="BC8" s="104"/>
    </row>
    <row r="9" spans="1:55" s="64" customFormat="1" ht="44" thickBot="1" x14ac:dyDescent="0.4">
      <c r="A9" s="96"/>
      <c r="B9" s="97"/>
      <c r="C9" s="100" t="s">
        <v>216</v>
      </c>
      <c r="D9" s="100" t="s">
        <v>217</v>
      </c>
      <c r="E9" s="76" t="s">
        <v>218</v>
      </c>
      <c r="F9" s="100" t="s">
        <v>219</v>
      </c>
      <c r="G9" s="76" t="s">
        <v>220</v>
      </c>
      <c r="H9" s="100" t="s">
        <v>216</v>
      </c>
      <c r="I9" s="76" t="s">
        <v>217</v>
      </c>
      <c r="J9" s="100" t="s">
        <v>218</v>
      </c>
      <c r="K9" s="76" t="s">
        <v>221</v>
      </c>
      <c r="L9" s="100" t="s">
        <v>219</v>
      </c>
      <c r="M9" s="108" t="s">
        <v>223</v>
      </c>
      <c r="N9" s="101" t="s">
        <v>218</v>
      </c>
      <c r="O9" s="102" t="s">
        <v>224</v>
      </c>
      <c r="P9" s="102" t="s">
        <v>221</v>
      </c>
      <c r="Q9" s="102" t="s">
        <v>227</v>
      </c>
      <c r="R9" s="103" t="s">
        <v>219</v>
      </c>
      <c r="S9" s="108" t="s">
        <v>218</v>
      </c>
      <c r="T9" s="102" t="s">
        <v>221</v>
      </c>
      <c r="U9" s="102" t="s">
        <v>225</v>
      </c>
      <c r="V9" s="103" t="s">
        <v>219</v>
      </c>
      <c r="W9" s="101" t="s">
        <v>216</v>
      </c>
      <c r="X9" s="102" t="s">
        <v>217</v>
      </c>
      <c r="Y9" s="102" t="s">
        <v>218</v>
      </c>
      <c r="Z9" s="102" t="s">
        <v>221</v>
      </c>
      <c r="AA9" s="102" t="s">
        <v>225</v>
      </c>
      <c r="AB9" s="102" t="s">
        <v>230</v>
      </c>
      <c r="AC9" s="102" t="s">
        <v>231</v>
      </c>
      <c r="AD9" s="102" t="s">
        <v>232</v>
      </c>
      <c r="AE9" s="106" t="s">
        <v>220</v>
      </c>
      <c r="AF9" s="108" t="s">
        <v>216</v>
      </c>
      <c r="AG9" s="102" t="s">
        <v>217</v>
      </c>
      <c r="AH9" s="102" t="s">
        <v>218</v>
      </c>
      <c r="AI9" s="102" t="s">
        <v>218</v>
      </c>
      <c r="AJ9" s="102" t="s">
        <v>218</v>
      </c>
      <c r="AK9" s="102" t="s">
        <v>221</v>
      </c>
      <c r="AL9" s="102" t="s">
        <v>225</v>
      </c>
      <c r="AM9" s="102" t="s">
        <v>325</v>
      </c>
      <c r="AN9" s="102" t="s">
        <v>230</v>
      </c>
      <c r="AO9" s="103" t="s">
        <v>219</v>
      </c>
      <c r="AP9" s="108" t="s">
        <v>216</v>
      </c>
      <c r="AQ9" s="101" t="s">
        <v>217</v>
      </c>
      <c r="AR9" s="102" t="s">
        <v>218</v>
      </c>
      <c r="AS9" s="102" t="s">
        <v>221</v>
      </c>
      <c r="AT9" s="102" t="s">
        <v>219</v>
      </c>
      <c r="AU9" s="102" t="s">
        <v>216</v>
      </c>
      <c r="AV9" s="76" t="s">
        <v>218</v>
      </c>
      <c r="AW9" s="108" t="s">
        <v>218</v>
      </c>
      <c r="AX9" s="101" t="s">
        <v>225</v>
      </c>
      <c r="AY9" s="102" t="s">
        <v>230</v>
      </c>
      <c r="AZ9" s="102" t="s">
        <v>219</v>
      </c>
      <c r="BA9" s="103" t="s">
        <v>220</v>
      </c>
      <c r="BB9" s="76" t="s">
        <v>222</v>
      </c>
      <c r="BC9" s="104"/>
    </row>
    <row r="10" spans="1:55" ht="15" thickBot="1" x14ac:dyDescent="0.4">
      <c r="A10" s="89"/>
      <c r="B10" s="90"/>
      <c r="C10" s="91"/>
      <c r="D10" s="91"/>
      <c r="E10" s="95"/>
      <c r="F10" s="91"/>
      <c r="G10" s="95"/>
      <c r="H10" s="91"/>
      <c r="I10" s="95"/>
      <c r="J10" s="91"/>
      <c r="K10" s="95"/>
      <c r="L10" s="91"/>
      <c r="M10" s="107"/>
      <c r="N10" s="92"/>
      <c r="O10" s="93"/>
      <c r="P10" s="93"/>
      <c r="Q10" s="93"/>
      <c r="R10" s="94"/>
      <c r="S10" s="107"/>
      <c r="T10" s="93"/>
      <c r="U10" s="93"/>
      <c r="V10" s="94"/>
      <c r="W10" s="92"/>
      <c r="X10" s="93"/>
      <c r="Y10" s="93"/>
      <c r="Z10" s="93"/>
      <c r="AA10" s="93"/>
      <c r="AB10" s="93"/>
      <c r="AC10" s="93"/>
      <c r="AD10" s="93"/>
      <c r="AE10" s="105"/>
      <c r="AF10" s="107"/>
      <c r="AG10" s="93"/>
      <c r="AH10" s="93"/>
      <c r="AI10" s="93"/>
      <c r="AJ10" s="93"/>
      <c r="AK10" s="93"/>
      <c r="AL10" s="93"/>
      <c r="AM10" s="93"/>
      <c r="AN10" s="93"/>
      <c r="AO10" s="94"/>
      <c r="AP10" s="107"/>
      <c r="AQ10" s="92"/>
      <c r="AR10" s="93"/>
      <c r="AS10" s="93"/>
      <c r="AT10" s="93"/>
      <c r="AU10" s="93"/>
      <c r="AV10" s="95"/>
      <c r="AW10" s="107"/>
      <c r="AX10" s="92"/>
      <c r="AY10" s="93"/>
      <c r="AZ10" s="93"/>
      <c r="BA10" s="94"/>
      <c r="BB10" s="95"/>
      <c r="BC10" s="104"/>
    </row>
    <row r="11" spans="1:55" s="153" customFormat="1" ht="16" thickBot="1" x14ac:dyDescent="0.4">
      <c r="A11" s="152" t="s">
        <v>333</v>
      </c>
      <c r="B11" s="142">
        <f>SUM(B12:B14)</f>
        <v>0</v>
      </c>
      <c r="C11" s="141">
        <f t="shared" ref="C11:BA11" si="0">SUM(C12:C14)</f>
        <v>1125614</v>
      </c>
      <c r="D11" s="141">
        <f t="shared" si="0"/>
        <v>1536309</v>
      </c>
      <c r="E11" s="143">
        <f t="shared" si="0"/>
        <v>0</v>
      </c>
      <c r="F11" s="141">
        <f t="shared" si="0"/>
        <v>2822725</v>
      </c>
      <c r="G11" s="143">
        <f t="shared" si="0"/>
        <v>896138</v>
      </c>
      <c r="H11" s="141">
        <f t="shared" si="0"/>
        <v>2140386.6199999996</v>
      </c>
      <c r="I11" s="143">
        <f t="shared" si="0"/>
        <v>3111908.13</v>
      </c>
      <c r="J11" s="141">
        <f t="shared" si="0"/>
        <v>0</v>
      </c>
      <c r="K11" s="143">
        <f t="shared" si="0"/>
        <v>3478255.04</v>
      </c>
      <c r="L11" s="141">
        <f t="shared" si="0"/>
        <v>2606453.91</v>
      </c>
      <c r="M11" s="147">
        <f t="shared" si="0"/>
        <v>2090779.56</v>
      </c>
      <c r="N11" s="144">
        <f t="shared" si="0"/>
        <v>0</v>
      </c>
      <c r="O11" s="145">
        <f t="shared" si="0"/>
        <v>2981420.83</v>
      </c>
      <c r="P11" s="145">
        <f t="shared" si="0"/>
        <v>0</v>
      </c>
      <c r="Q11" s="145">
        <f t="shared" si="0"/>
        <v>0</v>
      </c>
      <c r="R11" s="148">
        <f t="shared" si="0"/>
        <v>3431078.3200000003</v>
      </c>
      <c r="S11" s="147">
        <f t="shared" si="0"/>
        <v>0</v>
      </c>
      <c r="T11" s="145">
        <f t="shared" si="0"/>
        <v>1002920.21</v>
      </c>
      <c r="U11" s="145">
        <f t="shared" si="0"/>
        <v>1881040.87</v>
      </c>
      <c r="V11" s="148">
        <f t="shared" si="0"/>
        <v>1614977.75</v>
      </c>
      <c r="W11" s="144">
        <f t="shared" si="0"/>
        <v>1370771.67</v>
      </c>
      <c r="X11" s="145">
        <f t="shared" si="0"/>
        <v>1725227.75</v>
      </c>
      <c r="Y11" s="145">
        <f t="shared" si="0"/>
        <v>0</v>
      </c>
      <c r="Z11" s="145">
        <f t="shared" si="0"/>
        <v>3398102.1</v>
      </c>
      <c r="AA11" s="145">
        <f t="shared" si="0"/>
        <v>3859372.5100000002</v>
      </c>
      <c r="AB11" s="145">
        <f t="shared" si="0"/>
        <v>307284.62</v>
      </c>
      <c r="AC11" s="145">
        <f t="shared" si="0"/>
        <v>1905582.75</v>
      </c>
      <c r="AD11" s="145">
        <f t="shared" si="0"/>
        <v>1485788.18</v>
      </c>
      <c r="AE11" s="146">
        <f t="shared" si="0"/>
        <v>1717000.5799999998</v>
      </c>
      <c r="AF11" s="147">
        <f t="shared" si="0"/>
        <v>1784574.6600000001</v>
      </c>
      <c r="AG11" s="145">
        <f t="shared" si="0"/>
        <v>2000485.31</v>
      </c>
      <c r="AH11" s="145">
        <f t="shared" si="0"/>
        <v>0</v>
      </c>
      <c r="AI11" s="145">
        <f t="shared" si="0"/>
        <v>0</v>
      </c>
      <c r="AJ11" s="145">
        <f t="shared" si="0"/>
        <v>0</v>
      </c>
      <c r="AK11" s="145">
        <f t="shared" si="0"/>
        <v>0</v>
      </c>
      <c r="AL11" s="145">
        <f t="shared" si="0"/>
        <v>4529663.53</v>
      </c>
      <c r="AM11" s="145">
        <f t="shared" si="0"/>
        <v>222214.25</v>
      </c>
      <c r="AN11" s="145">
        <f t="shared" si="0"/>
        <v>0</v>
      </c>
      <c r="AO11" s="148">
        <f t="shared" si="0"/>
        <v>5208887.9800000004</v>
      </c>
      <c r="AP11" s="147">
        <f t="shared" si="0"/>
        <v>1988220.6</v>
      </c>
      <c r="AQ11" s="144">
        <f t="shared" si="0"/>
        <v>1606552.0999999999</v>
      </c>
      <c r="AR11" s="145">
        <f t="shared" si="0"/>
        <v>0</v>
      </c>
      <c r="AS11" s="145">
        <f t="shared" si="0"/>
        <v>1965823.06</v>
      </c>
      <c r="AT11" s="145">
        <f t="shared" si="0"/>
        <v>1969793.5899999999</v>
      </c>
      <c r="AU11" s="145">
        <f t="shared" si="0"/>
        <v>1055221.3500000001</v>
      </c>
      <c r="AV11" s="143">
        <f>SUM(AV12:AV14)</f>
        <v>0</v>
      </c>
      <c r="AW11" s="147">
        <f>SUM(AW12:AW14)</f>
        <v>0</v>
      </c>
      <c r="AX11" s="144">
        <f t="shared" si="0"/>
        <v>2491926.7200000002</v>
      </c>
      <c r="AY11" s="145">
        <f t="shared" si="0"/>
        <v>1155724.54</v>
      </c>
      <c r="AZ11" s="145">
        <f t="shared" si="0"/>
        <v>3638657.7999999989</v>
      </c>
      <c r="BA11" s="148">
        <f t="shared" si="0"/>
        <v>568434.41999999993</v>
      </c>
      <c r="BB11" s="143">
        <f>SUM(BB12:BB14)</f>
        <v>0</v>
      </c>
      <c r="BC11" s="142">
        <f>SUM(B11:BA11)</f>
        <v>76675317.310000002</v>
      </c>
    </row>
    <row r="12" spans="1:55" s="116" customFormat="1" x14ac:dyDescent="0.35">
      <c r="A12" s="109" t="s">
        <v>334</v>
      </c>
      <c r="B12" s="110"/>
      <c r="C12" s="109">
        <v>949017</v>
      </c>
      <c r="D12" s="109">
        <v>1367532</v>
      </c>
      <c r="E12" s="111"/>
      <c r="F12" s="109">
        <v>2418692</v>
      </c>
      <c r="G12" s="111">
        <v>814872</v>
      </c>
      <c r="H12" s="109">
        <v>1427800.65</v>
      </c>
      <c r="I12" s="111">
        <v>2164285.54</v>
      </c>
      <c r="J12" s="109"/>
      <c r="K12" s="111">
        <v>1557414.81</v>
      </c>
      <c r="L12" s="109">
        <v>1904519.47</v>
      </c>
      <c r="M12" s="114">
        <v>1045363.21</v>
      </c>
      <c r="N12" s="112"/>
      <c r="O12" s="113">
        <v>2714386.48</v>
      </c>
      <c r="P12" s="113"/>
      <c r="Q12" s="113"/>
      <c r="R12" s="115">
        <v>2290625.2200000002</v>
      </c>
      <c r="S12" s="114"/>
      <c r="T12" s="113">
        <v>541457.71</v>
      </c>
      <c r="U12" s="113">
        <v>1192009</v>
      </c>
      <c r="V12" s="115">
        <v>1128446</v>
      </c>
      <c r="W12" s="157">
        <v>1023775.48</v>
      </c>
      <c r="X12" s="158">
        <v>1512018.74</v>
      </c>
      <c r="Y12" s="113"/>
      <c r="Z12" s="158">
        <v>1925310.03</v>
      </c>
      <c r="AA12" s="158">
        <v>3245624.49</v>
      </c>
      <c r="AB12" s="158">
        <v>225621.28</v>
      </c>
      <c r="AC12" s="158">
        <v>1333535.25</v>
      </c>
      <c r="AD12" s="158">
        <v>1316456.2</v>
      </c>
      <c r="AE12" s="159">
        <v>1266734.92</v>
      </c>
      <c r="AF12" s="158">
        <v>1185047.57</v>
      </c>
      <c r="AG12" s="158">
        <v>1620958.45</v>
      </c>
      <c r="AH12" s="158"/>
      <c r="AI12" s="158"/>
      <c r="AJ12" s="158"/>
      <c r="AK12" s="158"/>
      <c r="AL12" s="158">
        <v>3163014.73</v>
      </c>
      <c r="AM12" s="158">
        <v>142510.75</v>
      </c>
      <c r="AN12" s="113"/>
      <c r="AO12" s="158">
        <v>3861305.89</v>
      </c>
      <c r="AP12" s="114">
        <v>1335087.44</v>
      </c>
      <c r="AQ12" s="112">
        <v>1298003.45</v>
      </c>
      <c r="AR12" s="113"/>
      <c r="AS12" s="113">
        <v>887087.39</v>
      </c>
      <c r="AT12" s="113">
        <v>1618928.66</v>
      </c>
      <c r="AU12" s="113">
        <v>870835.18</v>
      </c>
      <c r="AV12" s="111"/>
      <c r="AW12" s="114"/>
      <c r="AX12" s="112">
        <v>2023288.95</v>
      </c>
      <c r="AY12" s="113">
        <v>734302.19</v>
      </c>
      <c r="AZ12" s="113">
        <v>2755334.55</v>
      </c>
      <c r="BA12" s="115">
        <v>465434.77</v>
      </c>
      <c r="BB12" s="111"/>
      <c r="BC12" s="110">
        <f>SUM(B12:BA12)</f>
        <v>55326637.450000003</v>
      </c>
    </row>
    <row r="13" spans="1:55" s="116" customFormat="1" x14ac:dyDescent="0.35">
      <c r="A13" s="117" t="s">
        <v>335</v>
      </c>
      <c r="B13" s="118"/>
      <c r="C13" s="117">
        <v>176597</v>
      </c>
      <c r="D13" s="117">
        <v>168777</v>
      </c>
      <c r="E13" s="119"/>
      <c r="F13" s="117">
        <v>404033</v>
      </c>
      <c r="G13" s="119">
        <v>81266</v>
      </c>
      <c r="H13" s="120">
        <v>353862.41</v>
      </c>
      <c r="I13" s="119">
        <v>353311.13</v>
      </c>
      <c r="J13" s="117"/>
      <c r="K13" s="119">
        <v>320097.33</v>
      </c>
      <c r="L13" s="120">
        <v>364928.3</v>
      </c>
      <c r="M13" s="123">
        <v>162365.70000000001</v>
      </c>
      <c r="N13" s="121"/>
      <c r="O13" s="122">
        <v>267034.34999999998</v>
      </c>
      <c r="P13" s="122"/>
      <c r="Q13" s="122"/>
      <c r="R13" s="124">
        <v>239174.79</v>
      </c>
      <c r="S13" s="123"/>
      <c r="T13" s="122">
        <v>152388</v>
      </c>
      <c r="U13" s="122">
        <v>173862</v>
      </c>
      <c r="V13" s="124">
        <v>241769</v>
      </c>
      <c r="W13" s="156">
        <v>239367.69</v>
      </c>
      <c r="X13" s="156">
        <v>213209.01</v>
      </c>
      <c r="Y13" s="154"/>
      <c r="Z13" s="156">
        <v>314557.96999999997</v>
      </c>
      <c r="AA13" s="156">
        <v>224420.77</v>
      </c>
      <c r="AB13" s="156">
        <v>78345.34</v>
      </c>
      <c r="AC13" s="156">
        <v>103446.2</v>
      </c>
      <c r="AD13" s="156">
        <v>169331.98</v>
      </c>
      <c r="AE13" s="156">
        <v>125558.45</v>
      </c>
      <c r="AF13" s="156">
        <v>325077.96999999997</v>
      </c>
      <c r="AG13" s="156">
        <v>152383.49</v>
      </c>
      <c r="AH13" s="156"/>
      <c r="AI13" s="156"/>
      <c r="AJ13" s="156"/>
      <c r="AK13" s="156"/>
      <c r="AL13" s="156">
        <v>404459.15</v>
      </c>
      <c r="AM13" s="156">
        <v>79703.5</v>
      </c>
      <c r="AN13" s="122"/>
      <c r="AO13" s="156">
        <v>756765.53</v>
      </c>
      <c r="AP13" s="123">
        <v>242009.1</v>
      </c>
      <c r="AQ13" s="121">
        <v>136767.69</v>
      </c>
      <c r="AR13" s="122"/>
      <c r="AS13" s="122">
        <v>125820.44</v>
      </c>
      <c r="AT13" s="122">
        <v>133851.37</v>
      </c>
      <c r="AU13" s="122">
        <v>181686.17</v>
      </c>
      <c r="AV13" s="119"/>
      <c r="AW13" s="123"/>
      <c r="AX13" s="121">
        <v>256082.11</v>
      </c>
      <c r="AY13" s="122">
        <v>421422.35</v>
      </c>
      <c r="AZ13" s="122">
        <v>634797.45999999903</v>
      </c>
      <c r="BA13" s="124">
        <v>72961.16</v>
      </c>
      <c r="BB13" s="119"/>
      <c r="BC13" s="118">
        <f>SUM(B13:BA13)</f>
        <v>8851490.9100000001</v>
      </c>
    </row>
    <row r="14" spans="1:55" s="116" customFormat="1" ht="15" thickBot="1" x14ac:dyDescent="0.4">
      <c r="A14" s="125" t="s">
        <v>336</v>
      </c>
      <c r="B14" s="126"/>
      <c r="C14" s="125"/>
      <c r="D14" s="127"/>
      <c r="E14" s="128"/>
      <c r="F14" s="127"/>
      <c r="G14" s="128"/>
      <c r="H14" s="127">
        <v>358723.56</v>
      </c>
      <c r="I14" s="128">
        <v>594311.46</v>
      </c>
      <c r="J14" s="127"/>
      <c r="K14" s="128">
        <v>1600742.9</v>
      </c>
      <c r="L14" s="127">
        <v>337006.14</v>
      </c>
      <c r="M14" s="139">
        <v>883050.65</v>
      </c>
      <c r="N14" s="129"/>
      <c r="O14" s="130">
        <v>0</v>
      </c>
      <c r="P14" s="130"/>
      <c r="Q14" s="130"/>
      <c r="R14" s="133">
        <v>901278.31</v>
      </c>
      <c r="S14" s="132"/>
      <c r="T14" s="130">
        <v>309074.5</v>
      </c>
      <c r="U14" s="130">
        <v>515169.87</v>
      </c>
      <c r="V14" s="133">
        <v>244762.75</v>
      </c>
      <c r="W14" s="129">
        <v>107628.5</v>
      </c>
      <c r="X14" s="130"/>
      <c r="Y14" s="130"/>
      <c r="Z14" s="130">
        <v>1158234.1000000001</v>
      </c>
      <c r="AA14" s="130">
        <v>389327.25</v>
      </c>
      <c r="AB14" s="130">
        <v>3318</v>
      </c>
      <c r="AC14" s="130">
        <v>468601.3</v>
      </c>
      <c r="AD14" s="130"/>
      <c r="AE14" s="131">
        <v>324707.21000000002</v>
      </c>
      <c r="AF14" s="132">
        <v>274449.12</v>
      </c>
      <c r="AG14" s="130">
        <v>227143.37</v>
      </c>
      <c r="AH14" s="130"/>
      <c r="AI14" s="130"/>
      <c r="AJ14" s="130"/>
      <c r="AK14" s="130"/>
      <c r="AL14" s="130">
        <v>962189.65</v>
      </c>
      <c r="AM14" s="130">
        <v>0</v>
      </c>
      <c r="AN14" s="130"/>
      <c r="AO14" s="133">
        <v>590816.56000000006</v>
      </c>
      <c r="AP14" s="132">
        <v>411124.06</v>
      </c>
      <c r="AQ14" s="129">
        <v>171780.96</v>
      </c>
      <c r="AR14" s="130"/>
      <c r="AS14" s="130">
        <v>952915.23</v>
      </c>
      <c r="AT14" s="130">
        <v>217013.56</v>
      </c>
      <c r="AU14" s="130">
        <v>2700</v>
      </c>
      <c r="AV14" s="128"/>
      <c r="AW14" s="132"/>
      <c r="AX14" s="129">
        <v>212555.66</v>
      </c>
      <c r="AY14" s="130">
        <v>0</v>
      </c>
      <c r="AZ14" s="130">
        <v>248525.79</v>
      </c>
      <c r="BA14" s="133">
        <v>30038.4899999999</v>
      </c>
      <c r="BB14" s="128"/>
      <c r="BC14" s="126">
        <f>SUM(B14:BA14)</f>
        <v>12497188.950000001</v>
      </c>
    </row>
    <row r="15" spans="1:55" s="116" customFormat="1" ht="15" thickBot="1" x14ac:dyDescent="0.4">
      <c r="A15" s="127"/>
      <c r="B15" s="134"/>
      <c r="C15" s="127"/>
      <c r="D15" s="127"/>
      <c r="E15" s="135"/>
      <c r="F15" s="127"/>
      <c r="G15" s="135"/>
      <c r="H15" s="127"/>
      <c r="I15" s="135"/>
      <c r="J15" s="127"/>
      <c r="K15" s="135"/>
      <c r="L15" s="127"/>
      <c r="M15" s="139"/>
      <c r="N15" s="136"/>
      <c r="O15" s="137"/>
      <c r="P15" s="137"/>
      <c r="Q15" s="137"/>
      <c r="R15" s="140"/>
      <c r="S15" s="139"/>
      <c r="T15" s="137"/>
      <c r="U15" s="137"/>
      <c r="V15" s="140"/>
      <c r="W15" s="136"/>
      <c r="X15" s="137"/>
      <c r="Y15" s="137"/>
      <c r="Z15" s="137"/>
      <c r="AA15" s="137"/>
      <c r="AB15" s="137"/>
      <c r="AC15" s="137"/>
      <c r="AD15" s="137"/>
      <c r="AE15" s="138"/>
      <c r="AF15" s="139"/>
      <c r="AG15" s="137"/>
      <c r="AH15" s="137"/>
      <c r="AI15" s="137"/>
      <c r="AJ15" s="137"/>
      <c r="AK15" s="137"/>
      <c r="AL15" s="137"/>
      <c r="AM15" s="137"/>
      <c r="AN15" s="137"/>
      <c r="AO15" s="140"/>
      <c r="AP15" s="139"/>
      <c r="AQ15" s="136"/>
      <c r="AR15" s="137"/>
      <c r="AS15" s="137"/>
      <c r="AT15" s="137"/>
      <c r="AU15" s="137"/>
      <c r="AV15" s="135"/>
      <c r="AW15" s="139"/>
      <c r="AX15" s="136"/>
      <c r="AY15" s="137"/>
      <c r="AZ15" s="137"/>
      <c r="BA15" s="140"/>
      <c r="BB15" s="135"/>
      <c r="BC15" s="134"/>
    </row>
    <row r="16" spans="1:55" s="116" customFormat="1" ht="15" thickBot="1" x14ac:dyDescent="0.4">
      <c r="A16" s="141" t="s">
        <v>337</v>
      </c>
      <c r="B16" s="142">
        <f>SUM(B17:B19)</f>
        <v>0</v>
      </c>
      <c r="C16" s="141">
        <f t="shared" ref="C16:BA16" si="1">SUM(C17:C19)</f>
        <v>317569.74000000005</v>
      </c>
      <c r="D16" s="141">
        <f t="shared" si="1"/>
        <v>605865.15999999992</v>
      </c>
      <c r="E16" s="143">
        <f t="shared" si="1"/>
        <v>0</v>
      </c>
      <c r="F16" s="141">
        <f t="shared" si="1"/>
        <v>797454.98</v>
      </c>
      <c r="G16" s="143">
        <f t="shared" si="1"/>
        <v>388169.25</v>
      </c>
      <c r="H16" s="141">
        <f t="shared" si="1"/>
        <v>784962.47455602756</v>
      </c>
      <c r="I16" s="143">
        <f t="shared" si="1"/>
        <v>1017843.8253323282</v>
      </c>
      <c r="J16" s="141">
        <f t="shared" si="1"/>
        <v>0</v>
      </c>
      <c r="K16" s="143">
        <f t="shared" si="1"/>
        <v>1216114.2996313069</v>
      </c>
      <c r="L16" s="141">
        <f t="shared" si="1"/>
        <v>1006313.897065741</v>
      </c>
      <c r="M16" s="147">
        <f t="shared" si="1"/>
        <v>0</v>
      </c>
      <c r="N16" s="144">
        <f t="shared" si="1"/>
        <v>0</v>
      </c>
      <c r="O16" s="145">
        <f t="shared" si="1"/>
        <v>734668</v>
      </c>
      <c r="P16" s="145">
        <f t="shared" si="1"/>
        <v>622610.58440780931</v>
      </c>
      <c r="Q16" s="145">
        <f t="shared" si="1"/>
        <v>0</v>
      </c>
      <c r="R16" s="148">
        <f t="shared" si="1"/>
        <v>1316635</v>
      </c>
      <c r="S16" s="147">
        <f t="shared" si="1"/>
        <v>0</v>
      </c>
      <c r="T16" s="145">
        <f t="shared" si="1"/>
        <v>381080.05</v>
      </c>
      <c r="U16" s="145">
        <f t="shared" si="1"/>
        <v>685108.16</v>
      </c>
      <c r="V16" s="148">
        <f t="shared" si="1"/>
        <v>479346.72</v>
      </c>
      <c r="W16" s="144">
        <f t="shared" si="1"/>
        <v>422622.83483103453</v>
      </c>
      <c r="X16" s="145">
        <f t="shared" si="1"/>
        <v>509269.27145419095</v>
      </c>
      <c r="Y16" s="145">
        <f t="shared" si="1"/>
        <v>0</v>
      </c>
      <c r="Z16" s="145">
        <f t="shared" si="1"/>
        <v>995983.35324991343</v>
      </c>
      <c r="AA16" s="145">
        <f t="shared" si="1"/>
        <v>1187785.4429674558</v>
      </c>
      <c r="AB16" s="145">
        <f t="shared" si="1"/>
        <v>183225.24704696087</v>
      </c>
      <c r="AC16" s="145">
        <f t="shared" si="1"/>
        <v>699614.13557812199</v>
      </c>
      <c r="AD16" s="145">
        <f t="shared" si="1"/>
        <v>498690.33</v>
      </c>
      <c r="AE16" s="146">
        <f t="shared" si="1"/>
        <v>813648.63320068701</v>
      </c>
      <c r="AF16" s="147">
        <f t="shared" si="1"/>
        <v>520496.15366666665</v>
      </c>
      <c r="AG16" s="145">
        <f t="shared" si="1"/>
        <v>850498.06592045876</v>
      </c>
      <c r="AH16" s="145">
        <f t="shared" si="1"/>
        <v>0</v>
      </c>
      <c r="AI16" s="145">
        <f t="shared" si="1"/>
        <v>0</v>
      </c>
      <c r="AJ16" s="145">
        <f t="shared" si="1"/>
        <v>0</v>
      </c>
      <c r="AK16" s="145">
        <f t="shared" si="1"/>
        <v>0</v>
      </c>
      <c r="AL16" s="145">
        <f t="shared" si="1"/>
        <v>1466721.4706559344</v>
      </c>
      <c r="AM16" s="145">
        <f t="shared" si="1"/>
        <v>747120.91500000004</v>
      </c>
      <c r="AN16" s="145">
        <f t="shared" si="1"/>
        <v>0</v>
      </c>
      <c r="AO16" s="148">
        <f t="shared" si="1"/>
        <v>1323240.504863878</v>
      </c>
      <c r="AP16" s="147">
        <f t="shared" si="1"/>
        <v>522186</v>
      </c>
      <c r="AQ16" s="144">
        <f t="shared" si="1"/>
        <v>468225</v>
      </c>
      <c r="AR16" s="145">
        <f t="shared" si="1"/>
        <v>0</v>
      </c>
      <c r="AS16" s="145">
        <f t="shared" si="1"/>
        <v>768668</v>
      </c>
      <c r="AT16" s="145">
        <f t="shared" si="1"/>
        <v>544380</v>
      </c>
      <c r="AU16" s="145">
        <f t="shared" si="1"/>
        <v>291480.87309305888</v>
      </c>
      <c r="AV16" s="143">
        <f>SUM(AV17:AV19)</f>
        <v>0</v>
      </c>
      <c r="AW16" s="147">
        <f>SUM(AW17:AW19)</f>
        <v>0</v>
      </c>
      <c r="AX16" s="144">
        <f t="shared" si="1"/>
        <v>1318487.9560701575</v>
      </c>
      <c r="AY16" s="145">
        <f t="shared" si="1"/>
        <v>345971.58299999993</v>
      </c>
      <c r="AZ16" s="145">
        <f t="shared" si="1"/>
        <v>1121225.8587613041</v>
      </c>
      <c r="BA16" s="148">
        <f t="shared" si="1"/>
        <v>175159.87694067752</v>
      </c>
      <c r="BB16" s="143">
        <f>SUM(BB17:BB19)</f>
        <v>0</v>
      </c>
      <c r="BC16" s="142">
        <f>SUM(B16:BA16)</f>
        <v>26128443.647293709</v>
      </c>
    </row>
    <row r="17" spans="1:59" s="116" customFormat="1" x14ac:dyDescent="0.35">
      <c r="A17" s="120" t="s">
        <v>334</v>
      </c>
      <c r="B17" s="149"/>
      <c r="C17" s="337">
        <v>317569.74000000005</v>
      </c>
      <c r="D17" s="337">
        <v>605865.15999999992</v>
      </c>
      <c r="E17" s="150">
        <v>0</v>
      </c>
      <c r="F17" s="337">
        <v>797454.98</v>
      </c>
      <c r="G17" s="337">
        <v>388169.25</v>
      </c>
      <c r="H17" s="337">
        <v>639044.19715602754</v>
      </c>
      <c r="I17" s="337">
        <v>772814.06943232822</v>
      </c>
      <c r="J17" s="109"/>
      <c r="K17" s="337">
        <v>545994.59342090331</v>
      </c>
      <c r="L17" s="337">
        <v>866738.348965741</v>
      </c>
      <c r="M17" s="338"/>
      <c r="N17" s="151"/>
      <c r="O17" s="340">
        <v>734668</v>
      </c>
      <c r="P17" s="338">
        <v>323871</v>
      </c>
      <c r="Q17" s="339">
        <v>0</v>
      </c>
      <c r="R17" s="339">
        <v>907574</v>
      </c>
      <c r="S17" s="335"/>
      <c r="T17" s="339">
        <v>263247.05</v>
      </c>
      <c r="U17" s="339">
        <v>520454.66000000003</v>
      </c>
      <c r="V17" s="340">
        <v>421713.72</v>
      </c>
      <c r="W17" s="338">
        <v>379134.26309770124</v>
      </c>
      <c r="X17" s="339">
        <v>509269.27145419095</v>
      </c>
      <c r="Y17" s="154"/>
      <c r="Z17" s="339">
        <v>736269.55999999994</v>
      </c>
      <c r="AA17" s="339">
        <v>1107188.2169805509</v>
      </c>
      <c r="AB17" s="339">
        <v>181959.88704696088</v>
      </c>
      <c r="AC17" s="339">
        <v>607737.23557812197</v>
      </c>
      <c r="AD17" s="339">
        <v>498690.33</v>
      </c>
      <c r="AE17" s="340">
        <v>640793.20870957593</v>
      </c>
      <c r="AF17" s="338">
        <v>496620.55766666663</v>
      </c>
      <c r="AG17" s="339">
        <v>842393.92592045874</v>
      </c>
      <c r="AH17" s="154"/>
      <c r="AI17" s="154"/>
      <c r="AJ17" s="154"/>
      <c r="AK17" s="154"/>
      <c r="AL17" s="339">
        <v>1226114.3706559343</v>
      </c>
      <c r="AM17" s="339">
        <v>747120.91500000004</v>
      </c>
      <c r="AN17" s="154"/>
      <c r="AO17" s="340">
        <v>1219422.3148638785</v>
      </c>
      <c r="AP17" s="338">
        <v>424492</v>
      </c>
      <c r="AQ17" s="339">
        <v>399836</v>
      </c>
      <c r="AR17" s="154"/>
      <c r="AS17" s="339">
        <v>287507</v>
      </c>
      <c r="AT17" s="339">
        <v>498528</v>
      </c>
      <c r="AU17" s="339">
        <v>290687.07309305889</v>
      </c>
      <c r="AV17" s="150"/>
      <c r="AW17" s="335"/>
      <c r="AX17" s="339">
        <v>1256073.0853049406</v>
      </c>
      <c r="AY17" s="339">
        <v>345971.58299999993</v>
      </c>
      <c r="AZ17" s="339">
        <v>1029310.1349999992</v>
      </c>
      <c r="BA17" s="340">
        <v>164896.25111067755</v>
      </c>
      <c r="BB17" s="150"/>
      <c r="BC17" s="427">
        <f>SUM(B17:BA17)</f>
        <v>21995193.953457717</v>
      </c>
      <c r="BD17" s="116">
        <v>25060473</v>
      </c>
      <c r="BE17" s="116">
        <f>BD17-BC17</f>
        <v>3065279.0465422831</v>
      </c>
    </row>
    <row r="18" spans="1:59" s="116" customFormat="1" x14ac:dyDescent="0.35">
      <c r="A18" s="117" t="s">
        <v>335</v>
      </c>
      <c r="B18" s="118"/>
      <c r="C18" s="341"/>
      <c r="D18" s="341"/>
      <c r="E18" s="119"/>
      <c r="F18" s="341"/>
      <c r="G18" s="341"/>
      <c r="H18" s="341"/>
      <c r="I18" s="341"/>
      <c r="J18" s="117"/>
      <c r="K18" s="341"/>
      <c r="L18" s="341"/>
      <c r="M18" s="342"/>
      <c r="N18" s="121"/>
      <c r="O18" s="344"/>
      <c r="P18" s="342"/>
      <c r="Q18" s="343"/>
      <c r="R18" s="343"/>
      <c r="S18" s="123"/>
      <c r="T18" s="343"/>
      <c r="U18" s="343"/>
      <c r="V18" s="344"/>
      <c r="W18" s="342"/>
      <c r="X18" s="343"/>
      <c r="Y18" s="122"/>
      <c r="Z18" s="343"/>
      <c r="AA18" s="343"/>
      <c r="AB18" s="343"/>
      <c r="AC18" s="343"/>
      <c r="AD18" s="343"/>
      <c r="AE18" s="344"/>
      <c r="AF18" s="342"/>
      <c r="AG18" s="343"/>
      <c r="AH18" s="122"/>
      <c r="AI18" s="122"/>
      <c r="AJ18" s="122"/>
      <c r="AK18" s="122"/>
      <c r="AL18" s="343"/>
      <c r="AM18" s="343"/>
      <c r="AN18" s="122"/>
      <c r="AO18" s="344"/>
      <c r="AP18" s="342"/>
      <c r="AQ18" s="343"/>
      <c r="AR18" s="122"/>
      <c r="AS18" s="343"/>
      <c r="AT18" s="343"/>
      <c r="AU18" s="343"/>
      <c r="AV18" s="119"/>
      <c r="AW18" s="123"/>
      <c r="AX18" s="343"/>
      <c r="AY18" s="343"/>
      <c r="AZ18" s="343"/>
      <c r="BA18" s="344"/>
      <c r="BB18" s="119"/>
      <c r="BC18" s="341"/>
    </row>
    <row r="19" spans="1:59" s="116" customFormat="1" ht="15" thickBot="1" x14ac:dyDescent="0.4">
      <c r="A19" s="125" t="s">
        <v>336</v>
      </c>
      <c r="B19" s="126"/>
      <c r="C19" s="125"/>
      <c r="D19" s="127"/>
      <c r="E19" s="128"/>
      <c r="F19" s="127"/>
      <c r="G19" s="128"/>
      <c r="H19" s="127">
        <v>145918.27739999999</v>
      </c>
      <c r="I19" s="128">
        <v>245029.75589999996</v>
      </c>
      <c r="J19" s="127"/>
      <c r="K19" s="128">
        <v>670119.7062104037</v>
      </c>
      <c r="L19" s="127">
        <v>139575.54809999999</v>
      </c>
      <c r="M19" s="139"/>
      <c r="N19" s="129"/>
      <c r="O19" s="133">
        <v>0</v>
      </c>
      <c r="P19" s="139">
        <v>298739.58440780931</v>
      </c>
      <c r="Q19" s="130">
        <v>0</v>
      </c>
      <c r="R19" s="130">
        <v>409061</v>
      </c>
      <c r="S19" s="132"/>
      <c r="T19" s="130">
        <v>117833</v>
      </c>
      <c r="U19" s="130">
        <v>164653.5</v>
      </c>
      <c r="V19" s="133">
        <v>57633</v>
      </c>
      <c r="W19" s="129">
        <v>43488.571733333316</v>
      </c>
      <c r="X19" s="130"/>
      <c r="Y19" s="130"/>
      <c r="Z19" s="130">
        <v>259713.79324991349</v>
      </c>
      <c r="AA19" s="130">
        <v>80597.225986904872</v>
      </c>
      <c r="AB19" s="130">
        <v>1265.3599999999999</v>
      </c>
      <c r="AC19" s="130">
        <v>91876.900000000023</v>
      </c>
      <c r="AD19" s="130"/>
      <c r="AE19" s="131">
        <v>172855.42449111104</v>
      </c>
      <c r="AF19" s="132">
        <v>23875.595999999998</v>
      </c>
      <c r="AG19" s="432">
        <v>8104.1399999999994</v>
      </c>
      <c r="AH19" s="130"/>
      <c r="AI19" s="130"/>
      <c r="AJ19" s="130"/>
      <c r="AK19" s="130"/>
      <c r="AL19" s="130">
        <v>240607.10000000009</v>
      </c>
      <c r="AM19" s="130"/>
      <c r="AN19" s="130"/>
      <c r="AO19" s="133">
        <v>103818.18999999948</v>
      </c>
      <c r="AP19" s="132">
        <v>97694</v>
      </c>
      <c r="AQ19" s="129">
        <v>68389</v>
      </c>
      <c r="AR19" s="130"/>
      <c r="AS19" s="130">
        <v>481161</v>
      </c>
      <c r="AT19" s="130">
        <v>45852</v>
      </c>
      <c r="AU19" s="130">
        <v>793.8</v>
      </c>
      <c r="AV19" s="128"/>
      <c r="AW19" s="132"/>
      <c r="AX19" s="129">
        <v>62414.870765216881</v>
      </c>
      <c r="AY19" s="130">
        <v>0</v>
      </c>
      <c r="AZ19" s="130">
        <v>91915.723761304864</v>
      </c>
      <c r="BA19" s="133">
        <v>10263.625829999964</v>
      </c>
      <c r="BB19" s="128"/>
      <c r="BC19" s="126">
        <f>SUM(B19:BA19)</f>
        <v>4133249.6938359961</v>
      </c>
      <c r="BD19" s="116">
        <v>2943527</v>
      </c>
      <c r="BE19" s="116">
        <f>BD19-BC19</f>
        <v>-1189722.6938359961</v>
      </c>
      <c r="BF19" s="116" t="s">
        <v>954</v>
      </c>
      <c r="BG19" s="116" t="s">
        <v>953</v>
      </c>
    </row>
    <row r="20" spans="1:59" s="116" customFormat="1" x14ac:dyDescent="0.35">
      <c r="C20" s="116">
        <f>C16-'MIS Apr24'!C15</f>
        <v>0</v>
      </c>
      <c r="D20" s="116">
        <f>D16-'MIS Apr24'!E15</f>
        <v>0</v>
      </c>
      <c r="E20" s="116">
        <f ca="1">E16-'MIS Apr24'!G15</f>
        <v>0</v>
      </c>
      <c r="F20" s="116">
        <f>F16-'MIS Apr24'!I15</f>
        <v>0</v>
      </c>
      <c r="G20" s="116">
        <f>G16-'MIS Apr24'!K15</f>
        <v>0</v>
      </c>
      <c r="H20" s="116">
        <f>H16-'MIS Apr24'!M15</f>
        <v>0</v>
      </c>
      <c r="I20" s="116">
        <f>I16-'MIS Apr24'!O15</f>
        <v>0</v>
      </c>
      <c r="J20" s="116">
        <f ca="1">J16-'MIS Apr24'!Q15</f>
        <v>0</v>
      </c>
      <c r="K20" s="116">
        <f>K16-'MIS Apr24'!S15</f>
        <v>0</v>
      </c>
      <c r="L20" s="116">
        <f>L16-'MIS Apr24'!U15</f>
        <v>-45294</v>
      </c>
      <c r="M20" s="116">
        <f ca="1">M16-'MIS Apr24'!W15</f>
        <v>0</v>
      </c>
      <c r="N20" s="116">
        <f ca="1">N16-'MIS Apr24'!Y15</f>
        <v>0</v>
      </c>
      <c r="O20" s="116">
        <f>O16-'MIS Apr24'!AA15</f>
        <v>0</v>
      </c>
      <c r="P20" s="116">
        <f>P16-'MIS Apr24'!AC15</f>
        <v>0</v>
      </c>
      <c r="Q20" s="116">
        <f ca="1">Q16-'MIS Apr24'!AE15</f>
        <v>0</v>
      </c>
      <c r="R20" s="116">
        <f>R16-'MIS Apr24'!AG15</f>
        <v>409061</v>
      </c>
      <c r="S20" s="116">
        <f ca="1">S16-'MIS Apr24'!AI15</f>
        <v>0</v>
      </c>
      <c r="T20" s="116">
        <f>T16-'MIS Apr24'!AK15</f>
        <v>0</v>
      </c>
      <c r="U20" s="116">
        <f>U16-'MIS Apr24'!AM15</f>
        <v>0</v>
      </c>
      <c r="V20" s="116">
        <f>V16-'MIS Apr24'!AO15</f>
        <v>0</v>
      </c>
      <c r="W20" s="116">
        <f>W16-'MIS Apr24'!AQ15</f>
        <v>0</v>
      </c>
      <c r="X20" s="116">
        <f>X16-'MIS Apr24'!AS15</f>
        <v>0</v>
      </c>
      <c r="Y20" s="116">
        <f ca="1">Y16-'MIS Apr24'!AU15</f>
        <v>0</v>
      </c>
      <c r="Z20" s="116">
        <f>Z16-'MIS Apr24'!AW15</f>
        <v>0</v>
      </c>
      <c r="AA20" s="116">
        <f>AA16-'MIS Apr24'!AY15</f>
        <v>0</v>
      </c>
      <c r="AB20" s="116">
        <f>AB16-'MIS Apr24'!BA15</f>
        <v>0</v>
      </c>
      <c r="AC20" s="116">
        <f>AC16-'MIS Apr24'!BC15</f>
        <v>0</v>
      </c>
      <c r="AD20" s="116">
        <f>AD16-'MIS Apr24'!BE15</f>
        <v>0</v>
      </c>
      <c r="AE20" s="116">
        <f>AE16-'MIS Apr24'!BG15</f>
        <v>0</v>
      </c>
      <c r="AF20" s="116">
        <f>AF16-'MIS Apr24'!BI15</f>
        <v>0</v>
      </c>
      <c r="AG20" s="116">
        <f>AG16-'MIS Apr24'!BK15</f>
        <v>0</v>
      </c>
      <c r="AH20" s="116">
        <f ca="1">AH16-'MIS Apr24'!BM15</f>
        <v>0</v>
      </c>
      <c r="AI20" s="116">
        <f ca="1">AI16-'MIS Apr24'!BO15</f>
        <v>0</v>
      </c>
      <c r="AJ20" s="116">
        <f ca="1">AJ16-'MIS Apr24'!BQ15</f>
        <v>0</v>
      </c>
      <c r="AK20" s="116">
        <f ca="1">AK16-'MIS Apr24'!BS15</f>
        <v>0</v>
      </c>
      <c r="AL20" s="116">
        <f>AL16-'MIS Apr24'!BU15</f>
        <v>0</v>
      </c>
      <c r="AM20" s="116">
        <f>AM16-'MIS Apr24'!BW15</f>
        <v>0</v>
      </c>
      <c r="AN20" s="116">
        <f ca="1">AN16-'MIS Apr24'!BY15</f>
        <v>0</v>
      </c>
      <c r="AO20" s="116">
        <f>AO16-'MIS Apr24'!CA15</f>
        <v>0</v>
      </c>
      <c r="AP20" s="116">
        <f>AP16-'MIS Apr24'!CC15</f>
        <v>0</v>
      </c>
      <c r="AQ20" s="116">
        <f>AQ16-'MIS Apr24'!CE15</f>
        <v>0</v>
      </c>
      <c r="AR20" s="116">
        <f ca="1">AR16-'MIS Apr24'!CG15</f>
        <v>0</v>
      </c>
      <c r="AS20" s="116">
        <f>AS16-'MIS Apr24'!CI15</f>
        <v>0</v>
      </c>
      <c r="AT20" s="116">
        <f>AT16-'MIS Apr24'!CK15</f>
        <v>0</v>
      </c>
      <c r="AU20" s="116">
        <f>AU16-'MIS Apr24'!CM15</f>
        <v>0</v>
      </c>
      <c r="AV20" s="116">
        <f ca="1">AV16-'MIS Apr24'!CO15</f>
        <v>0</v>
      </c>
      <c r="AW20" s="116">
        <f ca="1">AW16-'MIS Apr24'!CQ15</f>
        <v>0</v>
      </c>
      <c r="AX20" s="116">
        <f>AX16-'MIS Apr24'!CS15</f>
        <v>0</v>
      </c>
      <c r="AY20" s="116">
        <f>AY16-'MIS Apr24'!CU15</f>
        <v>0</v>
      </c>
      <c r="AZ20" s="116">
        <f>AZ16-'MIS Apr24'!CW15</f>
        <v>0</v>
      </c>
      <c r="BA20" s="116">
        <f>BA16-'MIS Apr24'!CY15</f>
        <v>0</v>
      </c>
      <c r="BB20" s="116">
        <f>BB16-'MIS Apr24'!DA15</f>
        <v>0</v>
      </c>
    </row>
    <row r="21" spans="1:59" s="116" customFormat="1" x14ac:dyDescent="0.35">
      <c r="A21" s="116" t="s">
        <v>955</v>
      </c>
      <c r="C21" s="116">
        <v>44285</v>
      </c>
      <c r="D21" s="116">
        <v>58641</v>
      </c>
      <c r="F21" s="116">
        <v>75179</v>
      </c>
      <c r="G21" s="116">
        <v>35472</v>
      </c>
      <c r="H21" s="116">
        <v>51034.14</v>
      </c>
      <c r="I21" s="116">
        <v>54717.96</v>
      </c>
      <c r="K21" s="116">
        <v>78410.260000000009</v>
      </c>
      <c r="L21" s="116">
        <v>95093.549999999988</v>
      </c>
      <c r="O21" s="116">
        <v>40782.400000000001</v>
      </c>
      <c r="P21" s="116">
        <v>36256.004999999997</v>
      </c>
      <c r="Q21" s="116">
        <v>0</v>
      </c>
      <c r="R21" s="116">
        <v>71734.399999999994</v>
      </c>
      <c r="T21" s="116">
        <v>60816</v>
      </c>
      <c r="U21" s="116">
        <v>91375</v>
      </c>
      <c r="V21" s="116">
        <v>85042</v>
      </c>
      <c r="W21" s="116">
        <v>22355</v>
      </c>
      <c r="X21" s="116">
        <v>33415</v>
      </c>
      <c r="Z21" s="116">
        <v>68047</v>
      </c>
      <c r="AA21" s="116">
        <v>18838.5</v>
      </c>
      <c r="AB21" s="116">
        <v>2835.2999999999997</v>
      </c>
      <c r="AC21" s="116">
        <v>64119.043999999994</v>
      </c>
      <c r="AD21" s="116">
        <v>28148</v>
      </c>
      <c r="AE21" s="116">
        <v>24404.126000000004</v>
      </c>
      <c r="AF21" s="116">
        <v>33159.629999999997</v>
      </c>
      <c r="AG21" s="116">
        <v>37480</v>
      </c>
      <c r="AL21" s="116">
        <v>53600</v>
      </c>
      <c r="AM21" s="116">
        <v>16834</v>
      </c>
      <c r="AO21" s="116">
        <v>56198.8</v>
      </c>
      <c r="AP21" s="116">
        <v>37975.975400000003</v>
      </c>
      <c r="AQ21" s="116">
        <v>52453.760133333315</v>
      </c>
      <c r="AS21" s="116">
        <v>43521.557879802647</v>
      </c>
      <c r="AT21" s="116">
        <v>57287.592120197354</v>
      </c>
      <c r="AU21" s="116">
        <v>47525.974999999999</v>
      </c>
      <c r="AX21" s="116">
        <v>81042.100000000006</v>
      </c>
      <c r="AY21" s="116">
        <v>24855.88</v>
      </c>
      <c r="AZ21" s="116">
        <v>77482.100000000006</v>
      </c>
      <c r="BA21" s="116">
        <v>42129.226000000002</v>
      </c>
      <c r="BC21" s="116">
        <f>SUM(C21:BB21)</f>
        <v>1802547.2815333335</v>
      </c>
    </row>
    <row r="22" spans="1:59" s="116" customFormat="1" x14ac:dyDescent="0.35">
      <c r="A22" s="116" t="s">
        <v>987</v>
      </c>
      <c r="C22" s="116">
        <v>765</v>
      </c>
      <c r="D22" s="116">
        <v>1491</v>
      </c>
      <c r="F22" s="116">
        <v>1833</v>
      </c>
      <c r="G22" s="116">
        <v>150</v>
      </c>
      <c r="H22" s="116">
        <v>1761</v>
      </c>
      <c r="I22" s="116">
        <v>3450.9</v>
      </c>
      <c r="K22" s="116">
        <v>6942.6</v>
      </c>
      <c r="L22" s="116">
        <v>5157.8999999999996</v>
      </c>
      <c r="O22" s="116">
        <v>0</v>
      </c>
      <c r="P22" s="116">
        <v>10552.5</v>
      </c>
      <c r="Q22" s="116">
        <v>0</v>
      </c>
      <c r="R22" s="116">
        <v>3990</v>
      </c>
      <c r="T22" s="116">
        <v>346</v>
      </c>
      <c r="U22" s="116">
        <v>0</v>
      </c>
      <c r="V22" s="116">
        <v>3120</v>
      </c>
      <c r="W22" s="116">
        <v>14881.199999999999</v>
      </c>
      <c r="X22" s="116">
        <v>0</v>
      </c>
      <c r="Z22" s="116">
        <v>1023</v>
      </c>
      <c r="AA22" s="116">
        <v>0</v>
      </c>
      <c r="AB22" s="116">
        <v>6612</v>
      </c>
      <c r="AC22" s="116">
        <v>2420.4</v>
      </c>
      <c r="AD22" s="116">
        <v>1299</v>
      </c>
      <c r="AE22" s="116">
        <v>664.1</v>
      </c>
      <c r="AF22" s="116">
        <v>43040.7</v>
      </c>
      <c r="AG22" s="116">
        <v>135614.772</v>
      </c>
      <c r="AL22" s="116">
        <v>54718.5</v>
      </c>
      <c r="AM22" s="116">
        <v>7446</v>
      </c>
      <c r="AO22" s="116">
        <v>74788.799999999988</v>
      </c>
      <c r="AP22" s="116">
        <v>54310.2</v>
      </c>
      <c r="AQ22" s="116">
        <v>11034.3</v>
      </c>
      <c r="AS22" s="116">
        <v>5651.4</v>
      </c>
      <c r="AT22" s="116">
        <v>26775</v>
      </c>
      <c r="AU22" s="116">
        <v>4315.5</v>
      </c>
      <c r="AX22" s="116">
        <v>19872</v>
      </c>
      <c r="AY22" s="116">
        <v>10037</v>
      </c>
      <c r="AZ22" s="116">
        <v>8544</v>
      </c>
      <c r="BA22" s="116">
        <v>4142.3999999999996</v>
      </c>
      <c r="BC22" s="116">
        <f>SUM(C22:BB22)</f>
        <v>526750.17200000002</v>
      </c>
    </row>
    <row r="23" spans="1:59" s="116" customFormat="1" x14ac:dyDescent="0.35">
      <c r="A23" s="116" t="s">
        <v>988</v>
      </c>
      <c r="C23" s="116">
        <v>1523</v>
      </c>
      <c r="D23" s="116">
        <v>1523</v>
      </c>
      <c r="E23" s="116">
        <v>0</v>
      </c>
      <c r="F23" s="116">
        <v>1523</v>
      </c>
      <c r="G23" s="116">
        <v>1523</v>
      </c>
      <c r="H23" s="116">
        <v>8031</v>
      </c>
      <c r="I23" s="116">
        <v>2031</v>
      </c>
      <c r="J23" s="116">
        <v>0</v>
      </c>
      <c r="K23" s="116">
        <v>7031</v>
      </c>
      <c r="L23" s="116">
        <v>2031</v>
      </c>
      <c r="M23" s="116">
        <v>998059.27</v>
      </c>
      <c r="N23" s="116">
        <v>0</v>
      </c>
      <c r="O23" s="116">
        <v>0</v>
      </c>
      <c r="P23" s="116">
        <v>0</v>
      </c>
      <c r="Q23" s="116">
        <v>0</v>
      </c>
      <c r="R23" s="116">
        <v>0</v>
      </c>
      <c r="S23" s="116">
        <v>0</v>
      </c>
      <c r="T23" s="116">
        <v>0</v>
      </c>
      <c r="U23" s="116">
        <v>2031</v>
      </c>
      <c r="V23" s="116">
        <v>2031</v>
      </c>
      <c r="W23" s="116">
        <v>2031</v>
      </c>
      <c r="X23" s="116">
        <v>1016</v>
      </c>
      <c r="Y23" s="116">
        <v>1016</v>
      </c>
      <c r="Z23" s="116">
        <v>0</v>
      </c>
      <c r="AA23" s="116">
        <v>3016</v>
      </c>
      <c r="AB23" s="116">
        <v>1016</v>
      </c>
      <c r="AC23" s="116">
        <v>1016</v>
      </c>
      <c r="AD23" s="116">
        <v>1715</v>
      </c>
      <c r="AE23" s="116">
        <v>1016</v>
      </c>
      <c r="AF23" s="116">
        <v>9716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243690</v>
      </c>
      <c r="AN23" s="116">
        <v>0</v>
      </c>
      <c r="AO23" s="116">
        <v>0</v>
      </c>
      <c r="AP23" s="116">
        <v>139440</v>
      </c>
      <c r="AQ23" s="116">
        <v>2031</v>
      </c>
      <c r="AR23" s="116">
        <v>2031</v>
      </c>
      <c r="AS23" s="116">
        <v>0</v>
      </c>
      <c r="AT23" s="116">
        <v>2031</v>
      </c>
      <c r="AU23" s="116">
        <v>2031</v>
      </c>
      <c r="AV23" s="116">
        <v>2100</v>
      </c>
      <c r="AW23" s="116">
        <v>0</v>
      </c>
      <c r="AX23" s="116">
        <v>0</v>
      </c>
      <c r="AY23" s="116">
        <v>0</v>
      </c>
      <c r="AZ23" s="116">
        <v>0</v>
      </c>
      <c r="BA23" s="116">
        <v>0</v>
      </c>
      <c r="BC23" s="116">
        <f>SUM(C23:BB23)</f>
        <v>1442249.27</v>
      </c>
    </row>
    <row r="24" spans="1:59" s="116" customFormat="1" x14ac:dyDescent="0.35">
      <c r="A24" s="116" t="s">
        <v>989</v>
      </c>
      <c r="C24" s="116">
        <f>SUM(C22:C23)</f>
        <v>2288</v>
      </c>
      <c r="D24" s="116">
        <f t="shared" ref="D24:BA24" si="2">SUM(D22:D23)</f>
        <v>3014</v>
      </c>
      <c r="E24" s="116">
        <f t="shared" si="2"/>
        <v>0</v>
      </c>
      <c r="F24" s="116">
        <f t="shared" si="2"/>
        <v>3356</v>
      </c>
      <c r="G24" s="116">
        <f t="shared" si="2"/>
        <v>1673</v>
      </c>
      <c r="H24" s="116">
        <f t="shared" si="2"/>
        <v>9792</v>
      </c>
      <c r="I24" s="116">
        <f t="shared" si="2"/>
        <v>5481.9</v>
      </c>
      <c r="J24" s="116">
        <f t="shared" si="2"/>
        <v>0</v>
      </c>
      <c r="K24" s="116">
        <f t="shared" si="2"/>
        <v>13973.6</v>
      </c>
      <c r="L24" s="116">
        <f t="shared" si="2"/>
        <v>7188.9</v>
      </c>
      <c r="M24" s="116">
        <f t="shared" si="2"/>
        <v>998059.27</v>
      </c>
      <c r="N24" s="116">
        <f t="shared" si="2"/>
        <v>0</v>
      </c>
      <c r="O24" s="116">
        <f t="shared" si="2"/>
        <v>0</v>
      </c>
      <c r="P24" s="116">
        <f t="shared" si="2"/>
        <v>10552.5</v>
      </c>
      <c r="Q24" s="116">
        <f t="shared" si="2"/>
        <v>0</v>
      </c>
      <c r="R24" s="116">
        <f t="shared" si="2"/>
        <v>3990</v>
      </c>
      <c r="S24" s="116">
        <f t="shared" si="2"/>
        <v>0</v>
      </c>
      <c r="T24" s="116">
        <f t="shared" si="2"/>
        <v>346</v>
      </c>
      <c r="U24" s="116">
        <f t="shared" si="2"/>
        <v>2031</v>
      </c>
      <c r="V24" s="116">
        <f t="shared" si="2"/>
        <v>5151</v>
      </c>
      <c r="W24" s="116">
        <f t="shared" si="2"/>
        <v>16912.199999999997</v>
      </c>
      <c r="X24" s="116">
        <f t="shared" si="2"/>
        <v>1016</v>
      </c>
      <c r="Y24" s="116">
        <f t="shared" si="2"/>
        <v>1016</v>
      </c>
      <c r="Z24" s="116">
        <f t="shared" si="2"/>
        <v>1023</v>
      </c>
      <c r="AA24" s="116">
        <f t="shared" si="2"/>
        <v>3016</v>
      </c>
      <c r="AB24" s="116">
        <f t="shared" si="2"/>
        <v>7628</v>
      </c>
      <c r="AC24" s="116">
        <f t="shared" si="2"/>
        <v>3436.4</v>
      </c>
      <c r="AD24" s="116">
        <f t="shared" si="2"/>
        <v>3014</v>
      </c>
      <c r="AE24" s="116">
        <f t="shared" si="2"/>
        <v>1680.1</v>
      </c>
      <c r="AF24" s="116">
        <f t="shared" si="2"/>
        <v>52756.7</v>
      </c>
      <c r="AG24" s="116">
        <f t="shared" si="2"/>
        <v>135614.772</v>
      </c>
      <c r="AH24" s="116">
        <f t="shared" si="2"/>
        <v>0</v>
      </c>
      <c r="AI24" s="116">
        <f t="shared" si="2"/>
        <v>0</v>
      </c>
      <c r="AJ24" s="116">
        <f t="shared" si="2"/>
        <v>0</v>
      </c>
      <c r="AK24" s="116">
        <f t="shared" si="2"/>
        <v>0</v>
      </c>
      <c r="AL24" s="116">
        <f t="shared" si="2"/>
        <v>54718.5</v>
      </c>
      <c r="AM24" s="116">
        <f t="shared" si="2"/>
        <v>251136</v>
      </c>
      <c r="AN24" s="116">
        <f t="shared" si="2"/>
        <v>0</v>
      </c>
      <c r="AO24" s="116">
        <f t="shared" si="2"/>
        <v>74788.799999999988</v>
      </c>
      <c r="AP24" s="116">
        <f t="shared" si="2"/>
        <v>193750.2</v>
      </c>
      <c r="AQ24" s="116">
        <f t="shared" si="2"/>
        <v>13065.3</v>
      </c>
      <c r="AR24" s="116">
        <f t="shared" si="2"/>
        <v>2031</v>
      </c>
      <c r="AS24" s="116">
        <f t="shared" si="2"/>
        <v>5651.4</v>
      </c>
      <c r="AT24" s="116">
        <f t="shared" si="2"/>
        <v>28806</v>
      </c>
      <c r="AU24" s="116">
        <f t="shared" si="2"/>
        <v>6346.5</v>
      </c>
      <c r="AV24" s="116">
        <f t="shared" si="2"/>
        <v>2100</v>
      </c>
      <c r="AW24" s="116">
        <f t="shared" si="2"/>
        <v>0</v>
      </c>
      <c r="AX24" s="116">
        <f t="shared" si="2"/>
        <v>19872</v>
      </c>
      <c r="AY24" s="116">
        <f t="shared" si="2"/>
        <v>10037</v>
      </c>
      <c r="AZ24" s="116">
        <f t="shared" si="2"/>
        <v>8544</v>
      </c>
      <c r="BA24" s="116">
        <f t="shared" si="2"/>
        <v>4142.3999999999996</v>
      </c>
      <c r="BC24" s="116">
        <f>SUM(C24:BB24)</f>
        <v>1968999.4419999996</v>
      </c>
    </row>
    <row r="25" spans="1:59" x14ac:dyDescent="0.35">
      <c r="A25" s="238" t="s">
        <v>499</v>
      </c>
    </row>
    <row r="26" spans="1:59" x14ac:dyDescent="0.35">
      <c r="BC26" s="116"/>
    </row>
    <row r="27" spans="1:59" x14ac:dyDescent="0.35">
      <c r="A27" s="122" t="s">
        <v>334</v>
      </c>
      <c r="B27" s="58"/>
      <c r="C27" s="58">
        <v>153094</v>
      </c>
      <c r="D27" s="58">
        <v>541041</v>
      </c>
      <c r="E27" s="58">
        <v>0</v>
      </c>
      <c r="F27" s="58">
        <v>886647</v>
      </c>
      <c r="G27" s="58">
        <v>325402</v>
      </c>
      <c r="H27" s="58">
        <v>-11539</v>
      </c>
      <c r="I27" s="58">
        <v>305721</v>
      </c>
      <c r="J27" s="58">
        <v>1086993</v>
      </c>
      <c r="K27" s="58">
        <v>52627</v>
      </c>
      <c r="L27" s="58">
        <v>67796</v>
      </c>
      <c r="M27" s="58">
        <v>0</v>
      </c>
      <c r="N27" s="58">
        <v>18144</v>
      </c>
      <c r="O27" s="58">
        <v>246983</v>
      </c>
      <c r="P27" s="58">
        <v>333148</v>
      </c>
      <c r="Q27" s="58">
        <v>34846</v>
      </c>
      <c r="R27" s="58">
        <v>497388</v>
      </c>
      <c r="S27" s="58">
        <v>97020</v>
      </c>
      <c r="T27" s="58">
        <v>54593</v>
      </c>
      <c r="U27" s="58">
        <v>-44812</v>
      </c>
      <c r="V27" s="58">
        <v>66998</v>
      </c>
      <c r="W27" s="58">
        <v>347250</v>
      </c>
      <c r="X27" s="58">
        <v>525562</v>
      </c>
      <c r="Y27" s="58">
        <v>519700</v>
      </c>
      <c r="Z27" s="58">
        <v>466171</v>
      </c>
      <c r="AA27" s="58">
        <v>654495</v>
      </c>
      <c r="AB27" s="58">
        <v>279</v>
      </c>
      <c r="AC27" s="58">
        <v>491597</v>
      </c>
      <c r="AD27" s="58">
        <v>150290</v>
      </c>
      <c r="AE27" s="58">
        <v>493040</v>
      </c>
      <c r="AF27" s="58">
        <v>-21935</v>
      </c>
      <c r="AG27" s="58">
        <v>-25204</v>
      </c>
      <c r="AH27" s="58">
        <v>128426</v>
      </c>
      <c r="AI27" s="58">
        <v>12710</v>
      </c>
      <c r="AJ27" s="58">
        <v>-644036</v>
      </c>
      <c r="AK27" s="58">
        <v>46706</v>
      </c>
      <c r="AL27" s="58">
        <v>-181728</v>
      </c>
      <c r="AM27" s="58">
        <v>-268209</v>
      </c>
      <c r="AN27" s="58">
        <v>0</v>
      </c>
      <c r="AO27" s="58">
        <v>361745</v>
      </c>
      <c r="AP27" s="58">
        <v>223120</v>
      </c>
      <c r="AQ27" s="58">
        <v>89426</v>
      </c>
      <c r="AR27" s="58">
        <v>41250</v>
      </c>
      <c r="AS27" s="58">
        <v>422675.5</v>
      </c>
      <c r="AT27" s="58">
        <v>146302.5</v>
      </c>
      <c r="AU27" s="58">
        <v>0</v>
      </c>
      <c r="AV27" s="58">
        <v>333184</v>
      </c>
      <c r="AW27" s="58">
        <v>0</v>
      </c>
      <c r="AX27" s="58">
        <v>1140967</v>
      </c>
      <c r="AY27" s="58">
        <v>625799</v>
      </c>
      <c r="AZ27" s="58">
        <v>1046309</v>
      </c>
      <c r="BA27" s="58">
        <v>134906</v>
      </c>
      <c r="BB27" s="58">
        <v>-22452139</v>
      </c>
      <c r="BC27" s="336">
        <f>SUM(B27:BA27)</f>
        <v>11972888</v>
      </c>
    </row>
    <row r="28" spans="1:59" x14ac:dyDescent="0.35">
      <c r="A28" s="122" t="s">
        <v>335</v>
      </c>
      <c r="B28" s="58"/>
      <c r="C28" s="58">
        <v>19977</v>
      </c>
      <c r="D28" s="58">
        <v>-7933</v>
      </c>
      <c r="E28" s="58">
        <v>16682</v>
      </c>
      <c r="F28" s="58">
        <v>17065</v>
      </c>
      <c r="G28" s="58">
        <v>29386</v>
      </c>
      <c r="H28" s="58">
        <v>240</v>
      </c>
      <c r="I28" s="58">
        <v>0</v>
      </c>
      <c r="J28" s="58">
        <v>62246</v>
      </c>
      <c r="K28" s="58">
        <v>-89595</v>
      </c>
      <c r="L28" s="58">
        <v>1152</v>
      </c>
      <c r="M28" s="58">
        <v>0</v>
      </c>
      <c r="N28" s="58">
        <v>0</v>
      </c>
      <c r="O28" s="58">
        <v>-9578</v>
      </c>
      <c r="P28" s="58">
        <v>19717</v>
      </c>
      <c r="Q28" s="58">
        <v>0</v>
      </c>
      <c r="R28" s="58">
        <v>39492</v>
      </c>
      <c r="S28" s="58">
        <v>61683</v>
      </c>
      <c r="T28" s="58">
        <v>-20958</v>
      </c>
      <c r="U28" s="58">
        <v>-25873</v>
      </c>
      <c r="V28" s="58">
        <v>-39071</v>
      </c>
      <c r="W28" s="58">
        <v>255144</v>
      </c>
      <c r="X28" s="58">
        <v>6200</v>
      </c>
      <c r="Y28" s="58">
        <v>9697</v>
      </c>
      <c r="Z28" s="58">
        <v>32564</v>
      </c>
      <c r="AA28" s="58">
        <v>7615</v>
      </c>
      <c r="AB28" s="58">
        <v>174792</v>
      </c>
      <c r="AC28" s="58">
        <v>8200</v>
      </c>
      <c r="AD28" s="58">
        <v>7360</v>
      </c>
      <c r="AE28" s="58">
        <v>-1844</v>
      </c>
      <c r="AF28" s="58">
        <v>-25240</v>
      </c>
      <c r="AG28" s="58">
        <v>-17537</v>
      </c>
      <c r="AH28" s="58">
        <v>0</v>
      </c>
      <c r="AI28" s="58">
        <v>13500</v>
      </c>
      <c r="AJ28" s="58">
        <v>4569</v>
      </c>
      <c r="AK28" s="58">
        <v>0</v>
      </c>
      <c r="AL28" s="58">
        <v>5254</v>
      </c>
      <c r="AM28" s="58">
        <v>-17157</v>
      </c>
      <c r="AN28" s="58">
        <v>0</v>
      </c>
      <c r="AO28" s="58">
        <v>-22069</v>
      </c>
      <c r="AP28" s="58">
        <v>9206</v>
      </c>
      <c r="AQ28" s="58">
        <v>-48772</v>
      </c>
      <c r="AR28" s="58">
        <v>0</v>
      </c>
      <c r="AS28" s="58">
        <v>36089</v>
      </c>
      <c r="AT28" s="58">
        <v>-13501</v>
      </c>
      <c r="AU28" s="58">
        <v>0</v>
      </c>
      <c r="AV28" s="58">
        <v>73231</v>
      </c>
      <c r="AW28" s="58">
        <v>0</v>
      </c>
      <c r="AX28" s="58">
        <v>30588</v>
      </c>
      <c r="AY28" s="58">
        <v>215636</v>
      </c>
      <c r="AZ28" s="58">
        <v>229861</v>
      </c>
      <c r="BA28" s="58">
        <v>0</v>
      </c>
      <c r="BB28" s="58">
        <v>0</v>
      </c>
      <c r="BC28" s="336">
        <f>SUM(B28:BA28)</f>
        <v>1048018</v>
      </c>
    </row>
    <row r="29" spans="1:59" x14ac:dyDescent="0.35">
      <c r="A29" s="122" t="s">
        <v>336</v>
      </c>
      <c r="B29" s="58"/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123375</v>
      </c>
      <c r="I29" s="58">
        <v>123375</v>
      </c>
      <c r="J29" s="58">
        <v>0</v>
      </c>
      <c r="K29" s="58">
        <v>-871129</v>
      </c>
      <c r="L29" s="58">
        <v>123375</v>
      </c>
      <c r="M29" s="58">
        <v>0</v>
      </c>
      <c r="N29" s="58">
        <v>0</v>
      </c>
      <c r="O29" s="58">
        <v>0</v>
      </c>
      <c r="P29" s="58">
        <v>-415160.5</v>
      </c>
      <c r="Q29" s="58">
        <v>0</v>
      </c>
      <c r="R29" s="58">
        <v>-233387</v>
      </c>
      <c r="S29" s="58">
        <v>0</v>
      </c>
      <c r="T29" s="58">
        <v>-183945</v>
      </c>
      <c r="U29" s="58">
        <v>-311989</v>
      </c>
      <c r="V29" s="58">
        <v>-20137</v>
      </c>
      <c r="W29" s="58">
        <v>17775</v>
      </c>
      <c r="X29" s="58">
        <v>2821</v>
      </c>
      <c r="Y29" s="58">
        <v>0</v>
      </c>
      <c r="Z29" s="58">
        <v>-293274</v>
      </c>
      <c r="AA29" s="58">
        <v>-370471</v>
      </c>
      <c r="AB29" s="58">
        <v>0</v>
      </c>
      <c r="AC29" s="58">
        <v>-524617</v>
      </c>
      <c r="AD29" s="58">
        <v>0</v>
      </c>
      <c r="AE29" s="58">
        <v>-22874</v>
      </c>
      <c r="AF29" s="58">
        <v>175000</v>
      </c>
      <c r="AG29" s="58">
        <v>624752</v>
      </c>
      <c r="AH29" s="58">
        <v>0</v>
      </c>
      <c r="AI29" s="58">
        <v>0</v>
      </c>
      <c r="AJ29" s="58">
        <v>0</v>
      </c>
      <c r="AK29" s="58">
        <v>444750</v>
      </c>
      <c r="AL29" s="58">
        <v>-307719</v>
      </c>
      <c r="AM29" s="58">
        <v>0</v>
      </c>
      <c r="AN29" s="58">
        <v>0</v>
      </c>
      <c r="AO29" s="58">
        <v>-670271</v>
      </c>
      <c r="AP29" s="58">
        <v>-204628</v>
      </c>
      <c r="AQ29" s="58">
        <v>-225333</v>
      </c>
      <c r="AR29" s="58">
        <v>0</v>
      </c>
      <c r="AS29" s="58">
        <v>-32729.5</v>
      </c>
      <c r="AT29" s="58">
        <v>132929.5</v>
      </c>
      <c r="AU29" s="58">
        <v>0</v>
      </c>
      <c r="AV29" s="58">
        <v>0</v>
      </c>
      <c r="AW29" s="58">
        <v>0</v>
      </c>
      <c r="AX29" s="58">
        <v>-733379</v>
      </c>
      <c r="AY29" s="58">
        <v>0</v>
      </c>
      <c r="AZ29" s="58">
        <v>-487378</v>
      </c>
      <c r="BA29" s="58">
        <v>0</v>
      </c>
      <c r="BB29" s="58">
        <v>0</v>
      </c>
      <c r="BC29" s="336">
        <f>SUM(B29:BA29)</f>
        <v>-4140268.5</v>
      </c>
    </row>
    <row r="30" spans="1:59" x14ac:dyDescent="0.35">
      <c r="A30" s="122" t="s">
        <v>561</v>
      </c>
      <c r="B30" s="58"/>
      <c r="C30" s="58">
        <v>900</v>
      </c>
      <c r="D30" s="58">
        <v>1725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500</v>
      </c>
      <c r="Q30" s="58">
        <v>0</v>
      </c>
      <c r="R30" s="58">
        <v>281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v>16903</v>
      </c>
      <c r="AA30" s="58">
        <v>0</v>
      </c>
      <c r="AB30" s="58">
        <v>0</v>
      </c>
      <c r="AC30" s="58">
        <v>12000</v>
      </c>
      <c r="AD30" s="58">
        <v>0</v>
      </c>
      <c r="AE30" s="58">
        <v>0</v>
      </c>
      <c r="AF30" s="58">
        <v>450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2250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300</v>
      </c>
      <c r="AY30" s="58">
        <v>4495</v>
      </c>
      <c r="AZ30" s="58">
        <v>3016</v>
      </c>
      <c r="BA30" s="58">
        <v>2473</v>
      </c>
      <c r="BB30" s="58">
        <v>0</v>
      </c>
      <c r="BC30" s="336">
        <f>SUM(B30:BA30)</f>
        <v>45293</v>
      </c>
    </row>
    <row r="31" spans="1:59" x14ac:dyDescent="0.35">
      <c r="A31" s="58"/>
      <c r="B31" s="58"/>
      <c r="C31" s="58">
        <f>SUM(C27:C30)</f>
        <v>173971</v>
      </c>
      <c r="D31" s="58">
        <f t="shared" ref="D31:BA31" si="3">SUM(D27:D30)</f>
        <v>534833</v>
      </c>
      <c r="E31" s="58">
        <f t="shared" si="3"/>
        <v>16682</v>
      </c>
      <c r="F31" s="58">
        <f t="shared" si="3"/>
        <v>903712</v>
      </c>
      <c r="G31" s="58">
        <f t="shared" si="3"/>
        <v>354788</v>
      </c>
      <c r="H31" s="58">
        <f t="shared" si="3"/>
        <v>112076</v>
      </c>
      <c r="I31" s="58">
        <f t="shared" si="3"/>
        <v>429096</v>
      </c>
      <c r="J31" s="58">
        <f t="shared" si="3"/>
        <v>1149239</v>
      </c>
      <c r="K31" s="58">
        <f t="shared" si="3"/>
        <v>-908097</v>
      </c>
      <c r="L31" s="58">
        <f t="shared" si="3"/>
        <v>192323</v>
      </c>
      <c r="M31" s="58">
        <f t="shared" si="3"/>
        <v>0</v>
      </c>
      <c r="N31" s="58">
        <f t="shared" si="3"/>
        <v>18144</v>
      </c>
      <c r="O31" s="58">
        <f t="shared" si="3"/>
        <v>237405</v>
      </c>
      <c r="P31" s="58">
        <f t="shared" si="3"/>
        <v>-61795.5</v>
      </c>
      <c r="Q31" s="58">
        <f t="shared" si="3"/>
        <v>34846</v>
      </c>
      <c r="R31" s="58">
        <f t="shared" si="3"/>
        <v>303774</v>
      </c>
      <c r="S31" s="58">
        <f t="shared" si="3"/>
        <v>158703</v>
      </c>
      <c r="T31" s="58">
        <f t="shared" si="3"/>
        <v>-150310</v>
      </c>
      <c r="U31" s="58">
        <f t="shared" si="3"/>
        <v>-382674</v>
      </c>
      <c r="V31" s="58">
        <f t="shared" si="3"/>
        <v>7790</v>
      </c>
      <c r="W31" s="58">
        <f t="shared" si="3"/>
        <v>620169</v>
      </c>
      <c r="X31" s="58">
        <f t="shared" si="3"/>
        <v>534583</v>
      </c>
      <c r="Y31" s="58">
        <f t="shared" si="3"/>
        <v>529397</v>
      </c>
      <c r="Z31" s="58">
        <f t="shared" si="3"/>
        <v>222364</v>
      </c>
      <c r="AA31" s="58">
        <f t="shared" si="3"/>
        <v>291639</v>
      </c>
      <c r="AB31" s="58">
        <f t="shared" si="3"/>
        <v>175071</v>
      </c>
      <c r="AC31" s="58">
        <f t="shared" si="3"/>
        <v>-12820</v>
      </c>
      <c r="AD31" s="58">
        <f t="shared" si="3"/>
        <v>157650</v>
      </c>
      <c r="AE31" s="58">
        <f t="shared" si="3"/>
        <v>468322</v>
      </c>
      <c r="AF31" s="58">
        <f t="shared" si="3"/>
        <v>128275</v>
      </c>
      <c r="AG31" s="58">
        <f t="shared" si="3"/>
        <v>582011</v>
      </c>
      <c r="AH31" s="58">
        <f t="shared" si="3"/>
        <v>128426</v>
      </c>
      <c r="AI31" s="58">
        <f t="shared" si="3"/>
        <v>26210</v>
      </c>
      <c r="AJ31" s="58">
        <f t="shared" si="3"/>
        <v>-639467</v>
      </c>
      <c r="AK31" s="58">
        <f t="shared" si="3"/>
        <v>491456</v>
      </c>
      <c r="AL31" s="58">
        <f t="shared" si="3"/>
        <v>-484193</v>
      </c>
      <c r="AM31" s="58">
        <f t="shared" si="3"/>
        <v>-285366</v>
      </c>
      <c r="AN31" s="58">
        <f t="shared" si="3"/>
        <v>0</v>
      </c>
      <c r="AO31" s="58">
        <f t="shared" si="3"/>
        <v>-328345</v>
      </c>
      <c r="AP31" s="58">
        <f t="shared" si="3"/>
        <v>27698</v>
      </c>
      <c r="AQ31" s="58">
        <f t="shared" si="3"/>
        <v>-184679</v>
      </c>
      <c r="AR31" s="58">
        <f t="shared" si="3"/>
        <v>41250</v>
      </c>
      <c r="AS31" s="58">
        <f t="shared" si="3"/>
        <v>426035</v>
      </c>
      <c r="AT31" s="58">
        <f t="shared" si="3"/>
        <v>265731</v>
      </c>
      <c r="AU31" s="58">
        <f t="shared" si="3"/>
        <v>0</v>
      </c>
      <c r="AV31" s="58">
        <f>SUM(AV27:AV30)</f>
        <v>406415</v>
      </c>
      <c r="AW31" s="58">
        <f>SUM(AW27:AW30)</f>
        <v>0</v>
      </c>
      <c r="AX31" s="58">
        <f t="shared" si="3"/>
        <v>438476</v>
      </c>
      <c r="AY31" s="58">
        <f t="shared" si="3"/>
        <v>845930</v>
      </c>
      <c r="AZ31" s="58">
        <f t="shared" si="3"/>
        <v>791808</v>
      </c>
      <c r="BA31" s="58">
        <f t="shared" si="3"/>
        <v>137379</v>
      </c>
      <c r="BB31" s="58">
        <f>SUM(BB27:BB30)</f>
        <v>-22452139</v>
      </c>
      <c r="BC31" s="336">
        <f>SUM(BC27:BC30)</f>
        <v>8925930.5</v>
      </c>
    </row>
    <row r="32" spans="1:59" x14ac:dyDescent="0.35">
      <c r="A32" s="58"/>
      <c r="B32" s="58" t="s">
        <v>499</v>
      </c>
      <c r="C32" s="58">
        <v>173971</v>
      </c>
      <c r="D32" s="58">
        <v>534833</v>
      </c>
      <c r="E32" s="58">
        <v>16682</v>
      </c>
      <c r="F32" s="58">
        <v>903712</v>
      </c>
      <c r="G32" s="58">
        <v>354788</v>
      </c>
      <c r="H32" s="58">
        <v>112076</v>
      </c>
      <c r="I32" s="58">
        <v>429096</v>
      </c>
      <c r="J32" s="58">
        <v>1149239</v>
      </c>
      <c r="K32" s="58">
        <v>-908097</v>
      </c>
      <c r="L32" s="58">
        <v>192323</v>
      </c>
      <c r="M32" s="58">
        <v>0</v>
      </c>
      <c r="N32" s="58">
        <v>18144</v>
      </c>
      <c r="O32" s="58">
        <v>237405</v>
      </c>
      <c r="P32" s="58">
        <v>-61795.5</v>
      </c>
      <c r="Q32" s="58">
        <v>34846</v>
      </c>
      <c r="R32" s="58">
        <v>303774</v>
      </c>
      <c r="S32" s="58">
        <v>158703</v>
      </c>
      <c r="T32" s="58">
        <v>-150310</v>
      </c>
      <c r="U32" s="58">
        <v>-382674</v>
      </c>
      <c r="V32" s="58">
        <v>7790</v>
      </c>
      <c r="W32" s="58">
        <v>620169</v>
      </c>
      <c r="X32" s="58">
        <v>534583</v>
      </c>
      <c r="Y32" s="58">
        <v>529397</v>
      </c>
      <c r="Z32" s="58">
        <v>222364</v>
      </c>
      <c r="AA32" s="58">
        <v>291639</v>
      </c>
      <c r="AB32" s="58">
        <v>175071</v>
      </c>
      <c r="AC32" s="58">
        <v>-12820</v>
      </c>
      <c r="AD32" s="58">
        <v>157650</v>
      </c>
      <c r="AE32" s="58">
        <v>468322</v>
      </c>
      <c r="AF32" s="58">
        <v>128275</v>
      </c>
      <c r="AG32" s="58">
        <v>582011</v>
      </c>
      <c r="AH32" s="58">
        <v>128426</v>
      </c>
      <c r="AI32" s="58">
        <v>26210</v>
      </c>
      <c r="AJ32" s="58">
        <v>-639467</v>
      </c>
      <c r="AK32" s="58">
        <v>491456</v>
      </c>
      <c r="AL32" s="58">
        <v>-484193</v>
      </c>
      <c r="AM32" s="58">
        <v>-285366</v>
      </c>
      <c r="AN32" s="58">
        <v>0</v>
      </c>
      <c r="AO32" s="58">
        <v>-328345</v>
      </c>
      <c r="AP32" s="58">
        <v>27698</v>
      </c>
      <c r="AQ32" s="58">
        <v>-184679</v>
      </c>
      <c r="AR32" s="58">
        <v>41250</v>
      </c>
      <c r="AS32" s="58">
        <v>426035</v>
      </c>
      <c r="AT32" s="58">
        <v>265731</v>
      </c>
      <c r="AU32" s="58">
        <v>0</v>
      </c>
      <c r="AV32" s="58">
        <v>406415</v>
      </c>
      <c r="AW32" s="58">
        <v>0</v>
      </c>
      <c r="AX32" s="58">
        <v>438476</v>
      </c>
      <c r="AY32" s="58">
        <v>845930</v>
      </c>
      <c r="AZ32" s="58">
        <v>791808</v>
      </c>
      <c r="BA32" s="58">
        <v>137379</v>
      </c>
      <c r="BB32" s="58">
        <v>-22452139</v>
      </c>
      <c r="BC32" s="336">
        <f>SUM(B32:BA32)</f>
        <v>8925930.5</v>
      </c>
    </row>
    <row r="33" spans="1:55" x14ac:dyDescent="0.35">
      <c r="A33" s="58"/>
      <c r="B33" s="58" t="s">
        <v>562</v>
      </c>
      <c r="C33" s="58">
        <f>C31-C32</f>
        <v>0</v>
      </c>
      <c r="D33" s="58">
        <f t="shared" ref="D33:BA33" si="4">D31-D32</f>
        <v>0</v>
      </c>
      <c r="E33" s="58">
        <f t="shared" si="4"/>
        <v>0</v>
      </c>
      <c r="F33" s="58">
        <f t="shared" si="4"/>
        <v>0</v>
      </c>
      <c r="G33" s="58">
        <f t="shared" si="4"/>
        <v>0</v>
      </c>
      <c r="H33" s="58">
        <f t="shared" si="4"/>
        <v>0</v>
      </c>
      <c r="I33" s="58">
        <f t="shared" si="4"/>
        <v>0</v>
      </c>
      <c r="J33" s="58">
        <f t="shared" si="4"/>
        <v>0</v>
      </c>
      <c r="K33" s="58">
        <f t="shared" si="4"/>
        <v>0</v>
      </c>
      <c r="L33" s="58">
        <f t="shared" si="4"/>
        <v>0</v>
      </c>
      <c r="M33" s="58">
        <f t="shared" si="4"/>
        <v>0</v>
      </c>
      <c r="N33" s="58">
        <f t="shared" si="4"/>
        <v>0</v>
      </c>
      <c r="O33" s="58">
        <f t="shared" si="4"/>
        <v>0</v>
      </c>
      <c r="P33" s="58">
        <f t="shared" si="4"/>
        <v>0</v>
      </c>
      <c r="Q33" s="58">
        <f t="shared" si="4"/>
        <v>0</v>
      </c>
      <c r="R33" s="58">
        <f t="shared" si="4"/>
        <v>0</v>
      </c>
      <c r="S33" s="58">
        <f t="shared" si="4"/>
        <v>0</v>
      </c>
      <c r="T33" s="58">
        <f t="shared" si="4"/>
        <v>0</v>
      </c>
      <c r="U33" s="58">
        <f t="shared" si="4"/>
        <v>0</v>
      </c>
      <c r="V33" s="58">
        <f t="shared" si="4"/>
        <v>0</v>
      </c>
      <c r="W33" s="58">
        <f t="shared" si="4"/>
        <v>0</v>
      </c>
      <c r="X33" s="58">
        <f t="shared" si="4"/>
        <v>0</v>
      </c>
      <c r="Y33" s="58">
        <f t="shared" si="4"/>
        <v>0</v>
      </c>
      <c r="Z33" s="58">
        <f t="shared" si="4"/>
        <v>0</v>
      </c>
      <c r="AA33" s="58">
        <f t="shared" si="4"/>
        <v>0</v>
      </c>
      <c r="AB33" s="58">
        <f t="shared" si="4"/>
        <v>0</v>
      </c>
      <c r="AC33" s="58">
        <f t="shared" si="4"/>
        <v>0</v>
      </c>
      <c r="AD33" s="58">
        <f t="shared" si="4"/>
        <v>0</v>
      </c>
      <c r="AE33" s="58">
        <f t="shared" si="4"/>
        <v>0</v>
      </c>
      <c r="AF33" s="58">
        <f t="shared" si="4"/>
        <v>0</v>
      </c>
      <c r="AG33" s="58">
        <f t="shared" si="4"/>
        <v>0</v>
      </c>
      <c r="AH33" s="58">
        <f t="shared" si="4"/>
        <v>0</v>
      </c>
      <c r="AI33" s="58">
        <f t="shared" si="4"/>
        <v>0</v>
      </c>
      <c r="AJ33" s="58">
        <f t="shared" si="4"/>
        <v>0</v>
      </c>
      <c r="AK33" s="58">
        <f t="shared" si="4"/>
        <v>0</v>
      </c>
      <c r="AL33" s="58">
        <f t="shared" si="4"/>
        <v>0</v>
      </c>
      <c r="AM33" s="58">
        <f t="shared" si="4"/>
        <v>0</v>
      </c>
      <c r="AN33" s="58">
        <f t="shared" si="4"/>
        <v>0</v>
      </c>
      <c r="AO33" s="58">
        <f t="shared" si="4"/>
        <v>0</v>
      </c>
      <c r="AP33" s="58">
        <f t="shared" si="4"/>
        <v>0</v>
      </c>
      <c r="AQ33" s="58">
        <f t="shared" si="4"/>
        <v>0</v>
      </c>
      <c r="AR33" s="58">
        <f t="shared" si="4"/>
        <v>0</v>
      </c>
      <c r="AS33" s="58">
        <f t="shared" si="4"/>
        <v>0</v>
      </c>
      <c r="AT33" s="58">
        <f t="shared" si="4"/>
        <v>0</v>
      </c>
      <c r="AU33" s="58">
        <f t="shared" si="4"/>
        <v>0</v>
      </c>
      <c r="AV33" s="58">
        <f>AV31-AV32</f>
        <v>0</v>
      </c>
      <c r="AW33" s="58">
        <f>AW31-AW32</f>
        <v>0</v>
      </c>
      <c r="AX33" s="58">
        <f t="shared" si="4"/>
        <v>0</v>
      </c>
      <c r="AY33" s="58">
        <f t="shared" si="4"/>
        <v>0</v>
      </c>
      <c r="AZ33" s="58">
        <f t="shared" si="4"/>
        <v>0</v>
      </c>
      <c r="BA33" s="58">
        <f t="shared" si="4"/>
        <v>0</v>
      </c>
      <c r="BB33" s="58">
        <f>BB31-BB32</f>
        <v>0</v>
      </c>
      <c r="BC33" s="336">
        <f>SUM(B33:BA33)</f>
        <v>0</v>
      </c>
    </row>
    <row r="36" spans="1:55" s="641" customFormat="1" x14ac:dyDescent="0.35"/>
    <row r="38" spans="1:55" x14ac:dyDescent="0.35">
      <c r="A38" s="642">
        <v>45413</v>
      </c>
      <c r="B38" t="s">
        <v>1066</v>
      </c>
    </row>
    <row r="39" spans="1:55" ht="15" thickBot="1" x14ac:dyDescent="0.4"/>
    <row r="40" spans="1:55" ht="15" thickBot="1" x14ac:dyDescent="0.4">
      <c r="A40" s="89"/>
      <c r="B40" s="90"/>
      <c r="C40" s="91" t="s">
        <v>4</v>
      </c>
      <c r="D40" s="91" t="s">
        <v>5</v>
      </c>
      <c r="E40" s="95" t="s">
        <v>6</v>
      </c>
      <c r="F40" s="91" t="s">
        <v>7</v>
      </c>
      <c r="G40" s="95" t="s">
        <v>8</v>
      </c>
      <c r="H40" s="91" t="s">
        <v>9</v>
      </c>
      <c r="I40" s="95" t="s">
        <v>10</v>
      </c>
      <c r="J40" s="91" t="s">
        <v>11</v>
      </c>
      <c r="K40" s="95" t="s">
        <v>12</v>
      </c>
      <c r="L40" s="91" t="s">
        <v>13</v>
      </c>
      <c r="M40" s="91" t="s">
        <v>15</v>
      </c>
      <c r="N40" s="92" t="s">
        <v>16</v>
      </c>
      <c r="O40" s="93" t="s">
        <v>17</v>
      </c>
      <c r="P40" s="93" t="s">
        <v>18</v>
      </c>
      <c r="Q40" s="93" t="s">
        <v>19</v>
      </c>
      <c r="R40" s="94" t="s">
        <v>20</v>
      </c>
      <c r="S40" s="107" t="s">
        <v>21</v>
      </c>
      <c r="T40" s="93" t="s">
        <v>22</v>
      </c>
      <c r="U40" s="93" t="s">
        <v>23</v>
      </c>
      <c r="V40" s="94" t="s">
        <v>24</v>
      </c>
      <c r="W40" s="92" t="s">
        <v>25</v>
      </c>
      <c r="X40" s="93" t="s">
        <v>26</v>
      </c>
      <c r="Y40" s="93" t="s">
        <v>27</v>
      </c>
      <c r="Z40" s="93" t="s">
        <v>28</v>
      </c>
      <c r="AA40" s="93" t="s">
        <v>29</v>
      </c>
      <c r="AB40" s="93" t="s">
        <v>30</v>
      </c>
      <c r="AC40" s="93" t="s">
        <v>31</v>
      </c>
      <c r="AD40" s="93" t="s">
        <v>32</v>
      </c>
      <c r="AE40" s="105" t="s">
        <v>33</v>
      </c>
      <c r="AF40" s="107" t="s">
        <v>34</v>
      </c>
      <c r="AG40" s="93" t="s">
        <v>35</v>
      </c>
      <c r="AH40" s="93" t="s">
        <v>36</v>
      </c>
      <c r="AI40" s="93" t="s">
        <v>37</v>
      </c>
      <c r="AJ40" s="93" t="s">
        <v>38</v>
      </c>
      <c r="AK40" s="93" t="s">
        <v>39</v>
      </c>
      <c r="AL40" s="93" t="s">
        <v>40</v>
      </c>
      <c r="AM40" s="93" t="s">
        <v>41</v>
      </c>
      <c r="AN40" s="93" t="s">
        <v>42</v>
      </c>
      <c r="AO40" s="94" t="s">
        <v>43</v>
      </c>
      <c r="AP40" s="107" t="s">
        <v>44</v>
      </c>
      <c r="AQ40" s="92" t="s">
        <v>45</v>
      </c>
      <c r="AR40" s="93" t="s">
        <v>46</v>
      </c>
      <c r="AS40" s="93" t="s">
        <v>47</v>
      </c>
      <c r="AT40" s="93" t="s">
        <v>48</v>
      </c>
      <c r="AU40" s="93" t="s">
        <v>49</v>
      </c>
      <c r="AV40" s="95" t="s">
        <v>50</v>
      </c>
      <c r="AW40" s="107" t="s">
        <v>51</v>
      </c>
      <c r="AX40" s="92" t="s">
        <v>52</v>
      </c>
      <c r="AY40" s="93" t="s">
        <v>53</v>
      </c>
      <c r="AZ40" s="93" t="s">
        <v>54</v>
      </c>
      <c r="BA40" s="94" t="s">
        <v>55</v>
      </c>
      <c r="BB40" s="95" t="s">
        <v>14</v>
      </c>
      <c r="BC40" s="104" t="s">
        <v>56</v>
      </c>
    </row>
    <row r="41" spans="1:55" s="64" customFormat="1" ht="44" thickBot="1" x14ac:dyDescent="0.4">
      <c r="A41" s="96"/>
      <c r="B41" s="97"/>
      <c r="C41" s="98" t="s">
        <v>214</v>
      </c>
      <c r="D41" s="98" t="s">
        <v>214</v>
      </c>
      <c r="E41" s="99" t="s">
        <v>214</v>
      </c>
      <c r="F41" s="98" t="s">
        <v>214</v>
      </c>
      <c r="G41" s="99" t="s">
        <v>214</v>
      </c>
      <c r="H41" s="98" t="s">
        <v>215</v>
      </c>
      <c r="I41" s="99" t="s">
        <v>215</v>
      </c>
      <c r="J41" s="100" t="s">
        <v>215</v>
      </c>
      <c r="K41" s="76" t="s">
        <v>215</v>
      </c>
      <c r="L41" s="100" t="s">
        <v>215</v>
      </c>
      <c r="M41" s="108" t="s">
        <v>226</v>
      </c>
      <c r="N41" s="101" t="s">
        <v>226</v>
      </c>
      <c r="O41" s="102" t="s">
        <v>226</v>
      </c>
      <c r="P41" s="102" t="s">
        <v>226</v>
      </c>
      <c r="Q41" s="102" t="s">
        <v>226</v>
      </c>
      <c r="R41" s="103" t="s">
        <v>226</v>
      </c>
      <c r="S41" s="108" t="s">
        <v>228</v>
      </c>
      <c r="T41" s="102" t="s">
        <v>228</v>
      </c>
      <c r="U41" s="102" t="s">
        <v>228</v>
      </c>
      <c r="V41" s="103" t="s">
        <v>228</v>
      </c>
      <c r="W41" s="101" t="s">
        <v>213</v>
      </c>
      <c r="X41" s="102" t="s">
        <v>213</v>
      </c>
      <c r="Y41" s="102" t="s">
        <v>213</v>
      </c>
      <c r="Z41" s="102" t="s">
        <v>213</v>
      </c>
      <c r="AA41" s="102" t="s">
        <v>213</v>
      </c>
      <c r="AB41" s="102" t="s">
        <v>213</v>
      </c>
      <c r="AC41" s="102" t="s">
        <v>213</v>
      </c>
      <c r="AD41" s="102" t="s">
        <v>213</v>
      </c>
      <c r="AE41" s="106" t="s">
        <v>213</v>
      </c>
      <c r="AF41" s="108" t="s">
        <v>233</v>
      </c>
      <c r="AG41" s="102" t="s">
        <v>233</v>
      </c>
      <c r="AH41" s="102" t="s">
        <v>233</v>
      </c>
      <c r="AI41" s="102" t="s">
        <v>233</v>
      </c>
      <c r="AJ41" s="102" t="s">
        <v>233</v>
      </c>
      <c r="AK41" s="102" t="s">
        <v>233</v>
      </c>
      <c r="AL41" s="102" t="s">
        <v>233</v>
      </c>
      <c r="AM41" s="102" t="s">
        <v>233</v>
      </c>
      <c r="AN41" s="102" t="s">
        <v>233</v>
      </c>
      <c r="AO41" s="103" t="s">
        <v>233</v>
      </c>
      <c r="AP41" s="108" t="s">
        <v>318</v>
      </c>
      <c r="AQ41" s="101" t="s">
        <v>318</v>
      </c>
      <c r="AR41" s="102" t="s">
        <v>318</v>
      </c>
      <c r="AS41" s="102" t="s">
        <v>318</v>
      </c>
      <c r="AT41" s="102" t="s">
        <v>318</v>
      </c>
      <c r="AU41" s="102" t="s">
        <v>235</v>
      </c>
      <c r="AV41" s="76" t="s">
        <v>318</v>
      </c>
      <c r="AW41" s="108" t="s">
        <v>235</v>
      </c>
      <c r="AX41" s="101" t="s">
        <v>235</v>
      </c>
      <c r="AY41" s="102" t="s">
        <v>235</v>
      </c>
      <c r="AZ41" s="102" t="s">
        <v>235</v>
      </c>
      <c r="BA41" s="103" t="s">
        <v>235</v>
      </c>
      <c r="BB41" s="76" t="s">
        <v>210</v>
      </c>
      <c r="BC41" s="104"/>
    </row>
    <row r="42" spans="1:55" s="64" customFormat="1" ht="44" thickBot="1" x14ac:dyDescent="0.4">
      <c r="A42" s="96"/>
      <c r="B42" s="97"/>
      <c r="C42" s="100" t="s">
        <v>216</v>
      </c>
      <c r="D42" s="100" t="s">
        <v>217</v>
      </c>
      <c r="E42" s="76" t="s">
        <v>218</v>
      </c>
      <c r="F42" s="100" t="s">
        <v>219</v>
      </c>
      <c r="G42" s="76" t="s">
        <v>220</v>
      </c>
      <c r="H42" s="100" t="s">
        <v>216</v>
      </c>
      <c r="I42" s="76" t="s">
        <v>217</v>
      </c>
      <c r="J42" s="100" t="s">
        <v>218</v>
      </c>
      <c r="K42" s="76" t="s">
        <v>221</v>
      </c>
      <c r="L42" s="100" t="s">
        <v>219</v>
      </c>
      <c r="M42" s="108" t="s">
        <v>223</v>
      </c>
      <c r="N42" s="101" t="s">
        <v>218</v>
      </c>
      <c r="O42" s="102" t="s">
        <v>224</v>
      </c>
      <c r="P42" s="102" t="s">
        <v>221</v>
      </c>
      <c r="Q42" s="102" t="s">
        <v>227</v>
      </c>
      <c r="R42" s="103" t="s">
        <v>219</v>
      </c>
      <c r="S42" s="108" t="s">
        <v>218</v>
      </c>
      <c r="T42" s="102" t="s">
        <v>221</v>
      </c>
      <c r="U42" s="102" t="s">
        <v>225</v>
      </c>
      <c r="V42" s="103" t="s">
        <v>219</v>
      </c>
      <c r="W42" s="101" t="s">
        <v>216</v>
      </c>
      <c r="X42" s="102" t="s">
        <v>217</v>
      </c>
      <c r="Y42" s="102" t="s">
        <v>218</v>
      </c>
      <c r="Z42" s="102" t="s">
        <v>221</v>
      </c>
      <c r="AA42" s="102" t="s">
        <v>225</v>
      </c>
      <c r="AB42" s="102" t="s">
        <v>230</v>
      </c>
      <c r="AC42" s="102" t="s">
        <v>231</v>
      </c>
      <c r="AD42" s="102" t="s">
        <v>232</v>
      </c>
      <c r="AE42" s="106" t="s">
        <v>220</v>
      </c>
      <c r="AF42" s="108" t="s">
        <v>216</v>
      </c>
      <c r="AG42" s="102" t="s">
        <v>217</v>
      </c>
      <c r="AH42" s="102" t="s">
        <v>218</v>
      </c>
      <c r="AI42" s="102" t="s">
        <v>218</v>
      </c>
      <c r="AJ42" s="102" t="s">
        <v>218</v>
      </c>
      <c r="AK42" s="102" t="s">
        <v>221</v>
      </c>
      <c r="AL42" s="102" t="s">
        <v>225</v>
      </c>
      <c r="AM42" s="102" t="s">
        <v>325</v>
      </c>
      <c r="AN42" s="102" t="s">
        <v>230</v>
      </c>
      <c r="AO42" s="103" t="s">
        <v>219</v>
      </c>
      <c r="AP42" s="108" t="s">
        <v>216</v>
      </c>
      <c r="AQ42" s="101" t="s">
        <v>217</v>
      </c>
      <c r="AR42" s="102" t="s">
        <v>218</v>
      </c>
      <c r="AS42" s="102" t="s">
        <v>221</v>
      </c>
      <c r="AT42" s="102" t="s">
        <v>219</v>
      </c>
      <c r="AU42" s="102" t="s">
        <v>216</v>
      </c>
      <c r="AV42" s="76" t="s">
        <v>218</v>
      </c>
      <c r="AW42" s="108" t="s">
        <v>218</v>
      </c>
      <c r="AX42" s="101" t="s">
        <v>225</v>
      </c>
      <c r="AY42" s="102" t="s">
        <v>230</v>
      </c>
      <c r="AZ42" s="102" t="s">
        <v>219</v>
      </c>
      <c r="BA42" s="103" t="s">
        <v>220</v>
      </c>
      <c r="BB42" s="76" t="s">
        <v>222</v>
      </c>
      <c r="BC42" s="104"/>
    </row>
    <row r="43" spans="1:55" x14ac:dyDescent="0.35">
      <c r="A43" s="673"/>
      <c r="B43" s="29"/>
      <c r="C43" s="674"/>
      <c r="D43" s="674"/>
      <c r="E43" s="675"/>
      <c r="F43" s="674"/>
      <c r="G43" s="675"/>
      <c r="H43" s="674"/>
      <c r="I43" s="675"/>
      <c r="J43" s="674"/>
      <c r="K43" s="675"/>
      <c r="L43" s="674"/>
      <c r="M43" s="676"/>
      <c r="N43" s="677"/>
      <c r="O43" s="678"/>
      <c r="P43" s="678"/>
      <c r="Q43" s="678"/>
      <c r="R43" s="679"/>
      <c r="S43" s="676"/>
      <c r="T43" s="678"/>
      <c r="U43" s="678"/>
      <c r="V43" s="679"/>
      <c r="W43" s="677"/>
      <c r="X43" s="678"/>
      <c r="Y43" s="678"/>
      <c r="Z43" s="678"/>
      <c r="AA43" s="678"/>
      <c r="AB43" s="678"/>
      <c r="AC43" s="678"/>
      <c r="AD43" s="678"/>
      <c r="AE43" s="680"/>
      <c r="AF43" s="676"/>
      <c r="AG43" s="678"/>
      <c r="AH43" s="678"/>
      <c r="AI43" s="678"/>
      <c r="AJ43" s="678"/>
      <c r="AK43" s="678"/>
      <c r="AL43" s="678"/>
      <c r="AM43" s="678"/>
      <c r="AN43" s="678"/>
      <c r="AO43" s="679"/>
      <c r="AP43" s="676"/>
      <c r="AQ43" s="677"/>
      <c r="AR43" s="678"/>
      <c r="AS43" s="678"/>
      <c r="AT43" s="678"/>
      <c r="AU43" s="678"/>
      <c r="AV43" s="675"/>
      <c r="AW43" s="676"/>
      <c r="AX43" s="677"/>
      <c r="AY43" s="678"/>
      <c r="AZ43" s="678"/>
      <c r="BA43" s="679"/>
      <c r="BB43" s="675"/>
      <c r="BC43" s="681"/>
    </row>
    <row r="44" spans="1:55" s="116" customFormat="1" ht="15.5" x14ac:dyDescent="0.35">
      <c r="A44" s="682" t="s">
        <v>333</v>
      </c>
      <c r="B44" s="122"/>
      <c r="C44" s="683">
        <f>SUM(C45:C47)</f>
        <v>1129073</v>
      </c>
      <c r="D44" s="683">
        <f t="shared" ref="D44:BB44" si="5">SUM(D45:D47)</f>
        <v>1714883</v>
      </c>
      <c r="E44" s="683">
        <f t="shared" si="5"/>
        <v>0</v>
      </c>
      <c r="F44" s="683">
        <f t="shared" si="5"/>
        <v>2631918</v>
      </c>
      <c r="G44" s="683">
        <f t="shared" si="5"/>
        <v>1002222</v>
      </c>
      <c r="H44" s="683">
        <f t="shared" si="5"/>
        <v>2493334.35</v>
      </c>
      <c r="I44" s="683">
        <f t="shared" si="5"/>
        <v>3326424.66</v>
      </c>
      <c r="J44" s="683">
        <f t="shared" si="5"/>
        <v>0</v>
      </c>
      <c r="K44" s="683">
        <f t="shared" si="5"/>
        <v>3984786.7300000004</v>
      </c>
      <c r="L44" s="683">
        <f t="shared" si="5"/>
        <v>3010361.2899999996</v>
      </c>
      <c r="M44" s="683">
        <f t="shared" si="5"/>
        <v>0</v>
      </c>
      <c r="N44" s="683">
        <f t="shared" si="5"/>
        <v>0</v>
      </c>
      <c r="O44" s="683">
        <f t="shared" si="5"/>
        <v>3587899.43</v>
      </c>
      <c r="P44" s="683">
        <f t="shared" si="5"/>
        <v>2212192.98</v>
      </c>
      <c r="Q44" s="683">
        <f t="shared" si="5"/>
        <v>0</v>
      </c>
      <c r="R44" s="683">
        <f t="shared" si="5"/>
        <v>3351096.61</v>
      </c>
      <c r="S44" s="683">
        <f t="shared" si="5"/>
        <v>0</v>
      </c>
      <c r="T44" s="683">
        <f t="shared" si="5"/>
        <v>1527687.07</v>
      </c>
      <c r="U44" s="683">
        <f t="shared" si="5"/>
        <v>2172270.16</v>
      </c>
      <c r="V44" s="683">
        <f t="shared" si="5"/>
        <v>2540497.79</v>
      </c>
      <c r="W44" s="683">
        <f t="shared" si="5"/>
        <v>1757226.8199999998</v>
      </c>
      <c r="X44" s="683">
        <f t="shared" si="5"/>
        <v>1885754.1</v>
      </c>
      <c r="Y44" s="683">
        <f t="shared" si="5"/>
        <v>0</v>
      </c>
      <c r="Z44" s="683">
        <f t="shared" si="5"/>
        <v>3611780.1500000004</v>
      </c>
      <c r="AA44" s="683">
        <f t="shared" si="5"/>
        <v>4497668.5199999996</v>
      </c>
      <c r="AB44" s="683">
        <f t="shared" si="5"/>
        <v>400493.08999999997</v>
      </c>
      <c r="AC44" s="683">
        <f t="shared" si="5"/>
        <v>1935602.2199999997</v>
      </c>
      <c r="AD44" s="683">
        <f t="shared" si="5"/>
        <v>1673124.73</v>
      </c>
      <c r="AE44" s="683">
        <f t="shared" si="5"/>
        <v>2013957.83</v>
      </c>
      <c r="AF44" s="683">
        <f t="shared" si="5"/>
        <v>1914673.2</v>
      </c>
      <c r="AG44" s="683">
        <f t="shared" si="5"/>
        <v>3941961.21</v>
      </c>
      <c r="AH44" s="683">
        <f t="shared" si="5"/>
        <v>0</v>
      </c>
      <c r="AI44" s="683">
        <f t="shared" si="5"/>
        <v>0</v>
      </c>
      <c r="AJ44" s="683">
        <f t="shared" si="5"/>
        <v>0</v>
      </c>
      <c r="AK44" s="683">
        <f t="shared" si="5"/>
        <v>3849811.79</v>
      </c>
      <c r="AL44" s="683">
        <f t="shared" si="5"/>
        <v>4919270.17</v>
      </c>
      <c r="AM44" s="683">
        <f t="shared" si="5"/>
        <v>1081472.6200000001</v>
      </c>
      <c r="AN44" s="683">
        <f t="shared" si="5"/>
        <v>340050.75</v>
      </c>
      <c r="AO44" s="683">
        <f t="shared" si="5"/>
        <v>5958542.4299999997</v>
      </c>
      <c r="AP44" s="683">
        <f t="shared" si="5"/>
        <v>2241207.29</v>
      </c>
      <c r="AQ44" s="683">
        <f t="shared" si="5"/>
        <v>1955951.21</v>
      </c>
      <c r="AR44" s="683">
        <f t="shared" si="5"/>
        <v>0</v>
      </c>
      <c r="AS44" s="683">
        <f t="shared" si="5"/>
        <v>2031000.14</v>
      </c>
      <c r="AT44" s="683">
        <f t="shared" si="5"/>
        <v>1868661.26</v>
      </c>
      <c r="AU44" s="683">
        <f t="shared" si="5"/>
        <v>1270316.76</v>
      </c>
      <c r="AV44" s="683">
        <f t="shared" si="5"/>
        <v>0</v>
      </c>
      <c r="AW44" s="683">
        <f t="shared" si="5"/>
        <v>0</v>
      </c>
      <c r="AX44" s="683">
        <f t="shared" si="5"/>
        <v>3709647.68</v>
      </c>
      <c r="AY44" s="683">
        <f t="shared" si="5"/>
        <v>1291214.45</v>
      </c>
      <c r="AZ44" s="683">
        <f t="shared" si="5"/>
        <v>5010814.43</v>
      </c>
      <c r="BA44" s="683">
        <f t="shared" si="5"/>
        <v>635952.43000000005</v>
      </c>
      <c r="BB44" s="683">
        <f t="shared" si="5"/>
        <v>0</v>
      </c>
      <c r="BC44" s="683">
        <f>SUM(C44:BB44)</f>
        <v>94480802.350000024</v>
      </c>
    </row>
    <row r="45" spans="1:55" s="116" customFormat="1" x14ac:dyDescent="0.35">
      <c r="A45" s="122" t="s">
        <v>334</v>
      </c>
      <c r="B45" s="122"/>
      <c r="C45" s="122">
        <v>920132</v>
      </c>
      <c r="D45" s="122">
        <v>1472335</v>
      </c>
      <c r="E45" s="122"/>
      <c r="F45" s="122">
        <v>2234138</v>
      </c>
      <c r="G45" s="122">
        <v>891435</v>
      </c>
      <c r="H45" s="122">
        <v>1746291</v>
      </c>
      <c r="I45" s="122">
        <v>2378881.84</v>
      </c>
      <c r="J45" s="122"/>
      <c r="K45" s="122">
        <v>1878428.08</v>
      </c>
      <c r="L45" s="122">
        <v>2226082.0099999998</v>
      </c>
      <c r="M45" s="122"/>
      <c r="N45" s="122"/>
      <c r="O45" s="122">
        <v>3195563</v>
      </c>
      <c r="P45" s="122">
        <v>1033801.22</v>
      </c>
      <c r="Q45" s="122"/>
      <c r="R45" s="122">
        <v>2541110.31</v>
      </c>
      <c r="S45" s="122"/>
      <c r="T45" s="122">
        <v>871269.5</v>
      </c>
      <c r="U45" s="122">
        <v>1479762.45</v>
      </c>
      <c r="V45" s="122">
        <v>1834894.79</v>
      </c>
      <c r="W45" s="122">
        <v>1319281.3</v>
      </c>
      <c r="X45" s="122">
        <v>1634771.04</v>
      </c>
      <c r="Y45" s="122"/>
      <c r="Z45" s="122">
        <v>1967758.29</v>
      </c>
      <c r="AA45" s="122">
        <v>3784585.82</v>
      </c>
      <c r="AB45" s="122">
        <v>263804.31</v>
      </c>
      <c r="AC45" s="122">
        <v>1538536.21</v>
      </c>
      <c r="AD45" s="122">
        <v>1481058.98</v>
      </c>
      <c r="AE45" s="122">
        <v>1416199.42</v>
      </c>
      <c r="AF45" s="122">
        <v>1263234.18</v>
      </c>
      <c r="AG45" s="122">
        <v>3205068.35</v>
      </c>
      <c r="AH45" s="122"/>
      <c r="AI45" s="122"/>
      <c r="AJ45" s="122"/>
      <c r="AK45" s="122">
        <v>1713449.8</v>
      </c>
      <c r="AL45" s="122">
        <v>3426582.83</v>
      </c>
      <c r="AM45" s="122">
        <v>742974.52</v>
      </c>
      <c r="AN45" s="122">
        <v>263204.75</v>
      </c>
      <c r="AO45" s="122">
        <v>4409614.0199999996</v>
      </c>
      <c r="AP45" s="122">
        <v>1524453.4</v>
      </c>
      <c r="AQ45" s="122">
        <v>1620644.5</v>
      </c>
      <c r="AR45" s="122"/>
      <c r="AS45" s="122">
        <v>993781.04</v>
      </c>
      <c r="AT45" s="122">
        <v>1508651.73</v>
      </c>
      <c r="AU45" s="122">
        <v>1016582.64</v>
      </c>
      <c r="AV45" s="122"/>
      <c r="AW45" s="122"/>
      <c r="AX45" s="122">
        <v>2888495.45</v>
      </c>
      <c r="AY45" s="122">
        <v>806129.86</v>
      </c>
      <c r="AZ45" s="122">
        <v>3550774.29</v>
      </c>
      <c r="BA45" s="122">
        <v>498263.58</v>
      </c>
      <c r="BB45" s="122"/>
      <c r="BC45" s="122">
        <f>SUM(C45:BB45)</f>
        <v>67542024.50999999</v>
      </c>
    </row>
    <row r="46" spans="1:55" s="116" customFormat="1" x14ac:dyDescent="0.35">
      <c r="A46" s="122" t="s">
        <v>335</v>
      </c>
      <c r="B46" s="122"/>
      <c r="C46" s="122">
        <v>208941</v>
      </c>
      <c r="D46" s="122">
        <v>242548</v>
      </c>
      <c r="E46" s="122"/>
      <c r="F46" s="122">
        <v>397780</v>
      </c>
      <c r="G46" s="122">
        <v>110787</v>
      </c>
      <c r="H46" s="122">
        <v>372443.37</v>
      </c>
      <c r="I46" s="122">
        <v>358578.24</v>
      </c>
      <c r="J46" s="122"/>
      <c r="K46" s="122">
        <v>309100.03000000003</v>
      </c>
      <c r="L46" s="122">
        <v>389215.42</v>
      </c>
      <c r="M46" s="122"/>
      <c r="N46" s="122"/>
      <c r="O46" s="122">
        <v>392336.43</v>
      </c>
      <c r="P46" s="122">
        <v>288699.40000000002</v>
      </c>
      <c r="Q46" s="122"/>
      <c r="R46" s="122">
        <v>257390.88</v>
      </c>
      <c r="S46" s="122"/>
      <c r="T46" s="122">
        <v>233085.82</v>
      </c>
      <c r="U46" s="122">
        <v>227123</v>
      </c>
      <c r="V46" s="122">
        <v>388681</v>
      </c>
      <c r="W46" s="122">
        <v>321186.87</v>
      </c>
      <c r="X46" s="122">
        <v>250983.06</v>
      </c>
      <c r="Y46" s="122"/>
      <c r="Z46" s="122">
        <v>361321.78</v>
      </c>
      <c r="AA46" s="122">
        <v>286992.2</v>
      </c>
      <c r="AB46" s="122">
        <v>132422.78</v>
      </c>
      <c r="AC46" s="122">
        <v>143041.10999999999</v>
      </c>
      <c r="AD46" s="122">
        <v>192065.75</v>
      </c>
      <c r="AE46" s="122">
        <v>144754.01</v>
      </c>
      <c r="AF46" s="122">
        <v>347552.72</v>
      </c>
      <c r="AG46" s="122">
        <v>281984.99</v>
      </c>
      <c r="AH46" s="122"/>
      <c r="AI46" s="122"/>
      <c r="AJ46" s="122"/>
      <c r="AK46" s="122">
        <v>363622.35</v>
      </c>
      <c r="AL46" s="122">
        <v>440765.64</v>
      </c>
      <c r="AM46" s="122">
        <v>338498.1</v>
      </c>
      <c r="AN46" s="122">
        <v>76846</v>
      </c>
      <c r="AO46" s="122">
        <v>947227.76</v>
      </c>
      <c r="AP46" s="122">
        <v>256200.72</v>
      </c>
      <c r="AQ46" s="122">
        <v>151609.79999999999</v>
      </c>
      <c r="AR46" s="122"/>
      <c r="AS46" s="122">
        <v>143286.38</v>
      </c>
      <c r="AT46" s="122">
        <v>181395.44</v>
      </c>
      <c r="AU46" s="122">
        <v>214197.87</v>
      </c>
      <c r="AV46" s="122"/>
      <c r="AW46" s="122"/>
      <c r="AX46" s="122">
        <v>342132.08</v>
      </c>
      <c r="AY46" s="122">
        <v>485084.59</v>
      </c>
      <c r="AZ46" s="122">
        <v>742187.18</v>
      </c>
      <c r="BA46" s="122">
        <v>78704.600000000006</v>
      </c>
      <c r="BB46" s="122"/>
      <c r="BC46" s="122">
        <f t="shared" ref="BC46:BC57" si="6">SUM(C46:BB46)</f>
        <v>11400773.369999999</v>
      </c>
    </row>
    <row r="47" spans="1:55" s="116" customFormat="1" x14ac:dyDescent="0.35">
      <c r="A47" s="122" t="s">
        <v>336</v>
      </c>
      <c r="B47" s="122"/>
      <c r="C47" s="122">
        <v>0</v>
      </c>
      <c r="D47" s="122">
        <v>0</v>
      </c>
      <c r="E47" s="122"/>
      <c r="F47" s="122">
        <v>0</v>
      </c>
      <c r="G47" s="122">
        <v>0</v>
      </c>
      <c r="H47" s="122">
        <v>374599.98</v>
      </c>
      <c r="I47" s="122">
        <v>588964.57999999996</v>
      </c>
      <c r="J47" s="122"/>
      <c r="K47" s="122">
        <v>1797258.62</v>
      </c>
      <c r="L47" s="122">
        <v>395063.86</v>
      </c>
      <c r="M47" s="122"/>
      <c r="N47" s="122"/>
      <c r="O47" s="122">
        <v>0</v>
      </c>
      <c r="P47" s="122">
        <v>889692.36</v>
      </c>
      <c r="Q47" s="122"/>
      <c r="R47" s="122">
        <v>552595.42000000004</v>
      </c>
      <c r="S47" s="122"/>
      <c r="T47" s="122">
        <v>423331.75</v>
      </c>
      <c r="U47" s="122">
        <v>465384.71</v>
      </c>
      <c r="V47" s="122">
        <v>316922</v>
      </c>
      <c r="W47" s="122">
        <v>116758.65</v>
      </c>
      <c r="X47" s="122">
        <v>0</v>
      </c>
      <c r="Y47" s="122"/>
      <c r="Z47" s="122">
        <v>1282700.08</v>
      </c>
      <c r="AA47" s="122">
        <v>426090.5</v>
      </c>
      <c r="AB47" s="122">
        <v>4266</v>
      </c>
      <c r="AC47" s="122">
        <v>254024.9</v>
      </c>
      <c r="AD47" s="122">
        <v>0</v>
      </c>
      <c r="AE47" s="122">
        <v>453004.4</v>
      </c>
      <c r="AF47" s="122">
        <v>303886.3</v>
      </c>
      <c r="AG47" s="122">
        <v>454907.87</v>
      </c>
      <c r="AH47" s="122"/>
      <c r="AI47" s="122"/>
      <c r="AJ47" s="122"/>
      <c r="AK47" s="122">
        <v>1772739.64</v>
      </c>
      <c r="AL47" s="122">
        <v>1051921.7</v>
      </c>
      <c r="AM47" s="122">
        <v>0</v>
      </c>
      <c r="AN47" s="122">
        <v>0</v>
      </c>
      <c r="AO47" s="122">
        <v>601700.65</v>
      </c>
      <c r="AP47" s="122">
        <v>460553.17</v>
      </c>
      <c r="AQ47" s="122">
        <v>183696.91</v>
      </c>
      <c r="AR47" s="122"/>
      <c r="AS47" s="122">
        <v>893932.72</v>
      </c>
      <c r="AT47" s="122">
        <v>178614.09</v>
      </c>
      <c r="AU47" s="122">
        <v>39536.25</v>
      </c>
      <c r="AV47" s="122"/>
      <c r="AW47" s="122"/>
      <c r="AX47" s="122">
        <v>479020.15</v>
      </c>
      <c r="AY47" s="122">
        <v>0</v>
      </c>
      <c r="AZ47" s="122">
        <v>717852.96</v>
      </c>
      <c r="BA47" s="122">
        <v>58984.25</v>
      </c>
      <c r="BB47" s="122"/>
      <c r="BC47" s="122">
        <f t="shared" si="6"/>
        <v>15538004.470000003</v>
      </c>
    </row>
    <row r="48" spans="1:55" s="116" customFormat="1" x14ac:dyDescent="0.35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</row>
    <row r="49" spans="1:55" s="116" customFormat="1" x14ac:dyDescent="0.35">
      <c r="A49" s="683" t="s">
        <v>337</v>
      </c>
      <c r="B49" s="122"/>
      <c r="C49" s="683">
        <f>SUM(C50:C52)</f>
        <v>336832.35</v>
      </c>
      <c r="D49" s="683">
        <f t="shared" ref="D49:BB49" si="7">SUM(D50:D52)</f>
        <v>665079.76</v>
      </c>
      <c r="E49" s="683">
        <f t="shared" si="7"/>
        <v>0</v>
      </c>
      <c r="F49" s="683">
        <f t="shared" si="7"/>
        <v>800741.09000000008</v>
      </c>
      <c r="G49" s="683">
        <f t="shared" si="7"/>
        <v>459170.31000000006</v>
      </c>
      <c r="H49" s="683">
        <f t="shared" si="7"/>
        <v>745035.08622689324</v>
      </c>
      <c r="I49" s="683">
        <f t="shared" si="7"/>
        <v>914200.20789504319</v>
      </c>
      <c r="J49" s="683">
        <f t="shared" si="7"/>
        <v>0</v>
      </c>
      <c r="K49" s="683">
        <f t="shared" si="7"/>
        <v>1135041.2038438115</v>
      </c>
      <c r="L49" s="683">
        <f t="shared" si="7"/>
        <v>1140877.7837303698</v>
      </c>
      <c r="M49" s="683">
        <f t="shared" si="7"/>
        <v>0</v>
      </c>
      <c r="N49" s="683">
        <f t="shared" si="7"/>
        <v>0</v>
      </c>
      <c r="O49" s="683">
        <f t="shared" si="7"/>
        <v>846244.44000000018</v>
      </c>
      <c r="P49" s="683">
        <f t="shared" si="7"/>
        <v>790282.31559219048</v>
      </c>
      <c r="Q49" s="683">
        <f t="shared" si="7"/>
        <v>0</v>
      </c>
      <c r="R49" s="683">
        <f t="shared" si="7"/>
        <v>1034596.2831619047</v>
      </c>
      <c r="S49" s="683">
        <f t="shared" si="7"/>
        <v>0</v>
      </c>
      <c r="T49" s="683">
        <f t="shared" si="7"/>
        <v>505453</v>
      </c>
      <c r="U49" s="683">
        <f t="shared" si="7"/>
        <v>619652.39999999991</v>
      </c>
      <c r="V49" s="683">
        <f t="shared" si="7"/>
        <v>774874.28</v>
      </c>
      <c r="W49" s="683">
        <f t="shared" si="7"/>
        <v>435322.36999999994</v>
      </c>
      <c r="X49" s="683">
        <f t="shared" si="7"/>
        <v>595127.6</v>
      </c>
      <c r="Y49" s="683">
        <f t="shared" si="7"/>
        <v>0</v>
      </c>
      <c r="Z49" s="683">
        <f t="shared" si="7"/>
        <v>1076950.5899999999</v>
      </c>
      <c r="AA49" s="683">
        <f t="shared" si="7"/>
        <v>1571085.4920194491</v>
      </c>
      <c r="AB49" s="683">
        <f t="shared" si="7"/>
        <v>183301.56000000006</v>
      </c>
      <c r="AC49" s="683">
        <f t="shared" si="7"/>
        <v>627880.47710405407</v>
      </c>
      <c r="AD49" s="683">
        <f t="shared" si="7"/>
        <v>591046.25</v>
      </c>
      <c r="AE49" s="683">
        <f t="shared" si="7"/>
        <v>749405.75550888886</v>
      </c>
      <c r="AF49" s="683">
        <f t="shared" si="7"/>
        <v>515227.76200000005</v>
      </c>
      <c r="AG49" s="683">
        <f t="shared" si="7"/>
        <v>1110237.3266999999</v>
      </c>
      <c r="AH49" s="683">
        <f t="shared" si="7"/>
        <v>0</v>
      </c>
      <c r="AI49" s="683">
        <f t="shared" si="7"/>
        <v>0</v>
      </c>
      <c r="AJ49" s="683">
        <f t="shared" si="7"/>
        <v>0</v>
      </c>
      <c r="AK49" s="683">
        <f t="shared" si="7"/>
        <v>1602258.9923999999</v>
      </c>
      <c r="AL49" s="683">
        <f t="shared" si="7"/>
        <v>1706352.4590107326</v>
      </c>
      <c r="AM49" s="683">
        <f t="shared" si="7"/>
        <v>530999.31500000006</v>
      </c>
      <c r="AN49" s="683">
        <f t="shared" si="7"/>
        <v>64653.560000000012</v>
      </c>
      <c r="AO49" s="683">
        <f t="shared" si="7"/>
        <v>1727697.8109000002</v>
      </c>
      <c r="AP49" s="683">
        <f t="shared" si="7"/>
        <v>591053.7358511592</v>
      </c>
      <c r="AQ49" s="683">
        <f t="shared" si="7"/>
        <v>513165.07569983549</v>
      </c>
      <c r="AR49" s="683">
        <f t="shared" si="7"/>
        <v>0</v>
      </c>
      <c r="AS49" s="683">
        <f t="shared" si="7"/>
        <v>756028.5251801773</v>
      </c>
      <c r="AT49" s="683">
        <f t="shared" si="7"/>
        <v>533166.63857755763</v>
      </c>
      <c r="AU49" s="683">
        <f t="shared" si="7"/>
        <v>271280.35408143542</v>
      </c>
      <c r="AV49" s="683">
        <f t="shared" si="7"/>
        <v>0</v>
      </c>
      <c r="AW49" s="683">
        <f t="shared" si="7"/>
        <v>0</v>
      </c>
      <c r="AX49" s="683">
        <f t="shared" si="7"/>
        <v>1646439.8190763786</v>
      </c>
      <c r="AY49" s="683">
        <f t="shared" si="7"/>
        <v>373657.15447666694</v>
      </c>
      <c r="AZ49" s="683">
        <f t="shared" si="7"/>
        <v>1556272.2831999995</v>
      </c>
      <c r="BA49" s="683">
        <f t="shared" si="7"/>
        <v>278976.93332210963</v>
      </c>
      <c r="BB49" s="683">
        <f t="shared" si="7"/>
        <v>0</v>
      </c>
      <c r="BC49" s="683">
        <f t="shared" si="6"/>
        <v>30375668.350558653</v>
      </c>
    </row>
    <row r="50" spans="1:55" s="116" customFormat="1" x14ac:dyDescent="0.35">
      <c r="A50" s="122" t="s">
        <v>334</v>
      </c>
      <c r="B50" s="122"/>
      <c r="C50" s="122">
        <v>336832.35</v>
      </c>
      <c r="D50" s="122">
        <v>665079.76</v>
      </c>
      <c r="E50" s="122"/>
      <c r="F50" s="122">
        <v>800741.09000000008</v>
      </c>
      <c r="G50" s="122">
        <v>459170.31000000006</v>
      </c>
      <c r="H50" s="122">
        <v>625348.4927468932</v>
      </c>
      <c r="I50" s="122">
        <v>722860.75481504318</v>
      </c>
      <c r="J50" s="122"/>
      <c r="K50" s="122">
        <v>545976.67619269399</v>
      </c>
      <c r="L50" s="122">
        <v>1012767.9653703698</v>
      </c>
      <c r="M50" s="122"/>
      <c r="N50" s="122"/>
      <c r="O50" s="122">
        <v>846244.44000000018</v>
      </c>
      <c r="P50" s="122">
        <v>361901.7900000001</v>
      </c>
      <c r="Q50" s="122"/>
      <c r="R50" s="122">
        <v>819613.35999999987</v>
      </c>
      <c r="S50" s="122"/>
      <c r="T50" s="122">
        <v>351612</v>
      </c>
      <c r="U50" s="122">
        <v>522957.89999999997</v>
      </c>
      <c r="V50" s="122">
        <v>687720.28</v>
      </c>
      <c r="W50" s="122">
        <v>405649.41999999993</v>
      </c>
      <c r="X50" s="122">
        <v>595127.6</v>
      </c>
      <c r="Y50" s="122"/>
      <c r="Z50" s="122">
        <v>697563.59</v>
      </c>
      <c r="AA50" s="122">
        <v>1413930.9920194491</v>
      </c>
      <c r="AB50" s="122">
        <v>183301.56000000006</v>
      </c>
      <c r="AC50" s="122">
        <v>561310.95710405405</v>
      </c>
      <c r="AD50" s="122">
        <v>591046.25</v>
      </c>
      <c r="AE50" s="122">
        <v>577243.1</v>
      </c>
      <c r="AF50" s="122">
        <v>430538.73500000004</v>
      </c>
      <c r="AG50" s="122">
        <v>925738.09999999986</v>
      </c>
      <c r="AH50" s="122"/>
      <c r="AI50" s="122"/>
      <c r="AJ50" s="122"/>
      <c r="AK50" s="122">
        <v>952594.1399999999</v>
      </c>
      <c r="AL50" s="122">
        <v>1395896.7560107326</v>
      </c>
      <c r="AM50" s="122">
        <v>530999.31500000006</v>
      </c>
      <c r="AN50" s="122">
        <v>64653.560000000012</v>
      </c>
      <c r="AO50" s="122">
        <v>1401890</v>
      </c>
      <c r="AP50" s="122">
        <v>505684.60459999996</v>
      </c>
      <c r="AQ50" s="122">
        <v>439877.30000000016</v>
      </c>
      <c r="AR50" s="122"/>
      <c r="AS50" s="122">
        <v>289034.44609244243</v>
      </c>
      <c r="AT50" s="122">
        <v>492668.72390755761</v>
      </c>
      <c r="AU50" s="122">
        <v>259941.69658143545</v>
      </c>
      <c r="AV50" s="122"/>
      <c r="AW50" s="122"/>
      <c r="AX50" s="122">
        <v>1408725.152374929</v>
      </c>
      <c r="AY50" s="122">
        <v>373657.15447666694</v>
      </c>
      <c r="AZ50" s="122">
        <v>1198144.8149999995</v>
      </c>
      <c r="BA50" s="122">
        <v>265076.5638221096</v>
      </c>
      <c r="BB50" s="122"/>
      <c r="BC50" s="122">
        <f t="shared" si="6"/>
        <v>24719121.701114375</v>
      </c>
    </row>
    <row r="51" spans="1:55" s="116" customFormat="1" x14ac:dyDescent="0.35">
      <c r="A51" s="122" t="s">
        <v>335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>
        <f t="shared" si="6"/>
        <v>0</v>
      </c>
    </row>
    <row r="52" spans="1:55" s="116" customFormat="1" x14ac:dyDescent="0.35">
      <c r="A52" s="122" t="s">
        <v>336</v>
      </c>
      <c r="B52" s="122"/>
      <c r="C52" s="122"/>
      <c r="D52" s="122"/>
      <c r="E52" s="122"/>
      <c r="F52" s="122"/>
      <c r="G52" s="122"/>
      <c r="H52" s="122">
        <v>119686.59348</v>
      </c>
      <c r="I52" s="122">
        <v>191339.45308000001</v>
      </c>
      <c r="J52" s="122"/>
      <c r="K52" s="122">
        <v>589064.52765111765</v>
      </c>
      <c r="L52" s="122">
        <v>128109.81836</v>
      </c>
      <c r="M52" s="122"/>
      <c r="N52" s="122"/>
      <c r="O52" s="122">
        <v>0</v>
      </c>
      <c r="P52" s="122">
        <v>428380.52559219045</v>
      </c>
      <c r="Q52" s="122"/>
      <c r="R52" s="122">
        <v>214982.92316190479</v>
      </c>
      <c r="S52" s="122"/>
      <c r="T52" s="122">
        <v>153841</v>
      </c>
      <c r="U52" s="122">
        <v>96694.5</v>
      </c>
      <c r="V52" s="122">
        <v>87154</v>
      </c>
      <c r="W52" s="122">
        <v>29672.949999999997</v>
      </c>
      <c r="X52" s="122">
        <v>0</v>
      </c>
      <c r="Y52" s="122"/>
      <c r="Z52" s="122">
        <v>379387</v>
      </c>
      <c r="AA52" s="122">
        <v>157154.5</v>
      </c>
      <c r="AB52" s="122">
        <v>0</v>
      </c>
      <c r="AC52" s="122">
        <v>66569.520000000048</v>
      </c>
      <c r="AD52" s="122">
        <v>0</v>
      </c>
      <c r="AE52" s="122">
        <v>172162.65550888891</v>
      </c>
      <c r="AF52" s="122">
        <v>84689.026999999987</v>
      </c>
      <c r="AG52" s="122">
        <v>184499.2267</v>
      </c>
      <c r="AH52" s="122"/>
      <c r="AI52" s="122"/>
      <c r="AJ52" s="122"/>
      <c r="AK52" s="122">
        <v>649664.85239999986</v>
      </c>
      <c r="AL52" s="122">
        <v>310455.70299999998</v>
      </c>
      <c r="AM52" s="122"/>
      <c r="AN52" s="122"/>
      <c r="AO52" s="122">
        <v>325807.81090000016</v>
      </c>
      <c r="AP52" s="122">
        <v>85369.13125115924</v>
      </c>
      <c r="AQ52" s="122">
        <v>73287.775699835329</v>
      </c>
      <c r="AR52" s="122"/>
      <c r="AS52" s="122">
        <v>466994.07908773486</v>
      </c>
      <c r="AT52" s="122">
        <v>40497.914669999998</v>
      </c>
      <c r="AU52" s="122">
        <v>11338.657499999999</v>
      </c>
      <c r="AV52" s="122"/>
      <c r="AW52" s="122"/>
      <c r="AX52" s="122">
        <v>237714.66670144949</v>
      </c>
      <c r="AY52" s="122">
        <v>0</v>
      </c>
      <c r="AZ52" s="122">
        <v>358127.4682</v>
      </c>
      <c r="BA52" s="122">
        <v>13900.369500000001</v>
      </c>
      <c r="BB52" s="122"/>
      <c r="BC52" s="122">
        <f t="shared" si="6"/>
        <v>5656546.6494442793</v>
      </c>
    </row>
    <row r="53" spans="1:55" s="116" customFormat="1" x14ac:dyDescent="0.35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4" spans="1:55" s="116" customFormat="1" x14ac:dyDescent="0.35">
      <c r="A54" s="122" t="s">
        <v>1107</v>
      </c>
      <c r="B54" s="122"/>
      <c r="C54" s="122">
        <v>49132.55</v>
      </c>
      <c r="D54" s="122">
        <v>59795.38</v>
      </c>
      <c r="E54" s="122"/>
      <c r="F54" s="122">
        <v>77201.2</v>
      </c>
      <c r="G54" s="122">
        <v>36312.199999999997</v>
      </c>
      <c r="H54" s="122">
        <v>33684.449876543214</v>
      </c>
      <c r="I54" s="122">
        <v>33755.54049382716</v>
      </c>
      <c r="J54" s="122"/>
      <c r="K54" s="122">
        <v>52386.267037037032</v>
      </c>
      <c r="L54" s="122">
        <v>63972.182592592588</v>
      </c>
      <c r="M54" s="122"/>
      <c r="N54" s="122"/>
      <c r="O54" s="122">
        <v>43860.7</v>
      </c>
      <c r="P54" s="122">
        <v>35112.81</v>
      </c>
      <c r="Q54" s="122"/>
      <c r="R54" s="122">
        <v>73310.2</v>
      </c>
      <c r="S54" s="122"/>
      <c r="T54" s="122">
        <v>52773</v>
      </c>
      <c r="U54" s="122">
        <v>89329.93</v>
      </c>
      <c r="V54" s="122">
        <v>65149</v>
      </c>
      <c r="W54" s="122">
        <v>26637.599999999999</v>
      </c>
      <c r="X54" s="122">
        <v>36229</v>
      </c>
      <c r="Y54" s="122"/>
      <c r="Z54" s="122">
        <v>63986</v>
      </c>
      <c r="AA54" s="122">
        <v>94073.8</v>
      </c>
      <c r="AB54" s="122">
        <v>1182</v>
      </c>
      <c r="AC54" s="122">
        <v>65381.4</v>
      </c>
      <c r="AD54" s="122">
        <v>26814</v>
      </c>
      <c r="AE54" s="122">
        <v>27260</v>
      </c>
      <c r="AF54" s="122">
        <v>46758</v>
      </c>
      <c r="AG54" s="122">
        <v>93637</v>
      </c>
      <c r="AH54" s="122"/>
      <c r="AI54" s="122"/>
      <c r="AJ54" s="122"/>
      <c r="AK54" s="122">
        <v>86145.5</v>
      </c>
      <c r="AL54" s="122">
        <v>118038</v>
      </c>
      <c r="AM54" s="122">
        <v>34230</v>
      </c>
      <c r="AN54" s="122">
        <v>49198</v>
      </c>
      <c r="AO54" s="122">
        <v>87467.8</v>
      </c>
      <c r="AP54" s="122">
        <v>44306.815399999999</v>
      </c>
      <c r="AQ54" s="122">
        <v>64074.559999999998</v>
      </c>
      <c r="AR54" s="122"/>
      <c r="AS54" s="122">
        <v>42259.021008868971</v>
      </c>
      <c r="AT54" s="122">
        <v>59373.628991131023</v>
      </c>
      <c r="AU54" s="122">
        <v>32221.761399999996</v>
      </c>
      <c r="AV54" s="122"/>
      <c r="AW54" s="122"/>
      <c r="AX54" s="122">
        <v>66301.7</v>
      </c>
      <c r="AY54" s="122">
        <v>16162.96</v>
      </c>
      <c r="AZ54" s="122">
        <v>47590.09</v>
      </c>
      <c r="BA54" s="122">
        <v>23440.1</v>
      </c>
      <c r="BB54" s="122"/>
      <c r="BC54" s="122">
        <f t="shared" si="6"/>
        <v>2018544.1468000002</v>
      </c>
    </row>
    <row r="55" spans="1:55" s="116" customFormat="1" x14ac:dyDescent="0.35">
      <c r="A55" s="122" t="s">
        <v>1108</v>
      </c>
      <c r="B55" s="122"/>
      <c r="C55" s="122">
        <v>3764.7</v>
      </c>
      <c r="D55" s="122">
        <v>11180.66</v>
      </c>
      <c r="E55" s="122"/>
      <c r="F55" s="122">
        <v>17212.5</v>
      </c>
      <c r="G55" s="122">
        <v>3442.5</v>
      </c>
      <c r="H55" s="122">
        <v>4263</v>
      </c>
      <c r="I55" s="122">
        <v>4241.1000000000004</v>
      </c>
      <c r="J55" s="122"/>
      <c r="K55" s="122">
        <v>283235.7</v>
      </c>
      <c r="L55" s="122">
        <v>9677.7000000000007</v>
      </c>
      <c r="M55" s="122"/>
      <c r="N55" s="122"/>
      <c r="O55" s="122">
        <v>0</v>
      </c>
      <c r="P55" s="122">
        <v>12915</v>
      </c>
      <c r="Q55" s="122"/>
      <c r="R55" s="122">
        <v>31447.1</v>
      </c>
      <c r="S55" s="122"/>
      <c r="T55" s="122">
        <v>3578</v>
      </c>
      <c r="U55" s="122">
        <v>1195.5</v>
      </c>
      <c r="V55" s="122">
        <v>1485</v>
      </c>
      <c r="W55" s="122">
        <v>10831.8</v>
      </c>
      <c r="X55" s="122">
        <v>0</v>
      </c>
      <c r="Y55" s="122"/>
      <c r="Z55" s="122">
        <v>285</v>
      </c>
      <c r="AA55" s="122">
        <v>32180</v>
      </c>
      <c r="AB55" s="122">
        <v>1194</v>
      </c>
      <c r="AC55" s="122">
        <v>25664.400000000001</v>
      </c>
      <c r="AD55" s="122">
        <v>527.4</v>
      </c>
      <c r="AE55" s="122">
        <v>13071.3</v>
      </c>
      <c r="AF55" s="122">
        <v>15306.599999999999</v>
      </c>
      <c r="AG55" s="122">
        <v>26247</v>
      </c>
      <c r="AH55" s="122"/>
      <c r="AI55" s="122"/>
      <c r="AJ55" s="122"/>
      <c r="AK55" s="122">
        <v>78011.5</v>
      </c>
      <c r="AL55" s="122">
        <v>50059.5</v>
      </c>
      <c r="AM55" s="122">
        <v>11290</v>
      </c>
      <c r="AN55" s="122">
        <v>5420.7</v>
      </c>
      <c r="AO55" s="122">
        <v>36623</v>
      </c>
      <c r="AP55" s="122">
        <v>72209.399999999994</v>
      </c>
      <c r="AQ55" s="122">
        <v>19446</v>
      </c>
      <c r="AR55" s="122"/>
      <c r="AS55" s="122">
        <v>3299.7</v>
      </c>
      <c r="AT55" s="122">
        <v>6003</v>
      </c>
      <c r="AU55" s="122">
        <v>11941.215</v>
      </c>
      <c r="AV55" s="122"/>
      <c r="AW55" s="122"/>
      <c r="AX55" s="122">
        <v>29130</v>
      </c>
      <c r="AY55" s="122">
        <v>5188.2</v>
      </c>
      <c r="AZ55" s="122">
        <v>11895</v>
      </c>
      <c r="BA55" s="122">
        <v>16345.8</v>
      </c>
      <c r="BB55" s="122"/>
      <c r="BC55" s="122">
        <f t="shared" si="6"/>
        <v>869808.97499999986</v>
      </c>
    </row>
    <row r="56" spans="1:55" s="116" customFormat="1" x14ac:dyDescent="0.35">
      <c r="A56" s="122" t="s">
        <v>1109</v>
      </c>
      <c r="B56" s="122"/>
      <c r="C56" s="122">
        <v>1102.5</v>
      </c>
      <c r="D56" s="122">
        <v>2742</v>
      </c>
      <c r="E56" s="122"/>
      <c r="F56" s="122">
        <v>5062.5</v>
      </c>
      <c r="G56" s="122">
        <v>0</v>
      </c>
      <c r="H56" s="122">
        <v>5622</v>
      </c>
      <c r="I56" s="122">
        <v>0</v>
      </c>
      <c r="J56" s="122"/>
      <c r="K56" s="122">
        <v>6528</v>
      </c>
      <c r="L56" s="122">
        <v>382.5</v>
      </c>
      <c r="M56" s="122"/>
      <c r="N56" s="122"/>
      <c r="O56" s="122">
        <v>0</v>
      </c>
      <c r="P56" s="122">
        <v>16889</v>
      </c>
      <c r="Q56" s="122"/>
      <c r="R56" s="122">
        <v>3819</v>
      </c>
      <c r="S56" s="122"/>
      <c r="T56" s="122">
        <v>13366</v>
      </c>
      <c r="U56" s="122">
        <v>13510.5</v>
      </c>
      <c r="V56" s="122">
        <v>9414</v>
      </c>
      <c r="W56" s="122">
        <v>6110.0999999999995</v>
      </c>
      <c r="X56" s="122">
        <v>432</v>
      </c>
      <c r="Y56" s="122"/>
      <c r="Z56" s="122">
        <v>12273</v>
      </c>
      <c r="AA56" s="122">
        <v>15732</v>
      </c>
      <c r="AB56" s="122">
        <v>1374</v>
      </c>
      <c r="AC56" s="122">
        <v>20022.400000000001</v>
      </c>
      <c r="AD56" s="122">
        <v>864</v>
      </c>
      <c r="AE56" s="122">
        <v>5550.5999999999995</v>
      </c>
      <c r="AF56" s="122">
        <v>6532.2</v>
      </c>
      <c r="AG56" s="122">
        <v>14568</v>
      </c>
      <c r="AH56" s="122"/>
      <c r="AI56" s="122"/>
      <c r="AJ56" s="122"/>
      <c r="AK56" s="122">
        <v>60905.9</v>
      </c>
      <c r="AL56" s="122">
        <v>8097</v>
      </c>
      <c r="AM56" s="122">
        <v>0</v>
      </c>
      <c r="AN56" s="122">
        <v>289.5</v>
      </c>
      <c r="AO56" s="122">
        <v>33090</v>
      </c>
      <c r="AP56" s="122">
        <v>12202.5</v>
      </c>
      <c r="AQ56" s="122">
        <v>6339</v>
      </c>
      <c r="AR56" s="122"/>
      <c r="AS56" s="122">
        <v>27192.9</v>
      </c>
      <c r="AT56" s="122">
        <v>28770</v>
      </c>
      <c r="AU56" s="122">
        <v>1236</v>
      </c>
      <c r="AV56" s="122"/>
      <c r="AW56" s="122"/>
      <c r="AX56" s="122">
        <v>2291.6999999999998</v>
      </c>
      <c r="AY56" s="122">
        <v>4375.5</v>
      </c>
      <c r="AZ56" s="122">
        <v>11085</v>
      </c>
      <c r="BA56" s="122">
        <v>1884.9</v>
      </c>
      <c r="BB56" s="122"/>
      <c r="BC56" s="122">
        <f t="shared" si="6"/>
        <v>359656.20000000007</v>
      </c>
    </row>
    <row r="57" spans="1:55" s="116" customFormat="1" x14ac:dyDescent="0.35">
      <c r="A57" s="122"/>
      <c r="B57" s="122"/>
      <c r="C57" s="683">
        <f>SUM(C54:C56)</f>
        <v>53999.75</v>
      </c>
      <c r="D57" s="683">
        <f t="shared" ref="D57:BB57" si="8">SUM(D54:D56)</f>
        <v>73718.039999999994</v>
      </c>
      <c r="E57" s="683">
        <f t="shared" si="8"/>
        <v>0</v>
      </c>
      <c r="F57" s="683">
        <f t="shared" si="8"/>
        <v>99476.2</v>
      </c>
      <c r="G57" s="683">
        <f t="shared" si="8"/>
        <v>39754.699999999997</v>
      </c>
      <c r="H57" s="683">
        <f t="shared" si="8"/>
        <v>43569.449876543214</v>
      </c>
      <c r="I57" s="683">
        <f t="shared" si="8"/>
        <v>37996.640493827159</v>
      </c>
      <c r="J57" s="683">
        <f t="shared" si="8"/>
        <v>0</v>
      </c>
      <c r="K57" s="683">
        <f t="shared" si="8"/>
        <v>342149.96703703701</v>
      </c>
      <c r="L57" s="683">
        <f t="shared" si="8"/>
        <v>74032.382592592592</v>
      </c>
      <c r="M57" s="683">
        <f t="shared" si="8"/>
        <v>0</v>
      </c>
      <c r="N57" s="683">
        <f t="shared" si="8"/>
        <v>0</v>
      </c>
      <c r="O57" s="683">
        <f t="shared" si="8"/>
        <v>43860.7</v>
      </c>
      <c r="P57" s="683">
        <f t="shared" si="8"/>
        <v>64916.81</v>
      </c>
      <c r="Q57" s="683">
        <f t="shared" si="8"/>
        <v>0</v>
      </c>
      <c r="R57" s="683">
        <f t="shared" si="8"/>
        <v>108576.29999999999</v>
      </c>
      <c r="S57" s="683">
        <f t="shared" si="8"/>
        <v>0</v>
      </c>
      <c r="T57" s="683">
        <f t="shared" si="8"/>
        <v>69717</v>
      </c>
      <c r="U57" s="683">
        <f t="shared" si="8"/>
        <v>104035.93</v>
      </c>
      <c r="V57" s="683">
        <f t="shared" si="8"/>
        <v>76048</v>
      </c>
      <c r="W57" s="683">
        <f t="shared" si="8"/>
        <v>43579.499999999993</v>
      </c>
      <c r="X57" s="683">
        <f t="shared" si="8"/>
        <v>36661</v>
      </c>
      <c r="Y57" s="683">
        <f t="shared" si="8"/>
        <v>0</v>
      </c>
      <c r="Z57" s="683">
        <f t="shared" si="8"/>
        <v>76544</v>
      </c>
      <c r="AA57" s="683">
        <f t="shared" si="8"/>
        <v>141985.79999999999</v>
      </c>
      <c r="AB57" s="683">
        <f t="shared" si="8"/>
        <v>3750</v>
      </c>
      <c r="AC57" s="683">
        <f t="shared" si="8"/>
        <v>111068.20000000001</v>
      </c>
      <c r="AD57" s="683">
        <f t="shared" si="8"/>
        <v>28205.4</v>
      </c>
      <c r="AE57" s="683">
        <f t="shared" si="8"/>
        <v>45881.9</v>
      </c>
      <c r="AF57" s="683">
        <f t="shared" si="8"/>
        <v>68596.800000000003</v>
      </c>
      <c r="AG57" s="683">
        <f t="shared" si="8"/>
        <v>134452</v>
      </c>
      <c r="AH57" s="683">
        <f t="shared" si="8"/>
        <v>0</v>
      </c>
      <c r="AI57" s="683">
        <f t="shared" si="8"/>
        <v>0</v>
      </c>
      <c r="AJ57" s="683">
        <f t="shared" si="8"/>
        <v>0</v>
      </c>
      <c r="AK57" s="683">
        <f t="shared" si="8"/>
        <v>225062.9</v>
      </c>
      <c r="AL57" s="683">
        <f t="shared" si="8"/>
        <v>176194.5</v>
      </c>
      <c r="AM57" s="683">
        <f t="shared" si="8"/>
        <v>45520</v>
      </c>
      <c r="AN57" s="683">
        <f t="shared" si="8"/>
        <v>54908.2</v>
      </c>
      <c r="AO57" s="683">
        <f t="shared" si="8"/>
        <v>157180.79999999999</v>
      </c>
      <c r="AP57" s="683">
        <f t="shared" si="8"/>
        <v>128718.71539999999</v>
      </c>
      <c r="AQ57" s="683">
        <f t="shared" si="8"/>
        <v>89859.56</v>
      </c>
      <c r="AR57" s="683">
        <f t="shared" si="8"/>
        <v>0</v>
      </c>
      <c r="AS57" s="683">
        <f t="shared" si="8"/>
        <v>72751.62100886897</v>
      </c>
      <c r="AT57" s="683">
        <f t="shared" si="8"/>
        <v>94146.62899113103</v>
      </c>
      <c r="AU57" s="683">
        <f t="shared" si="8"/>
        <v>45398.9764</v>
      </c>
      <c r="AV57" s="683">
        <f t="shared" si="8"/>
        <v>0</v>
      </c>
      <c r="AW57" s="683">
        <f t="shared" si="8"/>
        <v>0</v>
      </c>
      <c r="AX57" s="683">
        <f t="shared" si="8"/>
        <v>97723.4</v>
      </c>
      <c r="AY57" s="683">
        <f t="shared" si="8"/>
        <v>25726.66</v>
      </c>
      <c r="AZ57" s="683">
        <f t="shared" si="8"/>
        <v>70570.09</v>
      </c>
      <c r="BA57" s="683">
        <f t="shared" si="8"/>
        <v>41670.799999999996</v>
      </c>
      <c r="BB57" s="683">
        <f t="shared" si="8"/>
        <v>0</v>
      </c>
      <c r="BC57" s="683">
        <f t="shared" si="6"/>
        <v>3248009.3217999996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R66"/>
  <sheetViews>
    <sheetView workbookViewId="0">
      <pane xSplit="3" ySplit="4" topLeftCell="U5" activePane="bottomRight" state="frozen"/>
      <selection pane="topRight" activeCell="D1" sqref="D1"/>
      <selection pane="bottomLeft" activeCell="A5" sqref="A5"/>
      <selection pane="bottomRight" activeCell="AD9" sqref="AD9"/>
    </sheetView>
  </sheetViews>
  <sheetFormatPr defaultRowHeight="14.5" x14ac:dyDescent="0.35"/>
  <cols>
    <col min="2" max="2" width="10.81640625" customWidth="1"/>
    <col min="3" max="3" width="37" customWidth="1"/>
    <col min="4" max="4" width="22.90625" bestFit="1" customWidth="1"/>
    <col min="5" max="5" width="19.08984375" style="116" customWidth="1"/>
    <col min="6" max="6" width="16.7265625" hidden="1" customWidth="1"/>
    <col min="7" max="9" width="14.54296875" hidden="1" customWidth="1"/>
    <col min="10" max="10" width="13.81640625" hidden="1" customWidth="1"/>
    <col min="11" max="11" width="13.453125" hidden="1" customWidth="1"/>
    <col min="12" max="12" width="11.26953125" hidden="1" customWidth="1"/>
    <col min="13" max="13" width="12.08984375" hidden="1" customWidth="1"/>
    <col min="14" max="14" width="12.453125" hidden="1" customWidth="1"/>
    <col min="15" max="16" width="13.08984375" hidden="1" customWidth="1"/>
    <col min="17" max="17" width="14.36328125" bestFit="1" customWidth="1"/>
    <col min="18" max="18" width="12.1796875" bestFit="1" customWidth="1"/>
    <col min="19" max="19" width="8.81640625" hidden="1" customWidth="1"/>
    <col min="20" max="20" width="12.1796875" bestFit="1" customWidth="1"/>
    <col min="21" max="21" width="11.1796875" bestFit="1" customWidth="1"/>
    <col min="22" max="23" width="12.1796875" bestFit="1" customWidth="1"/>
    <col min="24" max="24" width="10.81640625" hidden="1" customWidth="1"/>
    <col min="25" max="26" width="12.1796875" bestFit="1" customWidth="1"/>
    <col min="27" max="29" width="8.81640625" hidden="1" customWidth="1"/>
    <col min="30" max="31" width="12.1796875" bestFit="1" customWidth="1"/>
    <col min="32" max="32" width="11.1796875" hidden="1" customWidth="1"/>
    <col min="33" max="33" width="12.1796875" bestFit="1" customWidth="1"/>
    <col min="34" max="34" width="8.81640625" hidden="1" customWidth="1"/>
    <col min="35" max="39" width="12.1796875" bestFit="1" customWidth="1"/>
    <col min="40" max="40" width="8.81640625" hidden="1" customWidth="1"/>
    <col min="41" max="42" width="12.1796875" bestFit="1" customWidth="1"/>
    <col min="43" max="43" width="11.1796875" bestFit="1" customWidth="1"/>
    <col min="44" max="48" width="12.1796875" bestFit="1" customWidth="1"/>
    <col min="49" max="51" width="8.81640625" hidden="1" customWidth="1"/>
    <col min="52" max="52" width="9.6328125" bestFit="1" customWidth="1"/>
    <col min="53" max="53" width="12.1796875" bestFit="1" customWidth="1"/>
    <col min="54" max="54" width="11.1796875" bestFit="1" customWidth="1"/>
    <col min="55" max="55" width="8.81640625" customWidth="1"/>
    <col min="56" max="58" width="12.1796875" bestFit="1" customWidth="1"/>
    <col min="59" max="59" width="8.81640625" hidden="1" customWidth="1"/>
    <col min="60" max="62" width="12.1796875" bestFit="1" customWidth="1"/>
    <col min="63" max="64" width="8.81640625" hidden="1" customWidth="1"/>
    <col min="65" max="67" width="12.1796875" bestFit="1" customWidth="1"/>
    <col min="68" max="68" width="11.1796875" bestFit="1" customWidth="1"/>
  </cols>
  <sheetData>
    <row r="1" spans="1:68" ht="15" thickBot="1" x14ac:dyDescent="0.4">
      <c r="Q1" s="309">
        <v>0.1298</v>
      </c>
      <c r="R1" s="309">
        <v>0.1298</v>
      </c>
      <c r="S1" s="309">
        <v>0.1298</v>
      </c>
      <c r="T1" s="309">
        <v>0.1298</v>
      </c>
      <c r="U1" s="309">
        <v>0.1298</v>
      </c>
      <c r="V1" s="309">
        <v>0.1298</v>
      </c>
      <c r="W1" s="309">
        <v>0.1298</v>
      </c>
      <c r="X1" s="309">
        <v>0.1298</v>
      </c>
      <c r="Y1" s="309">
        <v>0.1298</v>
      </c>
      <c r="Z1" s="309">
        <v>0.1298</v>
      </c>
      <c r="AA1" s="309">
        <v>0.1298</v>
      </c>
      <c r="AB1" s="309">
        <v>0.1298</v>
      </c>
      <c r="AC1" s="309">
        <v>0.1298</v>
      </c>
      <c r="AD1" s="309">
        <v>0.1298</v>
      </c>
      <c r="AE1" s="309">
        <v>0.1298</v>
      </c>
      <c r="AF1" s="309">
        <v>0.1298</v>
      </c>
      <c r="AG1" s="309">
        <v>0.1298</v>
      </c>
      <c r="AH1" s="309">
        <v>0.10619999999999999</v>
      </c>
      <c r="AI1" s="309">
        <v>0.10619999999999999</v>
      </c>
      <c r="AJ1" s="309">
        <v>0.10619999999999999</v>
      </c>
      <c r="AK1" s="309">
        <v>0.10619999999999999</v>
      </c>
      <c r="AL1" s="309">
        <v>0.10619999999999999</v>
      </c>
      <c r="AM1" s="309">
        <v>0.10619999999999999</v>
      </c>
      <c r="AN1" s="309">
        <v>0.10619999999999999</v>
      </c>
      <c r="AO1" s="309">
        <v>0.10619999999999999</v>
      </c>
      <c r="AP1" s="309">
        <v>0.10619999999999999</v>
      </c>
      <c r="AQ1" s="309">
        <v>0.10619999999999999</v>
      </c>
      <c r="AR1" s="309">
        <v>0.10619999999999999</v>
      </c>
      <c r="AS1" s="309">
        <v>0.10619999999999999</v>
      </c>
      <c r="AT1" s="309">
        <v>0.10619999999999999</v>
      </c>
      <c r="AU1" s="309">
        <v>0.1298</v>
      </c>
      <c r="AV1" s="309">
        <v>0.1298</v>
      </c>
      <c r="AW1" s="309">
        <v>0.1298</v>
      </c>
      <c r="AX1" s="309">
        <v>0.1298</v>
      </c>
      <c r="AY1" s="309">
        <v>0.1298</v>
      </c>
      <c r="AZ1" s="309">
        <v>0.1298</v>
      </c>
      <c r="BA1" s="309">
        <v>0.1298</v>
      </c>
      <c r="BB1" s="309">
        <v>0.1298</v>
      </c>
      <c r="BC1" s="309">
        <v>0.1298</v>
      </c>
      <c r="BD1" s="309">
        <v>0.1298</v>
      </c>
      <c r="BE1" s="309">
        <v>0.1298</v>
      </c>
      <c r="BF1" s="309">
        <v>0.1298</v>
      </c>
      <c r="BG1" s="309">
        <v>0.1298</v>
      </c>
      <c r="BH1" s="309">
        <v>0.1298</v>
      </c>
      <c r="BI1" s="309">
        <v>0.1298</v>
      </c>
      <c r="BJ1" s="309">
        <v>0.1298</v>
      </c>
      <c r="BK1" s="309">
        <v>0.1298</v>
      </c>
      <c r="BL1" s="309">
        <v>0.1298</v>
      </c>
      <c r="BM1" s="309">
        <v>0.1298</v>
      </c>
      <c r="BN1" s="309">
        <v>0.1298</v>
      </c>
      <c r="BO1" s="309">
        <v>0.1298</v>
      </c>
      <c r="BP1" s="309">
        <v>0.1298</v>
      </c>
    </row>
    <row r="2" spans="1:68" s="64" customFormat="1" ht="44" thickBot="1" x14ac:dyDescent="0.4">
      <c r="A2" s="823" t="s">
        <v>275</v>
      </c>
      <c r="B2" s="825" t="s">
        <v>495</v>
      </c>
      <c r="C2" s="827" t="s">
        <v>273</v>
      </c>
      <c r="D2" s="829" t="s">
        <v>956</v>
      </c>
      <c r="E2" s="831" t="s">
        <v>573</v>
      </c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60" t="s">
        <v>214</v>
      </c>
      <c r="R2" s="361" t="s">
        <v>214</v>
      </c>
      <c r="S2" s="361" t="s">
        <v>214</v>
      </c>
      <c r="T2" s="361" t="s">
        <v>214</v>
      </c>
      <c r="U2" s="362" t="s">
        <v>214</v>
      </c>
      <c r="V2" s="363" t="s">
        <v>215</v>
      </c>
      <c r="W2" s="364" t="s">
        <v>215</v>
      </c>
      <c r="X2" s="365" t="s">
        <v>215</v>
      </c>
      <c r="Y2" s="365" t="s">
        <v>215</v>
      </c>
      <c r="Z2" s="366" t="s">
        <v>215</v>
      </c>
      <c r="AA2" s="367" t="s">
        <v>210</v>
      </c>
      <c r="AB2" s="368" t="s">
        <v>226</v>
      </c>
      <c r="AC2" s="365" t="s">
        <v>226</v>
      </c>
      <c r="AD2" s="365" t="s">
        <v>226</v>
      </c>
      <c r="AE2" s="365" t="s">
        <v>226</v>
      </c>
      <c r="AF2" s="365" t="s">
        <v>226</v>
      </c>
      <c r="AG2" s="366" t="s">
        <v>226</v>
      </c>
      <c r="AH2" s="368" t="s">
        <v>228</v>
      </c>
      <c r="AI2" s="365" t="s">
        <v>228</v>
      </c>
      <c r="AJ2" s="365" t="s">
        <v>228</v>
      </c>
      <c r="AK2" s="366" t="s">
        <v>228</v>
      </c>
      <c r="AL2" s="368" t="s">
        <v>213</v>
      </c>
      <c r="AM2" s="365" t="s">
        <v>213</v>
      </c>
      <c r="AN2" s="365" t="s">
        <v>213</v>
      </c>
      <c r="AO2" s="365" t="s">
        <v>213</v>
      </c>
      <c r="AP2" s="365" t="s">
        <v>213</v>
      </c>
      <c r="AQ2" s="365" t="s">
        <v>213</v>
      </c>
      <c r="AR2" s="365" t="s">
        <v>213</v>
      </c>
      <c r="AS2" s="365" t="s">
        <v>213</v>
      </c>
      <c r="AT2" s="366" t="s">
        <v>213</v>
      </c>
      <c r="AU2" s="368" t="s">
        <v>233</v>
      </c>
      <c r="AV2" s="365" t="s">
        <v>233</v>
      </c>
      <c r="AW2" s="365" t="s">
        <v>233</v>
      </c>
      <c r="AX2" s="365" t="s">
        <v>233</v>
      </c>
      <c r="AY2" s="365" t="s">
        <v>233</v>
      </c>
      <c r="AZ2" s="365" t="s">
        <v>233</v>
      </c>
      <c r="BA2" s="365" t="s">
        <v>233</v>
      </c>
      <c r="BB2" s="365" t="s">
        <v>233</v>
      </c>
      <c r="BC2" s="365" t="s">
        <v>233</v>
      </c>
      <c r="BD2" s="366" t="s">
        <v>233</v>
      </c>
      <c r="BE2" s="368" t="s">
        <v>318</v>
      </c>
      <c r="BF2" s="365" t="s">
        <v>318</v>
      </c>
      <c r="BG2" s="365" t="s">
        <v>318</v>
      </c>
      <c r="BH2" s="365" t="s">
        <v>318</v>
      </c>
      <c r="BI2" s="372" t="s">
        <v>318</v>
      </c>
      <c r="BJ2" s="368" t="s">
        <v>235</v>
      </c>
      <c r="BK2" s="365" t="s">
        <v>318</v>
      </c>
      <c r="BL2" s="366" t="s">
        <v>318</v>
      </c>
      <c r="BM2" s="373" t="s">
        <v>235</v>
      </c>
      <c r="BN2" s="365" t="s">
        <v>235</v>
      </c>
      <c r="BO2" s="365" t="s">
        <v>235</v>
      </c>
      <c r="BP2" s="366" t="s">
        <v>235</v>
      </c>
    </row>
    <row r="3" spans="1:68" s="64" customFormat="1" ht="54.5" thickBot="1" x14ac:dyDescent="0.4">
      <c r="A3" s="824"/>
      <c r="B3" s="826"/>
      <c r="C3" s="828"/>
      <c r="D3" s="830"/>
      <c r="E3" s="832"/>
      <c r="F3" s="436" t="s">
        <v>276</v>
      </c>
      <c r="G3" s="437" t="s">
        <v>277</v>
      </c>
      <c r="H3" s="437" t="s">
        <v>278</v>
      </c>
      <c r="I3" s="437" t="s">
        <v>279</v>
      </c>
      <c r="J3" s="437" t="s">
        <v>280</v>
      </c>
      <c r="K3" s="437" t="s">
        <v>281</v>
      </c>
      <c r="L3" s="437" t="s">
        <v>282</v>
      </c>
      <c r="M3" s="438" t="s">
        <v>283</v>
      </c>
      <c r="N3" s="438" t="s">
        <v>284</v>
      </c>
      <c r="O3" s="437" t="s">
        <v>285</v>
      </c>
      <c r="P3" s="439" t="s">
        <v>286</v>
      </c>
      <c r="Q3" s="440" t="s">
        <v>216</v>
      </c>
      <c r="R3" s="441" t="s">
        <v>217</v>
      </c>
      <c r="S3" s="441" t="s">
        <v>218</v>
      </c>
      <c r="T3" s="441" t="s">
        <v>219</v>
      </c>
      <c r="U3" s="442" t="s">
        <v>220</v>
      </c>
      <c r="V3" s="443" t="s">
        <v>216</v>
      </c>
      <c r="W3" s="444" t="s">
        <v>217</v>
      </c>
      <c r="X3" s="444" t="s">
        <v>218</v>
      </c>
      <c r="Y3" s="444" t="s">
        <v>221</v>
      </c>
      <c r="Z3" s="445" t="s">
        <v>219</v>
      </c>
      <c r="AA3" s="446" t="s">
        <v>222</v>
      </c>
      <c r="AB3" s="443" t="s">
        <v>223</v>
      </c>
      <c r="AC3" s="444" t="s">
        <v>218</v>
      </c>
      <c r="AD3" s="444" t="s">
        <v>224</v>
      </c>
      <c r="AE3" s="444" t="s">
        <v>221</v>
      </c>
      <c r="AF3" s="444" t="s">
        <v>227</v>
      </c>
      <c r="AG3" s="445" t="s">
        <v>219</v>
      </c>
      <c r="AH3" s="443" t="s">
        <v>218</v>
      </c>
      <c r="AI3" s="444" t="s">
        <v>221</v>
      </c>
      <c r="AJ3" s="444" t="s">
        <v>225</v>
      </c>
      <c r="AK3" s="445" t="s">
        <v>219</v>
      </c>
      <c r="AL3" s="443" t="s">
        <v>216</v>
      </c>
      <c r="AM3" s="444" t="s">
        <v>217</v>
      </c>
      <c r="AN3" s="444" t="s">
        <v>218</v>
      </c>
      <c r="AO3" s="444" t="s">
        <v>221</v>
      </c>
      <c r="AP3" s="444" t="s">
        <v>225</v>
      </c>
      <c r="AQ3" s="444" t="s">
        <v>230</v>
      </c>
      <c r="AR3" s="444" t="s">
        <v>231</v>
      </c>
      <c r="AS3" s="444" t="s">
        <v>232</v>
      </c>
      <c r="AT3" s="445" t="s">
        <v>220</v>
      </c>
      <c r="AU3" s="443" t="s">
        <v>216</v>
      </c>
      <c r="AV3" s="444" t="s">
        <v>217</v>
      </c>
      <c r="AW3" s="444" t="s">
        <v>218</v>
      </c>
      <c r="AX3" s="444" t="s">
        <v>218</v>
      </c>
      <c r="AY3" s="444" t="s">
        <v>218</v>
      </c>
      <c r="AZ3" s="444" t="s">
        <v>221</v>
      </c>
      <c r="BA3" s="444" t="s">
        <v>225</v>
      </c>
      <c r="BB3" s="444" t="s">
        <v>325</v>
      </c>
      <c r="BC3" s="444" t="s">
        <v>230</v>
      </c>
      <c r="BD3" s="445" t="s">
        <v>219</v>
      </c>
      <c r="BE3" s="443" t="s">
        <v>216</v>
      </c>
      <c r="BF3" s="444" t="s">
        <v>217</v>
      </c>
      <c r="BG3" s="444" t="s">
        <v>218</v>
      </c>
      <c r="BH3" s="444" t="s">
        <v>221</v>
      </c>
      <c r="BI3" s="447" t="s">
        <v>219</v>
      </c>
      <c r="BJ3" s="443" t="s">
        <v>216</v>
      </c>
      <c r="BK3" s="444" t="s">
        <v>218</v>
      </c>
      <c r="BL3" s="445" t="s">
        <v>218</v>
      </c>
      <c r="BM3" s="448" t="s">
        <v>225</v>
      </c>
      <c r="BN3" s="444" t="s">
        <v>230</v>
      </c>
      <c r="BO3" s="444" t="s">
        <v>219</v>
      </c>
      <c r="BP3" s="445" t="s">
        <v>220</v>
      </c>
    </row>
    <row r="4" spans="1:68" ht="15" thickBot="1" x14ac:dyDescent="0.4">
      <c r="A4" s="455"/>
      <c r="B4" s="456"/>
      <c r="C4" s="457"/>
      <c r="D4" s="495" t="s">
        <v>965</v>
      </c>
      <c r="E4" s="458"/>
      <c r="F4" s="459"/>
      <c r="G4" s="355"/>
      <c r="H4" s="355"/>
      <c r="I4" s="355"/>
      <c r="J4" s="355"/>
      <c r="K4" s="355"/>
      <c r="L4" s="355"/>
      <c r="M4" s="354"/>
      <c r="N4" s="354"/>
      <c r="O4" s="355"/>
      <c r="P4" s="356"/>
      <c r="Q4" s="685">
        <v>1135059</v>
      </c>
      <c r="R4" s="686">
        <v>1715781</v>
      </c>
      <c r="S4" s="686">
        <v>0</v>
      </c>
      <c r="T4" s="686">
        <v>2634846</v>
      </c>
      <c r="U4" s="687">
        <v>1027892</v>
      </c>
      <c r="V4" s="685">
        <v>2494804</v>
      </c>
      <c r="W4" s="686">
        <v>3327875</v>
      </c>
      <c r="X4" s="686">
        <v>0</v>
      </c>
      <c r="Y4" s="686">
        <v>4006539</v>
      </c>
      <c r="Z4" s="688">
        <v>3011278</v>
      </c>
      <c r="AA4" s="689">
        <v>0</v>
      </c>
      <c r="AB4" s="685">
        <v>0</v>
      </c>
      <c r="AC4" s="686">
        <v>0</v>
      </c>
      <c r="AD4" s="686">
        <v>3588327</v>
      </c>
      <c r="AE4" s="686">
        <v>2214802</v>
      </c>
      <c r="AF4" s="686">
        <v>0</v>
      </c>
      <c r="AG4" s="688">
        <v>3354094</v>
      </c>
      <c r="AH4" s="685">
        <v>0</v>
      </c>
      <c r="AI4" s="686">
        <v>1527865</v>
      </c>
      <c r="AJ4" s="686">
        <v>2174898</v>
      </c>
      <c r="AK4" s="688">
        <v>2542974</v>
      </c>
      <c r="AL4" s="685">
        <v>1757475</v>
      </c>
      <c r="AM4" s="686">
        <v>1890657</v>
      </c>
      <c r="AN4" s="686">
        <v>0</v>
      </c>
      <c r="AO4" s="686">
        <v>3618285</v>
      </c>
      <c r="AP4" s="686">
        <v>4516351</v>
      </c>
      <c r="AQ4" s="686">
        <v>400985</v>
      </c>
      <c r="AR4" s="686">
        <v>1937431</v>
      </c>
      <c r="AS4" s="686">
        <v>1677275</v>
      </c>
      <c r="AT4" s="688">
        <v>2039248</v>
      </c>
      <c r="AU4" s="685">
        <v>1915330</v>
      </c>
      <c r="AV4" s="686">
        <v>3941753</v>
      </c>
      <c r="AW4" s="686">
        <v>0</v>
      </c>
      <c r="AX4" s="686">
        <v>0</v>
      </c>
      <c r="AY4" s="686">
        <v>0</v>
      </c>
      <c r="AZ4" s="686">
        <v>3851615</v>
      </c>
      <c r="BA4" s="686">
        <v>4919858</v>
      </c>
      <c r="BB4" s="686">
        <v>1081171</v>
      </c>
      <c r="BC4" s="686">
        <v>339925</v>
      </c>
      <c r="BD4" s="688">
        <v>5958770</v>
      </c>
      <c r="BE4" s="685">
        <v>2245013</v>
      </c>
      <c r="BF4" s="686">
        <v>1965010</v>
      </c>
      <c r="BG4" s="686">
        <v>0</v>
      </c>
      <c r="BH4" s="686">
        <v>2031440</v>
      </c>
      <c r="BI4" s="687">
        <v>1870311</v>
      </c>
      <c r="BJ4" s="685">
        <v>1270314</v>
      </c>
      <c r="BK4" s="686">
        <v>0</v>
      </c>
      <c r="BL4" s="688">
        <v>0</v>
      </c>
      <c r="BM4" s="690">
        <v>3709646</v>
      </c>
      <c r="BN4" s="686">
        <v>1291686</v>
      </c>
      <c r="BO4" s="686">
        <v>5010813</v>
      </c>
      <c r="BP4" s="688">
        <v>637007</v>
      </c>
    </row>
    <row r="5" spans="1:68" s="709" customFormat="1" x14ac:dyDescent="0.35">
      <c r="A5" s="691">
        <v>1</v>
      </c>
      <c r="B5" s="692" t="s">
        <v>140</v>
      </c>
      <c r="C5" s="693" t="s">
        <v>141</v>
      </c>
      <c r="D5" s="694" t="s">
        <v>268</v>
      </c>
      <c r="E5" s="695">
        <f t="shared" ref="E5:E13" si="0">SUM(Q5:BP5)</f>
        <v>11715176.231000001</v>
      </c>
      <c r="F5" s="696">
        <f>[3]Report1!$Y$307+[3]Report1!$Z$307+[3]Report1!$AA$307+[3]Report1!$AB$307+[3]Report1!$AC$307+[3]Report1!$AD$307+[3]Report1!$AE$307+[3]Report1!$AF$307+[3]Report1!$AG$307</f>
        <v>23279536</v>
      </c>
      <c r="G5" s="697">
        <f>[3]Report1!$O$307+[3]Report1!$P$307+[3]Report1!$Q$307+[3]Report1!$R$307+[3]Report1!$S$307+[3]Report1!$T$307</f>
        <v>10902138</v>
      </c>
      <c r="H5" s="697">
        <f>SUM([3]Report1!$AH$307:$AQ$307)</f>
        <v>979579</v>
      </c>
      <c r="I5" s="697">
        <f>SUM([3]Report1!$I$307:$M$307)</f>
        <v>18239108</v>
      </c>
      <c r="J5" s="697">
        <f>SUM([3]Report1!$AW$307:$BC$307)</f>
        <v>230175</v>
      </c>
      <c r="K5" s="697">
        <f>[3]Report1!$U$307+[3]Report1!$V$307+[3]Report1!$W$307+[3]Report1!$X$307</f>
        <v>3090392</v>
      </c>
      <c r="L5" s="697">
        <f>[3]Report1!$D$307+[3]Report1!$E$307+[3]Report1!$F$307+[3]Report1!$G$307+[3]Report1!$H$307</f>
        <v>7895289</v>
      </c>
      <c r="M5" s="698"/>
      <c r="N5" s="698"/>
      <c r="O5" s="697">
        <f>SUM([3]Report1!$AR$307:$AV$307)</f>
        <v>11234303</v>
      </c>
      <c r="P5" s="699">
        <f>SUM(F5:O5)</f>
        <v>75850520</v>
      </c>
      <c r="Q5" s="700">
        <f>Q4*Q1</f>
        <v>147330.65820000001</v>
      </c>
      <c r="R5" s="701">
        <f t="shared" ref="R5:BP5" si="1">R4*R1</f>
        <v>222708.3738</v>
      </c>
      <c r="S5" s="701">
        <f t="shared" si="1"/>
        <v>0</v>
      </c>
      <c r="T5" s="701">
        <f t="shared" si="1"/>
        <v>342003.01079999999</v>
      </c>
      <c r="U5" s="702">
        <f t="shared" si="1"/>
        <v>133420.38159999999</v>
      </c>
      <c r="V5" s="700">
        <f t="shared" si="1"/>
        <v>323825.55920000002</v>
      </c>
      <c r="W5" s="700">
        <f t="shared" si="1"/>
        <v>431958.17499999999</v>
      </c>
      <c r="X5" s="701">
        <f t="shared" si="1"/>
        <v>0</v>
      </c>
      <c r="Y5" s="701">
        <f t="shared" si="1"/>
        <v>520048.7622</v>
      </c>
      <c r="Z5" s="703">
        <f t="shared" si="1"/>
        <v>390863.88439999998</v>
      </c>
      <c r="AA5" s="704">
        <f t="shared" si="1"/>
        <v>0</v>
      </c>
      <c r="AB5" s="700">
        <f t="shared" si="1"/>
        <v>0</v>
      </c>
      <c r="AC5" s="701">
        <f t="shared" si="1"/>
        <v>0</v>
      </c>
      <c r="AD5" s="701">
        <f t="shared" si="1"/>
        <v>465764.84460000001</v>
      </c>
      <c r="AE5" s="701">
        <f t="shared" si="1"/>
        <v>287481.29959999997</v>
      </c>
      <c r="AF5" s="701"/>
      <c r="AG5" s="703">
        <f t="shared" si="1"/>
        <v>435361.40120000002</v>
      </c>
      <c r="AH5" s="700">
        <f t="shared" si="1"/>
        <v>0</v>
      </c>
      <c r="AI5" s="701">
        <f t="shared" si="1"/>
        <v>162259.26299999998</v>
      </c>
      <c r="AJ5" s="701">
        <f t="shared" si="1"/>
        <v>230974.16759999999</v>
      </c>
      <c r="AK5" s="703">
        <f t="shared" si="1"/>
        <v>270063.83879999997</v>
      </c>
      <c r="AL5" s="700">
        <f t="shared" si="1"/>
        <v>186643.84499999997</v>
      </c>
      <c r="AM5" s="701">
        <f t="shared" si="1"/>
        <v>200787.77339999998</v>
      </c>
      <c r="AN5" s="701">
        <f t="shared" si="1"/>
        <v>0</v>
      </c>
      <c r="AO5" s="701">
        <f t="shared" si="1"/>
        <v>384261.86699999997</v>
      </c>
      <c r="AP5" s="701">
        <f t="shared" si="1"/>
        <v>479636.47619999998</v>
      </c>
      <c r="AQ5" s="701">
        <f t="shared" si="1"/>
        <v>42584.606999999996</v>
      </c>
      <c r="AR5" s="701">
        <f t="shared" si="1"/>
        <v>205755.17219999997</v>
      </c>
      <c r="AS5" s="701">
        <f t="shared" si="1"/>
        <v>178126.60499999998</v>
      </c>
      <c r="AT5" s="703">
        <f t="shared" si="1"/>
        <v>216568.13759999999</v>
      </c>
      <c r="AU5" s="700">
        <f t="shared" si="1"/>
        <v>248609.834</v>
      </c>
      <c r="AV5" s="701">
        <f t="shared" si="1"/>
        <v>511639.53940000001</v>
      </c>
      <c r="AW5" s="701">
        <f t="shared" si="1"/>
        <v>0</v>
      </c>
      <c r="AX5" s="701">
        <f t="shared" si="1"/>
        <v>0</v>
      </c>
      <c r="AY5" s="701">
        <f t="shared" si="1"/>
        <v>0</v>
      </c>
      <c r="AZ5" s="701">
        <f t="shared" si="1"/>
        <v>499939.62699999998</v>
      </c>
      <c r="BA5" s="701">
        <f t="shared" si="1"/>
        <v>638597.56839999999</v>
      </c>
      <c r="BB5" s="701">
        <f t="shared" si="1"/>
        <v>140335.9958</v>
      </c>
      <c r="BC5" s="701">
        <f t="shared" si="1"/>
        <v>44122.264999999999</v>
      </c>
      <c r="BD5" s="703">
        <f t="shared" si="1"/>
        <v>773448.34600000002</v>
      </c>
      <c r="BE5" s="700">
        <f t="shared" si="1"/>
        <v>291402.6874</v>
      </c>
      <c r="BF5" s="701">
        <f t="shared" si="1"/>
        <v>255058.29800000001</v>
      </c>
      <c r="BG5" s="701">
        <f t="shared" si="1"/>
        <v>0</v>
      </c>
      <c r="BH5" s="701">
        <f t="shared" si="1"/>
        <v>263680.91200000001</v>
      </c>
      <c r="BI5" s="702">
        <f t="shared" si="1"/>
        <v>242766.36780000001</v>
      </c>
      <c r="BJ5" s="705">
        <f t="shared" si="1"/>
        <v>164886.75719999999</v>
      </c>
      <c r="BK5" s="706">
        <f t="shared" si="1"/>
        <v>0</v>
      </c>
      <c r="BL5" s="707">
        <f t="shared" si="1"/>
        <v>0</v>
      </c>
      <c r="BM5" s="708">
        <f t="shared" si="1"/>
        <v>481512.05079999997</v>
      </c>
      <c r="BN5" s="706">
        <f t="shared" si="1"/>
        <v>167660.84279999998</v>
      </c>
      <c r="BO5" s="706">
        <f t="shared" si="1"/>
        <v>650403.52740000002</v>
      </c>
      <c r="BP5" s="707">
        <f t="shared" si="1"/>
        <v>82683.508600000001</v>
      </c>
    </row>
    <row r="6" spans="1:68" x14ac:dyDescent="0.35">
      <c r="A6" s="57">
        <v>2</v>
      </c>
      <c r="B6" s="497" t="s">
        <v>142</v>
      </c>
      <c r="C6" s="428" t="s">
        <v>271</v>
      </c>
      <c r="D6" s="17" t="s">
        <v>269</v>
      </c>
      <c r="E6" s="481">
        <f t="shared" si="0"/>
        <v>3415899.8489295277</v>
      </c>
      <c r="F6" s="430">
        <f>SUM([3]Report1!$Y$308:$AG$308)</f>
        <v>10539186</v>
      </c>
      <c r="G6" s="65">
        <f>SUM([3]Report1!$O$308:$T$308)</f>
        <v>7539661</v>
      </c>
      <c r="H6" s="65">
        <f>SUM([3]Report1!$AH$308:$AQ$308)</f>
        <v>810036</v>
      </c>
      <c r="I6" s="65">
        <f>SUM([3]Report1!$I$308:$M$308)</f>
        <v>4200092.1400000006</v>
      </c>
      <c r="J6" s="65">
        <f>SUM([3]Report1!$AW$308:$BC$308)</f>
        <v>1359303</v>
      </c>
      <c r="K6" s="65">
        <f>SUM([3]Report1!$U$308:$X$308)</f>
        <v>3098670</v>
      </c>
      <c r="L6" s="65">
        <f>SUM([3]Report1!$D$308:$H$308)</f>
        <v>4838235</v>
      </c>
      <c r="M6" s="58"/>
      <c r="N6" s="58"/>
      <c r="O6" s="65">
        <f>SUM([3]Report1!$AR$308:$AV$308)</f>
        <v>4788936</v>
      </c>
      <c r="P6" s="347">
        <f>SUM(F6:O6)</f>
        <v>37174119.140000001</v>
      </c>
      <c r="Q6" s="710">
        <v>71928</v>
      </c>
      <c r="R6" s="488">
        <v>92135.593220338982</v>
      </c>
      <c r="S6" s="488"/>
      <c r="T6" s="488">
        <v>102071.18644067798</v>
      </c>
      <c r="U6" s="711">
        <v>43056</v>
      </c>
      <c r="V6" s="710">
        <v>66000</v>
      </c>
      <c r="W6" s="488">
        <v>99154</v>
      </c>
      <c r="X6" s="488"/>
      <c r="Y6" s="712">
        <v>66000</v>
      </c>
      <c r="Z6" s="489">
        <v>60390</v>
      </c>
      <c r="AA6" s="713"/>
      <c r="AB6" s="710"/>
      <c r="AC6" s="488"/>
      <c r="AD6" s="488">
        <v>69528</v>
      </c>
      <c r="AE6" s="488">
        <v>266591</v>
      </c>
      <c r="AF6" s="488"/>
      <c r="AG6" s="489">
        <v>133106</v>
      </c>
      <c r="AH6" s="710"/>
      <c r="AI6" s="488">
        <v>95898</v>
      </c>
      <c r="AJ6" s="488">
        <v>127930</v>
      </c>
      <c r="AK6" s="488">
        <v>99984.669268510261</v>
      </c>
      <c r="AL6" s="710">
        <v>40152</v>
      </c>
      <c r="AM6" s="488">
        <v>38934</v>
      </c>
      <c r="AN6" s="488">
        <v>0</v>
      </c>
      <c r="AO6" s="488">
        <v>59698.799999999996</v>
      </c>
      <c r="AP6" s="488">
        <v>113778</v>
      </c>
      <c r="AQ6" s="488">
        <v>61437.599999999999</v>
      </c>
      <c r="AR6" s="488">
        <v>126579.59999999999</v>
      </c>
      <c r="AS6" s="488">
        <v>44452.799999999996</v>
      </c>
      <c r="AT6" s="489">
        <v>52344</v>
      </c>
      <c r="AU6" s="710">
        <v>96910</v>
      </c>
      <c r="AV6" s="488">
        <v>92928</v>
      </c>
      <c r="AW6" s="488"/>
      <c r="AX6" s="488"/>
      <c r="AY6" s="488"/>
      <c r="AZ6" s="488">
        <v>136972</v>
      </c>
      <c r="BA6" s="483">
        <v>132990</v>
      </c>
      <c r="BB6" s="483">
        <v>52910</v>
      </c>
      <c r="BC6" s="483">
        <v>48422</v>
      </c>
      <c r="BD6" s="485">
        <v>140404</v>
      </c>
      <c r="BE6" s="482">
        <v>134971</v>
      </c>
      <c r="BF6" s="483">
        <v>90392</v>
      </c>
      <c r="BG6" s="483"/>
      <c r="BH6" s="483">
        <v>93643.199999999983</v>
      </c>
      <c r="BI6" s="484">
        <v>48056.399999999994</v>
      </c>
      <c r="BJ6" s="482">
        <v>48253.201309328972</v>
      </c>
      <c r="BK6" s="483">
        <v>0</v>
      </c>
      <c r="BL6" s="484"/>
      <c r="BM6" s="483">
        <v>125612.79869067104</v>
      </c>
      <c r="BN6" s="483">
        <v>52800</v>
      </c>
      <c r="BO6" s="483">
        <v>127147.2670760747</v>
      </c>
      <c r="BP6" s="485">
        <v>62338.732923925301</v>
      </c>
    </row>
    <row r="7" spans="1:68" s="765" customFormat="1" x14ac:dyDescent="0.35">
      <c r="A7" s="747">
        <v>3</v>
      </c>
      <c r="B7" s="748" t="s">
        <v>144</v>
      </c>
      <c r="C7" s="749" t="s">
        <v>272</v>
      </c>
      <c r="D7" s="750" t="s">
        <v>287</v>
      </c>
      <c r="E7" s="751">
        <f t="shared" si="0"/>
        <v>2418009.7800000003</v>
      </c>
      <c r="F7" s="752"/>
      <c r="G7" s="753"/>
      <c r="H7" s="753"/>
      <c r="I7" s="753"/>
      <c r="J7" s="753"/>
      <c r="K7" s="753"/>
      <c r="L7" s="753"/>
      <c r="M7" s="753"/>
      <c r="N7" s="753"/>
      <c r="O7" s="753"/>
      <c r="P7" s="754">
        <f t="shared" ref="P7:P8" si="2">SUM(F7:O7)</f>
        <v>0</v>
      </c>
      <c r="Q7" s="755">
        <f>44056+SUM(44056*18%)</f>
        <v>51986.080000000002</v>
      </c>
      <c r="R7" s="756">
        <v>56433</v>
      </c>
      <c r="S7" s="756"/>
      <c r="T7" s="757">
        <v>62519</v>
      </c>
      <c r="U7" s="758">
        <v>26372</v>
      </c>
      <c r="V7" s="755">
        <f>35754+SUM(35754)*18%</f>
        <v>42189.72</v>
      </c>
      <c r="W7" s="756">
        <f>50808+SUM(50808*18%)</f>
        <v>59953.440000000002</v>
      </c>
      <c r="X7" s="756"/>
      <c r="Y7" s="756">
        <f>58335+SUM(58335*18%)</f>
        <v>68835.3</v>
      </c>
      <c r="Z7" s="759">
        <f>43281+SUM(43281*18%)</f>
        <v>51071.58</v>
      </c>
      <c r="AA7" s="760"/>
      <c r="AB7" s="755"/>
      <c r="AC7" s="756"/>
      <c r="AD7" s="756">
        <f>49828+SUM(49828*18%)</f>
        <v>58797.04</v>
      </c>
      <c r="AE7" s="756">
        <f>181959+SUM(181959*18%)</f>
        <v>214711.62</v>
      </c>
      <c r="AF7" s="756"/>
      <c r="AG7" s="759">
        <f>90850+SUM(90850*18%)</f>
        <v>107203</v>
      </c>
      <c r="AH7" s="755"/>
      <c r="AI7" s="756">
        <v>35473.74420160571</v>
      </c>
      <c r="AJ7" s="756">
        <v>47324</v>
      </c>
      <c r="AK7" s="756">
        <v>37508.255798394297</v>
      </c>
      <c r="AL7" s="755">
        <v>30797</v>
      </c>
      <c r="AM7" s="756">
        <v>28440</v>
      </c>
      <c r="AN7" s="756"/>
      <c r="AO7" s="756">
        <v>72840.53944643194</v>
      </c>
      <c r="AP7" s="756">
        <v>83112.215213707401</v>
      </c>
      <c r="AQ7" s="756">
        <v>44878.755413293162</v>
      </c>
      <c r="AR7" s="756">
        <v>92463.489926567505</v>
      </c>
      <c r="AS7" s="756">
        <v>32472</v>
      </c>
      <c r="AT7" s="759">
        <v>40148</v>
      </c>
      <c r="AU7" s="755">
        <v>80127</v>
      </c>
      <c r="AV7" s="756">
        <v>48662</v>
      </c>
      <c r="AW7" s="756"/>
      <c r="AX7" s="756"/>
      <c r="AY7" s="756"/>
      <c r="AZ7" s="756"/>
      <c r="BA7" s="761">
        <v>109959</v>
      </c>
      <c r="BB7" s="761">
        <v>11754</v>
      </c>
      <c r="BC7" s="761"/>
      <c r="BD7" s="762">
        <v>116089</v>
      </c>
      <c r="BE7" s="763">
        <v>111512</v>
      </c>
      <c r="BF7" s="761">
        <v>74681</v>
      </c>
      <c r="BG7" s="761"/>
      <c r="BH7" s="761">
        <v>77366.55166281345</v>
      </c>
      <c r="BI7" s="764">
        <v>39703.448337186557</v>
      </c>
      <c r="BJ7" s="763">
        <v>46684.59621229834</v>
      </c>
      <c r="BK7" s="761"/>
      <c r="BL7" s="764"/>
      <c r="BM7" s="761">
        <v>121529.40378770165</v>
      </c>
      <c r="BN7" s="761">
        <v>51084</v>
      </c>
      <c r="BO7" s="761">
        <v>123015.17884446673</v>
      </c>
      <c r="BP7" s="762">
        <v>60312.821155533282</v>
      </c>
    </row>
    <row r="8" spans="1:68" x14ac:dyDescent="0.35">
      <c r="A8" s="57">
        <v>4</v>
      </c>
      <c r="B8" s="496" t="s">
        <v>146</v>
      </c>
      <c r="C8" s="428" t="s">
        <v>274</v>
      </c>
      <c r="D8" s="86" t="s">
        <v>288</v>
      </c>
      <c r="E8" s="481">
        <f t="shared" si="0"/>
        <v>693609.74666666647</v>
      </c>
      <c r="F8" s="74"/>
      <c r="G8" s="58"/>
      <c r="H8" s="58"/>
      <c r="I8" s="58"/>
      <c r="J8" s="58"/>
      <c r="K8" s="58"/>
      <c r="L8" s="58"/>
      <c r="M8" s="58"/>
      <c r="N8" s="58"/>
      <c r="O8" s="58"/>
      <c r="P8" s="347">
        <f t="shared" si="2"/>
        <v>0</v>
      </c>
      <c r="Q8" s="710">
        <v>15273.1</v>
      </c>
      <c r="R8" s="488">
        <v>46797.99</v>
      </c>
      <c r="S8" s="488"/>
      <c r="T8" s="488">
        <v>23380.27</v>
      </c>
      <c r="U8" s="711">
        <v>14208.22</v>
      </c>
      <c r="V8" s="710">
        <v>19535.162950257291</v>
      </c>
      <c r="W8" s="488">
        <v>14708</v>
      </c>
      <c r="X8" s="488"/>
      <c r="Y8" s="488">
        <v>19535.162950257291</v>
      </c>
      <c r="Z8" s="489">
        <v>17874.674099485419</v>
      </c>
      <c r="AA8" s="713"/>
      <c r="AB8" s="710"/>
      <c r="AC8" s="488"/>
      <c r="AD8" s="488">
        <v>13217.25</v>
      </c>
      <c r="AE8" s="488">
        <v>48260.25</v>
      </c>
      <c r="AF8" s="488"/>
      <c r="AG8" s="489">
        <v>24095.916666666668</v>
      </c>
      <c r="AH8" s="710"/>
      <c r="AI8" s="488">
        <v>12227.850468331846</v>
      </c>
      <c r="AJ8" s="488">
        <v>16056.083333333334</v>
      </c>
      <c r="AK8" s="489">
        <v>12929.149531668154</v>
      </c>
      <c r="AL8" s="710">
        <v>14699.75</v>
      </c>
      <c r="AM8" s="488">
        <v>13570.083333333334</v>
      </c>
      <c r="AN8" s="488"/>
      <c r="AO8" s="488">
        <v>33967.70623862424</v>
      </c>
      <c r="AP8" s="488">
        <v>38757.693623297564</v>
      </c>
      <c r="AQ8" s="488">
        <v>20928.296135902427</v>
      </c>
      <c r="AR8" s="488">
        <v>43118.470668842449</v>
      </c>
      <c r="AS8" s="488">
        <v>15491.916666666666</v>
      </c>
      <c r="AT8" s="489">
        <v>19159.583333333332</v>
      </c>
      <c r="AU8" s="710">
        <v>0</v>
      </c>
      <c r="AV8" s="488">
        <v>69537</v>
      </c>
      <c r="AW8" s="488"/>
      <c r="AX8" s="488"/>
      <c r="AY8" s="488"/>
      <c r="AZ8" s="488"/>
      <c r="BA8" s="483">
        <v>0</v>
      </c>
      <c r="BB8" s="483">
        <v>54805</v>
      </c>
      <c r="BC8" s="483"/>
      <c r="BD8" s="485"/>
      <c r="BE8" s="482">
        <v>23099.75</v>
      </c>
      <c r="BF8" s="483">
        <v>10174.416666666666</v>
      </c>
      <c r="BG8" s="483"/>
      <c r="BH8" s="483">
        <v>9675.6101725057797</v>
      </c>
      <c r="BI8" s="484">
        <v>4965.3898274942203</v>
      </c>
      <c r="BJ8" s="482">
        <v>2536.0780921206456</v>
      </c>
      <c r="BK8" s="483"/>
      <c r="BL8" s="484"/>
      <c r="BM8" s="483">
        <v>6601.9219078793549</v>
      </c>
      <c r="BN8" s="483">
        <v>3730</v>
      </c>
      <c r="BO8" s="483">
        <v>7174.4539415966919</v>
      </c>
      <c r="BP8" s="485">
        <v>3517.546058403309</v>
      </c>
    </row>
    <row r="9" spans="1:68" s="765" customFormat="1" ht="15" thickBot="1" x14ac:dyDescent="0.4">
      <c r="A9" s="747">
        <v>5</v>
      </c>
      <c r="B9" s="748" t="s">
        <v>148</v>
      </c>
      <c r="C9" s="749" t="s">
        <v>957</v>
      </c>
      <c r="D9" s="750" t="s">
        <v>287</v>
      </c>
      <c r="E9" s="751">
        <f>SUM(Q9:BP9)</f>
        <v>3859927</v>
      </c>
      <c r="F9" s="752"/>
      <c r="G9" s="753"/>
      <c r="H9" s="753"/>
      <c r="I9" s="753"/>
      <c r="J9" s="753"/>
      <c r="K9" s="753"/>
      <c r="L9" s="753"/>
      <c r="M9" s="753"/>
      <c r="N9" s="753"/>
      <c r="O9" s="753"/>
      <c r="P9" s="754">
        <f>SUM(F9:O9)</f>
        <v>0</v>
      </c>
      <c r="Q9" s="755">
        <v>58089</v>
      </c>
      <c r="R9" s="756">
        <v>65449</v>
      </c>
      <c r="S9" s="756"/>
      <c r="T9" s="756">
        <v>79983</v>
      </c>
      <c r="U9" s="757">
        <v>40498</v>
      </c>
      <c r="V9" s="755">
        <f>38462+299</f>
        <v>38761</v>
      </c>
      <c r="W9" s="756">
        <f>54657+425</f>
        <v>55082</v>
      </c>
      <c r="X9" s="756"/>
      <c r="Y9" s="756">
        <f>488+62755</f>
        <v>63243</v>
      </c>
      <c r="Z9" s="759">
        <f>362+46560</f>
        <v>46922</v>
      </c>
      <c r="AA9" s="760"/>
      <c r="AB9" s="755"/>
      <c r="AC9" s="756"/>
      <c r="AD9" s="756">
        <v>145506</v>
      </c>
      <c r="AE9" s="756">
        <v>240618</v>
      </c>
      <c r="AF9" s="756"/>
      <c r="AG9" s="759">
        <v>281634</v>
      </c>
      <c r="AH9" s="755"/>
      <c r="AI9" s="756">
        <v>62905.113960749331</v>
      </c>
      <c r="AJ9" s="756">
        <v>42551</v>
      </c>
      <c r="AK9" s="756">
        <v>66512.886039250676</v>
      </c>
      <c r="AL9" s="755">
        <v>113231</v>
      </c>
      <c r="AM9" s="756">
        <v>199180</v>
      </c>
      <c r="AN9" s="756"/>
      <c r="AO9" s="756">
        <f>27504+23139+18180+21857</f>
        <v>90680</v>
      </c>
      <c r="AP9" s="756">
        <f>52420+44099+34650+41656</f>
        <v>172825</v>
      </c>
      <c r="AQ9" s="756">
        <f>28305+23812+18712+22494</f>
        <v>93323</v>
      </c>
      <c r="AR9" s="756">
        <f>58318+49061+38548+46341</f>
        <v>192268</v>
      </c>
      <c r="AS9" s="756">
        <f>81607</f>
        <v>81607</v>
      </c>
      <c r="AT9" s="759">
        <v>217387</v>
      </c>
      <c r="AU9" s="755">
        <v>0</v>
      </c>
      <c r="AV9" s="756">
        <v>0</v>
      </c>
      <c r="AW9" s="756"/>
      <c r="AX9" s="756"/>
      <c r="AY9" s="756"/>
      <c r="AZ9" s="756"/>
      <c r="BA9" s="761">
        <v>260662</v>
      </c>
      <c r="BB9" s="761">
        <v>3721</v>
      </c>
      <c r="BC9" s="761"/>
      <c r="BD9" s="762">
        <v>302125</v>
      </c>
      <c r="BE9" s="763">
        <v>195910</v>
      </c>
      <c r="BF9" s="761">
        <v>119030</v>
      </c>
      <c r="BG9" s="761"/>
      <c r="BH9" s="761">
        <v>116390.16894895963</v>
      </c>
      <c r="BI9" s="764">
        <v>59729.831051040375</v>
      </c>
      <c r="BJ9" s="766">
        <v>4045.2915595043255</v>
      </c>
      <c r="BK9" s="767"/>
      <c r="BL9" s="768"/>
      <c r="BM9" s="766">
        <v>10530.708440495675</v>
      </c>
      <c r="BN9" s="767">
        <v>121995</v>
      </c>
      <c r="BO9" s="767">
        <v>145967.12395036971</v>
      </c>
      <c r="BP9" s="768">
        <v>71565.876049630286</v>
      </c>
    </row>
    <row r="10" spans="1:68" s="765" customFormat="1" x14ac:dyDescent="0.35">
      <c r="A10" s="747">
        <v>6</v>
      </c>
      <c r="B10" s="748" t="s">
        <v>546</v>
      </c>
      <c r="C10" s="749" t="s">
        <v>959</v>
      </c>
      <c r="D10" s="750" t="s">
        <v>287</v>
      </c>
      <c r="E10" s="751">
        <f t="shared" si="0"/>
        <v>432313</v>
      </c>
      <c r="F10" s="752"/>
      <c r="G10" s="753"/>
      <c r="H10" s="753"/>
      <c r="I10" s="753"/>
      <c r="J10" s="753"/>
      <c r="K10" s="753"/>
      <c r="L10" s="753"/>
      <c r="M10" s="753"/>
      <c r="N10" s="753"/>
      <c r="O10" s="753"/>
      <c r="P10" s="754">
        <f t="shared" ref="P10:P15" si="3">SUM(F10:O10)</f>
        <v>0</v>
      </c>
      <c r="Q10" s="755">
        <v>9620</v>
      </c>
      <c r="R10" s="756">
        <v>12323</v>
      </c>
      <c r="S10" s="756"/>
      <c r="T10" s="757">
        <v>13652</v>
      </c>
      <c r="U10" s="759">
        <v>5759</v>
      </c>
      <c r="V10" s="755">
        <v>6295</v>
      </c>
      <c r="W10" s="756">
        <v>8945</v>
      </c>
      <c r="X10" s="756"/>
      <c r="Y10" s="756">
        <v>10270</v>
      </c>
      <c r="Z10" s="759">
        <v>7620</v>
      </c>
      <c r="AA10" s="760"/>
      <c r="AB10" s="755"/>
      <c r="AC10" s="756"/>
      <c r="AD10" s="756">
        <v>9299</v>
      </c>
      <c r="AE10" s="756">
        <v>33959</v>
      </c>
      <c r="AF10" s="756"/>
      <c r="AG10" s="759">
        <v>16955</v>
      </c>
      <c r="AH10" s="755"/>
      <c r="AI10" s="756">
        <v>13069</v>
      </c>
      <c r="AJ10" s="756">
        <v>17237</v>
      </c>
      <c r="AK10" s="756">
        <v>13818</v>
      </c>
      <c r="AL10" s="755">
        <v>4476</v>
      </c>
      <c r="AM10" s="756">
        <v>4133</v>
      </c>
      <c r="AN10" s="756"/>
      <c r="AO10" s="756">
        <v>7039</v>
      </c>
      <c r="AP10" s="756">
        <v>13415</v>
      </c>
      <c r="AQ10" s="756">
        <v>7244</v>
      </c>
      <c r="AR10" s="756">
        <v>14923</v>
      </c>
      <c r="AS10" s="756">
        <v>4719</v>
      </c>
      <c r="AT10" s="759">
        <v>5835</v>
      </c>
      <c r="AU10" s="755">
        <v>11013</v>
      </c>
      <c r="AV10" s="756">
        <v>10560</v>
      </c>
      <c r="AW10" s="756"/>
      <c r="AX10" s="756"/>
      <c r="AY10" s="756"/>
      <c r="AZ10" s="756">
        <v>13557</v>
      </c>
      <c r="BA10" s="761">
        <v>15113</v>
      </c>
      <c r="BB10" s="761">
        <v>3373</v>
      </c>
      <c r="BC10" s="761"/>
      <c r="BD10" s="762">
        <v>15955</v>
      </c>
      <c r="BE10" s="763">
        <v>20287</v>
      </c>
      <c r="BF10" s="761">
        <v>13586</v>
      </c>
      <c r="BG10" s="761"/>
      <c r="BH10" s="761">
        <v>14076.258225146719</v>
      </c>
      <c r="BI10" s="764">
        <v>7223.7417748532816</v>
      </c>
      <c r="BJ10" s="763">
        <v>7764.4842179097495</v>
      </c>
      <c r="BK10" s="761"/>
      <c r="BL10" s="764"/>
      <c r="BM10" s="761">
        <v>20212.51578209025</v>
      </c>
      <c r="BN10" s="761">
        <v>8496</v>
      </c>
      <c r="BO10" s="761">
        <v>20459.808747963405</v>
      </c>
      <c r="BP10" s="762">
        <v>10031.191252036595</v>
      </c>
    </row>
    <row r="11" spans="1:68" x14ac:dyDescent="0.35">
      <c r="A11" s="57">
        <v>7</v>
      </c>
      <c r="B11" s="496" t="s">
        <v>150</v>
      </c>
      <c r="C11" s="428" t="s">
        <v>87</v>
      </c>
      <c r="D11" s="86" t="s">
        <v>288</v>
      </c>
      <c r="E11" s="481">
        <f t="shared" si="0"/>
        <v>1722018</v>
      </c>
      <c r="F11" s="74"/>
      <c r="G11" s="58"/>
      <c r="H11" s="58"/>
      <c r="I11" s="58"/>
      <c r="J11" s="58"/>
      <c r="K11" s="58"/>
      <c r="L11" s="58"/>
      <c r="M11" s="58"/>
      <c r="N11" s="58"/>
      <c r="O11" s="58"/>
      <c r="P11" s="347">
        <f t="shared" si="3"/>
        <v>0</v>
      </c>
      <c r="Q11" s="710">
        <v>0</v>
      </c>
      <c r="R11" s="718">
        <v>70839</v>
      </c>
      <c r="S11" s="488"/>
      <c r="T11" s="719">
        <v>94588</v>
      </c>
      <c r="U11" s="720">
        <v>20646</v>
      </c>
      <c r="V11" s="710">
        <v>23883</v>
      </c>
      <c r="W11" s="488">
        <v>33940</v>
      </c>
      <c r="X11" s="488"/>
      <c r="Y11" s="488">
        <v>38968</v>
      </c>
      <c r="Z11" s="489">
        <v>28911</v>
      </c>
      <c r="AA11" s="713"/>
      <c r="AB11" s="710"/>
      <c r="AC11" s="488"/>
      <c r="AD11" s="488">
        <v>105864</v>
      </c>
      <c r="AE11" s="488">
        <v>55624</v>
      </c>
      <c r="AF11" s="488"/>
      <c r="AG11" s="489">
        <v>103833</v>
      </c>
      <c r="AH11" s="710"/>
      <c r="AI11" s="488">
        <v>115748.7537912578</v>
      </c>
      <c r="AJ11" s="488">
        <v>60592</v>
      </c>
      <c r="AK11" s="488">
        <v>122387.24620874219</v>
      </c>
      <c r="AL11" s="710">
        <v>0</v>
      </c>
      <c r="AM11" s="488">
        <v>0</v>
      </c>
      <c r="AN11" s="488"/>
      <c r="AO11" s="488">
        <v>30432</v>
      </c>
      <c r="AP11" s="488">
        <v>57998</v>
      </c>
      <c r="AQ11" s="488">
        <v>31317</v>
      </c>
      <c r="AR11" s="488">
        <v>64523</v>
      </c>
      <c r="AS11" s="488">
        <v>31539</v>
      </c>
      <c r="AT11" s="489">
        <v>42038</v>
      </c>
      <c r="AU11" s="710">
        <v>0</v>
      </c>
      <c r="AV11" s="488">
        <v>0</v>
      </c>
      <c r="AW11" s="488"/>
      <c r="AX11" s="488"/>
      <c r="AY11" s="488"/>
      <c r="AZ11" s="488"/>
      <c r="BA11" s="483">
        <v>69688</v>
      </c>
      <c r="BB11" s="483">
        <v>0</v>
      </c>
      <c r="BC11" s="483"/>
      <c r="BD11" s="485">
        <v>154792</v>
      </c>
      <c r="BE11" s="482">
        <v>20919</v>
      </c>
      <c r="BF11" s="483">
        <v>44380</v>
      </c>
      <c r="BG11" s="483"/>
      <c r="BH11" s="483">
        <v>45439.218922283479</v>
      </c>
      <c r="BI11" s="484">
        <v>23318.781077716521</v>
      </c>
      <c r="BJ11" s="482">
        <v>21438.15805471125</v>
      </c>
      <c r="BK11" s="483"/>
      <c r="BL11" s="484"/>
      <c r="BM11" s="483">
        <v>55807.841945288761</v>
      </c>
      <c r="BN11" s="483">
        <v>0</v>
      </c>
      <c r="BO11" s="483">
        <v>102372.18398295525</v>
      </c>
      <c r="BP11" s="485">
        <v>50191.816017044737</v>
      </c>
    </row>
    <row r="12" spans="1:68" x14ac:dyDescent="0.35">
      <c r="A12" s="57">
        <v>8</v>
      </c>
      <c r="B12" s="496" t="s">
        <v>151</v>
      </c>
      <c r="C12" s="428" t="s">
        <v>960</v>
      </c>
      <c r="D12" s="86" t="s">
        <v>288</v>
      </c>
      <c r="E12" s="481">
        <f t="shared" si="0"/>
        <v>179265</v>
      </c>
      <c r="F12" s="74"/>
      <c r="G12" s="58"/>
      <c r="H12" s="58"/>
      <c r="I12" s="58"/>
      <c r="J12" s="58"/>
      <c r="K12" s="58"/>
      <c r="L12" s="58"/>
      <c r="M12" s="58"/>
      <c r="N12" s="58"/>
      <c r="O12" s="58"/>
      <c r="P12" s="347">
        <f t="shared" si="3"/>
        <v>0</v>
      </c>
      <c r="Q12" s="710">
        <v>0</v>
      </c>
      <c r="R12" s="488">
        <v>7922</v>
      </c>
      <c r="S12" s="488"/>
      <c r="T12" s="711">
        <v>14129</v>
      </c>
      <c r="U12" s="489">
        <v>2560</v>
      </c>
      <c r="V12" s="710">
        <v>0</v>
      </c>
      <c r="W12" s="488">
        <v>2337</v>
      </c>
      <c r="X12" s="488"/>
      <c r="Y12" s="488">
        <v>2684</v>
      </c>
      <c r="Z12" s="489">
        <v>1991</v>
      </c>
      <c r="AA12" s="713"/>
      <c r="AB12" s="710"/>
      <c r="AC12" s="488"/>
      <c r="AD12" s="488">
        <v>6559</v>
      </c>
      <c r="AE12" s="488">
        <v>3446</v>
      </c>
      <c r="AF12" s="488"/>
      <c r="AG12" s="489">
        <v>6433</v>
      </c>
      <c r="AH12" s="710"/>
      <c r="AI12" s="488">
        <v>3066.0762711864409</v>
      </c>
      <c r="AJ12" s="488">
        <v>1605</v>
      </c>
      <c r="AK12" s="488">
        <v>3241.9237288135596</v>
      </c>
      <c r="AL12" s="710">
        <v>0</v>
      </c>
      <c r="AM12" s="488">
        <v>0</v>
      </c>
      <c r="AN12" s="488"/>
      <c r="AO12" s="488">
        <v>7381</v>
      </c>
      <c r="AP12" s="488">
        <v>14067</v>
      </c>
      <c r="AQ12" s="488">
        <v>7596</v>
      </c>
      <c r="AR12" s="488">
        <v>15648</v>
      </c>
      <c r="AS12" s="488">
        <v>4948</v>
      </c>
      <c r="AT12" s="489">
        <v>6546</v>
      </c>
      <c r="AU12" s="710">
        <v>0</v>
      </c>
      <c r="AV12" s="488">
        <v>0</v>
      </c>
      <c r="AW12" s="488"/>
      <c r="AX12" s="488"/>
      <c r="AY12" s="488"/>
      <c r="AZ12" s="488"/>
      <c r="BA12" s="483">
        <v>6301</v>
      </c>
      <c r="BB12" s="483">
        <v>0</v>
      </c>
      <c r="BC12" s="483"/>
      <c r="BD12" s="485">
        <v>22775</v>
      </c>
      <c r="BE12" s="482">
        <v>2083</v>
      </c>
      <c r="BF12" s="483">
        <v>4419</v>
      </c>
      <c r="BG12" s="483"/>
      <c r="BH12" s="483">
        <v>4524.2283478570153</v>
      </c>
      <c r="BI12" s="484">
        <v>2321.7716521429838</v>
      </c>
      <c r="BJ12" s="482">
        <v>1874.7217675941081</v>
      </c>
      <c r="BK12" s="483"/>
      <c r="BL12" s="484"/>
      <c r="BM12" s="483">
        <v>4880.2782324058926</v>
      </c>
      <c r="BN12" s="483">
        <v>0</v>
      </c>
      <c r="BO12" s="483">
        <v>12028.550444917908</v>
      </c>
      <c r="BP12" s="485">
        <v>5897.4495550820902</v>
      </c>
    </row>
    <row r="13" spans="1:68" ht="15" thickBot="1" x14ac:dyDescent="0.4">
      <c r="A13" s="57">
        <v>9</v>
      </c>
      <c r="B13" s="496" t="s">
        <v>153</v>
      </c>
      <c r="C13" s="428" t="s">
        <v>958</v>
      </c>
      <c r="D13" s="86" t="s">
        <v>288</v>
      </c>
      <c r="E13" s="481">
        <f t="shared" si="0"/>
        <v>799479.58</v>
      </c>
      <c r="F13" s="74"/>
      <c r="G13" s="58"/>
      <c r="H13" s="58"/>
      <c r="I13" s="58"/>
      <c r="J13" s="58"/>
      <c r="K13" s="58"/>
      <c r="L13" s="58"/>
      <c r="M13" s="58"/>
      <c r="N13" s="58"/>
      <c r="O13" s="58"/>
      <c r="P13" s="347">
        <f t="shared" si="3"/>
        <v>0</v>
      </c>
      <c r="Q13" s="710">
        <f>3611+SUM(3611*18%)</f>
        <v>4260.9799999999996</v>
      </c>
      <c r="R13" s="488">
        <f>9372+SUM(9372*18%)</f>
        <v>11058.96</v>
      </c>
      <c r="S13" s="488"/>
      <c r="T13" s="711">
        <f>10122+SUM(10122*18%)</f>
        <v>11943.96</v>
      </c>
      <c r="U13" s="489">
        <f>3206+SUM(3206*18%)</f>
        <v>3783.08</v>
      </c>
      <c r="V13" s="710">
        <f>13726+SUM(13726*18%)</f>
        <v>16196.68</v>
      </c>
      <c r="W13" s="488">
        <f>19505+SUM(19505*18%)</f>
        <v>23015.9</v>
      </c>
      <c r="X13" s="488"/>
      <c r="Y13" s="488">
        <f>22395+SUM(22395*18%)</f>
        <v>26426.1</v>
      </c>
      <c r="Z13" s="489">
        <f>16615+SUM(16615*18%)</f>
        <v>19605.7</v>
      </c>
      <c r="AA13" s="713"/>
      <c r="AB13" s="710"/>
      <c r="AC13" s="488"/>
      <c r="AD13" s="488">
        <f>21233+SUM(21233*18%)</f>
        <v>25054.94</v>
      </c>
      <c r="AE13" s="488">
        <f>10528+SUM(10528*18%)</f>
        <v>12423.04</v>
      </c>
      <c r="AF13" s="488"/>
      <c r="AG13" s="489">
        <f>22230+SUM(22230*18%)</f>
        <v>26231.4</v>
      </c>
      <c r="AH13" s="710"/>
      <c r="AI13" s="488">
        <v>445.2323818019625</v>
      </c>
      <c r="AJ13" s="488">
        <f>20065+SUM(20065*18%)</f>
        <v>23676.7</v>
      </c>
      <c r="AK13" s="488">
        <v>470.76761819803744</v>
      </c>
      <c r="AL13" s="710">
        <f>5968+SUM(5968*18%)</f>
        <v>7042.24</v>
      </c>
      <c r="AM13" s="488">
        <f>10924+SUM(10924*18%)</f>
        <v>12890.32</v>
      </c>
      <c r="AN13" s="488"/>
      <c r="AO13" s="488">
        <f>5091+SUM(5091*18%)</f>
        <v>6007.38</v>
      </c>
      <c r="AP13" s="488">
        <f>9704+SUM(9704)*18%</f>
        <v>11450.72</v>
      </c>
      <c r="AQ13" s="488">
        <f>5241+SUM(5241*18%)</f>
        <v>6184.38</v>
      </c>
      <c r="AR13" s="488">
        <f>10792+SUM(10792*18%)</f>
        <v>12734.56</v>
      </c>
      <c r="AS13" s="488">
        <f>15623+SUM(15623*18%)</f>
        <v>18435.14</v>
      </c>
      <c r="AT13" s="489">
        <f>9828+SUM(9828*18%)</f>
        <v>11597.04</v>
      </c>
      <c r="AU13" s="710">
        <f>3400+SUM(3400*18%)</f>
        <v>4012</v>
      </c>
      <c r="AV13" s="488">
        <f>3400+SUM(3400*18%)</f>
        <v>4012</v>
      </c>
      <c r="AW13" s="488"/>
      <c r="AX13" s="488"/>
      <c r="AY13" s="488"/>
      <c r="AZ13" s="488">
        <f>3400+SUM(3400*18%)</f>
        <v>4012</v>
      </c>
      <c r="BA13" s="483">
        <f>65036+SUM(65036*18%)</f>
        <v>76742.48</v>
      </c>
      <c r="BB13" s="483">
        <f>3400+SUM(3400*18%)</f>
        <v>4012</v>
      </c>
      <c r="BC13" s="483">
        <v>0</v>
      </c>
      <c r="BD13" s="485">
        <f>51164+SUM(51164*18%)</f>
        <v>60373.520000000004</v>
      </c>
      <c r="BE13" s="482">
        <f>11408+SUM(11408*18%)</f>
        <v>13461.44</v>
      </c>
      <c r="BF13" s="483">
        <f>30972+SUM(30972*18%)</f>
        <v>36546.959999999999</v>
      </c>
      <c r="BG13" s="483"/>
      <c r="BH13" s="483">
        <v>24772.892761870888</v>
      </c>
      <c r="BI13" s="484">
        <v>12713.107238129112</v>
      </c>
      <c r="BJ13" s="482">
        <v>0</v>
      </c>
      <c r="BK13" s="483"/>
      <c r="BL13" s="484"/>
      <c r="BM13" s="483">
        <v>0</v>
      </c>
      <c r="BN13" s="483">
        <f>9822+SUM(9822*18%)</f>
        <v>11589.96</v>
      </c>
      <c r="BO13" s="483">
        <v>171977.53903997995</v>
      </c>
      <c r="BP13" s="485">
        <v>84318.460960020049</v>
      </c>
    </row>
    <row r="14" spans="1:68" s="480" customFormat="1" ht="15" hidden="1" thickBot="1" x14ac:dyDescent="0.4">
      <c r="A14" s="469">
        <v>10</v>
      </c>
      <c r="B14" s="469"/>
      <c r="C14" s="490" t="s">
        <v>961</v>
      </c>
      <c r="D14" s="470" t="s">
        <v>287</v>
      </c>
      <c r="E14" s="471">
        <f>SUM(Q14:BP14)</f>
        <v>0</v>
      </c>
      <c r="F14" s="472"/>
      <c r="G14" s="473"/>
      <c r="H14" s="473"/>
      <c r="I14" s="473"/>
      <c r="J14" s="473"/>
      <c r="K14" s="473"/>
      <c r="L14" s="473"/>
      <c r="M14" s="473"/>
      <c r="N14" s="473"/>
      <c r="O14" s="473"/>
      <c r="P14" s="474">
        <f>SUM(F14:O14)</f>
        <v>0</v>
      </c>
      <c r="Q14" s="475"/>
      <c r="R14" s="476"/>
      <c r="S14" s="476"/>
      <c r="T14" s="476"/>
      <c r="U14" s="477"/>
      <c r="V14" s="475"/>
      <c r="W14" s="476"/>
      <c r="X14" s="476"/>
      <c r="Y14" s="476"/>
      <c r="Z14" s="478"/>
      <c r="AA14" s="479"/>
      <c r="AB14" s="475"/>
      <c r="AC14" s="476"/>
      <c r="AD14" s="476"/>
      <c r="AE14" s="476"/>
      <c r="AF14" s="476"/>
      <c r="AG14" s="478"/>
      <c r="AH14" s="475"/>
      <c r="AI14" s="476"/>
      <c r="AJ14" s="476"/>
      <c r="AK14" s="478">
        <v>0</v>
      </c>
      <c r="AL14" s="475"/>
      <c r="AM14" s="476"/>
      <c r="AN14" s="476"/>
      <c r="AO14" s="476"/>
      <c r="AP14" s="476"/>
      <c r="AQ14" s="476"/>
      <c r="AR14" s="476"/>
      <c r="AS14" s="476"/>
      <c r="AT14" s="478"/>
      <c r="AU14" s="475"/>
      <c r="AV14" s="476"/>
      <c r="AW14" s="476"/>
      <c r="AX14" s="476"/>
      <c r="AY14" s="476"/>
      <c r="AZ14" s="476"/>
      <c r="BA14" s="476"/>
      <c r="BB14" s="476"/>
      <c r="BC14" s="476"/>
      <c r="BD14" s="478"/>
      <c r="BE14" s="475"/>
      <c r="BF14" s="476"/>
      <c r="BG14" s="476"/>
      <c r="BH14" s="476"/>
      <c r="BI14" s="477"/>
      <c r="BJ14" s="721">
        <v>0</v>
      </c>
      <c r="BK14" s="722"/>
      <c r="BL14" s="723"/>
      <c r="BM14" s="721">
        <v>0</v>
      </c>
      <c r="BN14" s="722">
        <v>0</v>
      </c>
      <c r="BO14" s="722">
        <v>0</v>
      </c>
      <c r="BP14" s="723">
        <v>0</v>
      </c>
    </row>
    <row r="15" spans="1:68" s="79" customFormat="1" ht="15" thickBot="1" x14ac:dyDescent="0.4">
      <c r="A15" s="724"/>
      <c r="B15" s="725"/>
      <c r="C15" s="726" t="s">
        <v>286</v>
      </c>
      <c r="D15" s="727"/>
      <c r="E15" s="431">
        <f>SUM(E5:E14)</f>
        <v>25235698.186596192</v>
      </c>
      <c r="F15" s="728">
        <f>SUM(F6:F14)</f>
        <v>10539186</v>
      </c>
      <c r="G15" s="729">
        <f t="shared" ref="G15:O15" si="4">SUM(G5:G14)</f>
        <v>18441799</v>
      </c>
      <c r="H15" s="729">
        <f t="shared" si="4"/>
        <v>1789615</v>
      </c>
      <c r="I15" s="729">
        <f t="shared" si="4"/>
        <v>22439200.140000001</v>
      </c>
      <c r="J15" s="729">
        <f t="shared" si="4"/>
        <v>1589478</v>
      </c>
      <c r="K15" s="729">
        <f t="shared" si="4"/>
        <v>6189062</v>
      </c>
      <c r="L15" s="729">
        <f t="shared" si="4"/>
        <v>12733524</v>
      </c>
      <c r="M15" s="729">
        <f t="shared" si="4"/>
        <v>0</v>
      </c>
      <c r="N15" s="729">
        <f t="shared" si="4"/>
        <v>0</v>
      </c>
      <c r="O15" s="729">
        <f t="shared" si="4"/>
        <v>16023239</v>
      </c>
      <c r="P15" s="730">
        <f t="shared" si="3"/>
        <v>89745103.140000001</v>
      </c>
      <c r="Q15" s="374">
        <f t="shared" ref="Q15:W15" si="5">SUM(Q5:Q14)</f>
        <v>358487.81819999998</v>
      </c>
      <c r="R15" s="374">
        <f t="shared" si="5"/>
        <v>585666.91702033894</v>
      </c>
      <c r="S15" s="374">
        <f t="shared" si="5"/>
        <v>0</v>
      </c>
      <c r="T15" s="374">
        <f t="shared" si="5"/>
        <v>744269.42724067788</v>
      </c>
      <c r="U15" s="375">
        <f t="shared" si="5"/>
        <v>290302.68160000001</v>
      </c>
      <c r="V15" s="375">
        <f t="shared" si="5"/>
        <v>536686.12215025735</v>
      </c>
      <c r="W15" s="375">
        <f t="shared" si="5"/>
        <v>729093.51500000001</v>
      </c>
      <c r="X15" s="377"/>
      <c r="Y15" s="378">
        <f>SUM(Y5:Y14)</f>
        <v>816010.32515025733</v>
      </c>
      <c r="Z15" s="379">
        <f>SUM(Z5:Z14)</f>
        <v>625249.8384994854</v>
      </c>
      <c r="AA15" s="731"/>
      <c r="AB15" s="732"/>
      <c r="AC15" s="377"/>
      <c r="AD15" s="379">
        <f>SUM(AD5:AD14)</f>
        <v>899590.07459999993</v>
      </c>
      <c r="AE15" s="379">
        <f>SUM(AE5:AE14)</f>
        <v>1163114.2096000002</v>
      </c>
      <c r="AF15" s="379">
        <f>SUM(AF5:AF14)</f>
        <v>0</v>
      </c>
      <c r="AG15" s="379">
        <f>SUM(AG5:AG14)</f>
        <v>1134852.7178666666</v>
      </c>
      <c r="AH15" s="732"/>
      <c r="AI15" s="379">
        <f t="shared" ref="AI15:BP15" si="6">SUM(AI5:AI14)</f>
        <v>501093.03407493309</v>
      </c>
      <c r="AJ15" s="379">
        <f t="shared" si="6"/>
        <v>567945.95093333325</v>
      </c>
      <c r="AK15" s="379">
        <f t="shared" si="6"/>
        <v>626916.7369935771</v>
      </c>
      <c r="AL15" s="379">
        <f t="shared" si="6"/>
        <v>397041.83499999996</v>
      </c>
      <c r="AM15" s="379">
        <f t="shared" si="6"/>
        <v>497935.17673333327</v>
      </c>
      <c r="AN15" s="379">
        <f t="shared" si="6"/>
        <v>0</v>
      </c>
      <c r="AO15" s="379">
        <f t="shared" si="6"/>
        <v>692308.29268505622</v>
      </c>
      <c r="AP15" s="379">
        <f t="shared" si="6"/>
        <v>985040.10503700492</v>
      </c>
      <c r="AQ15" s="379">
        <f t="shared" si="6"/>
        <v>315493.6385491956</v>
      </c>
      <c r="AR15" s="379">
        <f t="shared" si="6"/>
        <v>768013.29279540991</v>
      </c>
      <c r="AS15" s="379">
        <f t="shared" si="6"/>
        <v>411791.46166666667</v>
      </c>
      <c r="AT15" s="379">
        <f t="shared" si="6"/>
        <v>611622.76093333331</v>
      </c>
      <c r="AU15" s="379">
        <f t="shared" si="6"/>
        <v>440671.83400000003</v>
      </c>
      <c r="AV15" s="379">
        <f t="shared" si="6"/>
        <v>737338.53940000001</v>
      </c>
      <c r="AW15" s="379">
        <f t="shared" si="6"/>
        <v>0</v>
      </c>
      <c r="AX15" s="379">
        <f t="shared" si="6"/>
        <v>0</v>
      </c>
      <c r="AY15" s="379">
        <f t="shared" si="6"/>
        <v>0</v>
      </c>
      <c r="AZ15" s="379">
        <f t="shared" si="6"/>
        <v>654480.62699999998</v>
      </c>
      <c r="BA15" s="379">
        <f t="shared" si="6"/>
        <v>1310053.0484</v>
      </c>
      <c r="BB15" s="379">
        <f t="shared" si="6"/>
        <v>270910.99580000003</v>
      </c>
      <c r="BC15" s="379">
        <f t="shared" si="6"/>
        <v>92544.264999999999</v>
      </c>
      <c r="BD15" s="379">
        <f t="shared" si="6"/>
        <v>1585961.8659999999</v>
      </c>
      <c r="BE15" s="379">
        <f t="shared" si="6"/>
        <v>813645.87739999988</v>
      </c>
      <c r="BF15" s="379">
        <f t="shared" si="6"/>
        <v>648267.67466666666</v>
      </c>
      <c r="BG15" s="379">
        <f t="shared" si="6"/>
        <v>0</v>
      </c>
      <c r="BH15" s="379">
        <f t="shared" si="6"/>
        <v>649569.04104143695</v>
      </c>
      <c r="BI15" s="379">
        <f t="shared" si="6"/>
        <v>440798.83875856304</v>
      </c>
      <c r="BJ15" s="379">
        <f t="shared" si="6"/>
        <v>297483.28841346735</v>
      </c>
      <c r="BK15" s="379">
        <f t="shared" si="6"/>
        <v>0</v>
      </c>
      <c r="BL15" s="379">
        <f t="shared" si="6"/>
        <v>0</v>
      </c>
      <c r="BM15" s="379">
        <f t="shared" si="6"/>
        <v>826687.51958653261</v>
      </c>
      <c r="BN15" s="379">
        <f t="shared" si="6"/>
        <v>417355.8028</v>
      </c>
      <c r="BO15" s="379">
        <f t="shared" si="6"/>
        <v>1360545.6334283245</v>
      </c>
      <c r="BP15" s="379">
        <f t="shared" si="6"/>
        <v>430857.4025716756</v>
      </c>
    </row>
    <row r="16" spans="1:68" hidden="1" x14ac:dyDescent="0.35">
      <c r="Q16" s="116"/>
      <c r="R16" s="116"/>
      <c r="S16" s="116"/>
      <c r="T16" s="116"/>
      <c r="U16" s="116"/>
      <c r="V16" s="116"/>
      <c r="W16" s="116"/>
      <c r="X16" s="116"/>
      <c r="Y16" s="116"/>
      <c r="Z16" s="116">
        <f>V17+Y17+Z17</f>
        <v>8745</v>
      </c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>
        <f>AI17+AK17</f>
        <v>8968</v>
      </c>
      <c r="AL16" s="116" t="s">
        <v>962</v>
      </c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>
        <f>BH17+BI17</f>
        <v>5623</v>
      </c>
      <c r="BJ16" s="116">
        <f>BJ17+BM17</f>
        <v>8554</v>
      </c>
      <c r="BK16" s="116"/>
      <c r="BL16" s="116"/>
      <c r="BM16" s="116"/>
      <c r="BN16" s="116"/>
      <c r="BO16" s="116">
        <f>BO17+BP17</f>
        <v>7979</v>
      </c>
      <c r="BP16" s="116"/>
    </row>
    <row r="17" spans="1:70" ht="15" hidden="1" thickBot="1" x14ac:dyDescent="0.4">
      <c r="C17" s="46"/>
      <c r="Q17" s="733">
        <v>2997</v>
      </c>
      <c r="R17" s="734">
        <v>3839</v>
      </c>
      <c r="T17" s="734">
        <v>4253</v>
      </c>
      <c r="U17" s="735">
        <v>1794</v>
      </c>
      <c r="V17" s="736">
        <v>3000</v>
      </c>
      <c r="W17" s="737">
        <v>4507</v>
      </c>
      <c r="Y17" s="737">
        <v>3000</v>
      </c>
      <c r="Z17" s="737">
        <v>2745</v>
      </c>
      <c r="AD17" s="735">
        <v>2879</v>
      </c>
      <c r="AE17" s="735">
        <v>10579</v>
      </c>
      <c r="AG17" s="735">
        <v>5282</v>
      </c>
      <c r="AI17" s="738">
        <v>4359</v>
      </c>
      <c r="AJ17" s="738">
        <v>5815</v>
      </c>
      <c r="AK17" s="738">
        <v>4609</v>
      </c>
      <c r="AL17" s="735">
        <v>1673</v>
      </c>
      <c r="AM17" s="735">
        <v>1545</v>
      </c>
      <c r="AO17" s="735">
        <v>2369</v>
      </c>
      <c r="AP17" s="735">
        <v>4515</v>
      </c>
      <c r="AQ17" s="735">
        <v>2438</v>
      </c>
      <c r="AR17" s="735">
        <v>5023</v>
      </c>
      <c r="AS17" s="735">
        <v>1764</v>
      </c>
      <c r="AT17" s="735">
        <v>2181</v>
      </c>
      <c r="AU17" s="735">
        <v>4405</v>
      </c>
      <c r="AV17" s="739">
        <v>4224</v>
      </c>
      <c r="AZ17" s="739">
        <v>6226</v>
      </c>
      <c r="BA17" s="735">
        <v>6045</v>
      </c>
      <c r="BB17" s="735">
        <f>2405+826</f>
        <v>3231</v>
      </c>
      <c r="BC17" s="735">
        <f>1299+902</f>
        <v>2201</v>
      </c>
      <c r="BD17" s="739">
        <v>6382</v>
      </c>
      <c r="BE17" s="735">
        <v>5356</v>
      </c>
      <c r="BF17" s="735">
        <v>3587</v>
      </c>
      <c r="BH17" s="740">
        <v>3716</v>
      </c>
      <c r="BI17" s="740">
        <v>1907</v>
      </c>
      <c r="BJ17" s="738">
        <v>2374</v>
      </c>
      <c r="BM17" s="738">
        <v>6180</v>
      </c>
      <c r="BN17" s="738">
        <v>2383</v>
      </c>
      <c r="BO17" s="738">
        <v>5354</v>
      </c>
      <c r="BP17" s="738">
        <v>2625</v>
      </c>
    </row>
    <row r="18" spans="1:70" hidden="1" x14ac:dyDescent="0.35">
      <c r="C18" s="741"/>
      <c r="D18" s="155"/>
      <c r="Q18" s="742">
        <f t="shared" ref="Q18:AV18" si="7">Q1*1.18</f>
        <v>0.15316399999999999</v>
      </c>
      <c r="R18" s="742">
        <f t="shared" si="7"/>
        <v>0.15316399999999999</v>
      </c>
      <c r="S18" s="742">
        <f t="shared" si="7"/>
        <v>0.15316399999999999</v>
      </c>
      <c r="T18" s="742">
        <f t="shared" si="7"/>
        <v>0.15316399999999999</v>
      </c>
      <c r="U18" s="742">
        <f t="shared" si="7"/>
        <v>0.15316399999999999</v>
      </c>
      <c r="V18" s="742">
        <f t="shared" si="7"/>
        <v>0.15316399999999999</v>
      </c>
      <c r="W18" s="742">
        <f t="shared" si="7"/>
        <v>0.15316399999999999</v>
      </c>
      <c r="X18" s="742">
        <f t="shared" si="7"/>
        <v>0.15316399999999999</v>
      </c>
      <c r="Y18" s="742">
        <f t="shared" si="7"/>
        <v>0.15316399999999999</v>
      </c>
      <c r="Z18" s="742">
        <f t="shared" si="7"/>
        <v>0.15316399999999999</v>
      </c>
      <c r="AA18" s="742">
        <f t="shared" si="7"/>
        <v>0.15316399999999999</v>
      </c>
      <c r="AB18" s="742">
        <f t="shared" si="7"/>
        <v>0.15316399999999999</v>
      </c>
      <c r="AC18" s="742">
        <f t="shared" si="7"/>
        <v>0.15316399999999999</v>
      </c>
      <c r="AD18" s="742">
        <f t="shared" si="7"/>
        <v>0.15316399999999999</v>
      </c>
      <c r="AE18" s="742">
        <f t="shared" si="7"/>
        <v>0.15316399999999999</v>
      </c>
      <c r="AF18" s="742">
        <f t="shared" si="7"/>
        <v>0.15316399999999999</v>
      </c>
      <c r="AG18" s="742">
        <f t="shared" si="7"/>
        <v>0.15316399999999999</v>
      </c>
      <c r="AH18" s="742">
        <f t="shared" si="7"/>
        <v>0.12531599999999998</v>
      </c>
      <c r="AI18" s="742">
        <f t="shared" si="7"/>
        <v>0.12531599999999998</v>
      </c>
      <c r="AJ18" s="742">
        <f t="shared" si="7"/>
        <v>0.12531599999999998</v>
      </c>
      <c r="AK18" s="742">
        <f t="shared" si="7"/>
        <v>0.12531599999999998</v>
      </c>
      <c r="AL18" s="742">
        <f t="shared" si="7"/>
        <v>0.12531599999999998</v>
      </c>
      <c r="AM18" s="742">
        <f t="shared" si="7"/>
        <v>0.12531599999999998</v>
      </c>
      <c r="AN18" s="742">
        <f t="shared" si="7"/>
        <v>0.12531599999999998</v>
      </c>
      <c r="AO18" s="742">
        <f t="shared" si="7"/>
        <v>0.12531599999999998</v>
      </c>
      <c r="AP18" s="742">
        <f t="shared" si="7"/>
        <v>0.12531599999999998</v>
      </c>
      <c r="AQ18" s="742">
        <f t="shared" si="7"/>
        <v>0.12531599999999998</v>
      </c>
      <c r="AR18" s="742">
        <f t="shared" si="7"/>
        <v>0.12531599999999998</v>
      </c>
      <c r="AS18" s="742">
        <f t="shared" si="7"/>
        <v>0.12531599999999998</v>
      </c>
      <c r="AT18" s="742">
        <f t="shared" si="7"/>
        <v>0.12531599999999998</v>
      </c>
      <c r="AU18" s="742">
        <f t="shared" si="7"/>
        <v>0.15316399999999999</v>
      </c>
      <c r="AV18" s="742">
        <f t="shared" si="7"/>
        <v>0.15316399999999999</v>
      </c>
      <c r="AW18" s="742">
        <f t="shared" ref="AW18:BP18" si="8">AW1*1.18</f>
        <v>0.15316399999999999</v>
      </c>
      <c r="AX18" s="742">
        <f t="shared" si="8"/>
        <v>0.15316399999999999</v>
      </c>
      <c r="AY18" s="742">
        <f t="shared" si="8"/>
        <v>0.15316399999999999</v>
      </c>
      <c r="AZ18" s="742">
        <f t="shared" si="8"/>
        <v>0.15316399999999999</v>
      </c>
      <c r="BA18" s="742">
        <f t="shared" si="8"/>
        <v>0.15316399999999999</v>
      </c>
      <c r="BB18" s="742">
        <f t="shared" si="8"/>
        <v>0.15316399999999999</v>
      </c>
      <c r="BC18" s="742">
        <f t="shared" si="8"/>
        <v>0.15316399999999999</v>
      </c>
      <c r="BD18" s="742">
        <f t="shared" si="8"/>
        <v>0.15316399999999999</v>
      </c>
      <c r="BE18" s="742">
        <f t="shared" si="8"/>
        <v>0.15316399999999999</v>
      </c>
      <c r="BF18" s="742">
        <f t="shared" si="8"/>
        <v>0.15316399999999999</v>
      </c>
      <c r="BG18" s="742">
        <f t="shared" si="8"/>
        <v>0.15316399999999999</v>
      </c>
      <c r="BH18" s="742">
        <f t="shared" si="8"/>
        <v>0.15316399999999999</v>
      </c>
      <c r="BI18" s="742">
        <f t="shared" si="8"/>
        <v>0.15316399999999999</v>
      </c>
      <c r="BJ18" s="742">
        <f t="shared" si="8"/>
        <v>0.15316399999999999</v>
      </c>
      <c r="BK18" s="742">
        <f t="shared" si="8"/>
        <v>0.15316399999999999</v>
      </c>
      <c r="BL18" s="742">
        <f t="shared" si="8"/>
        <v>0.15316399999999999</v>
      </c>
      <c r="BM18" s="742">
        <f t="shared" si="8"/>
        <v>0.15316399999999999</v>
      </c>
      <c r="BN18" s="742">
        <f t="shared" si="8"/>
        <v>0.15316399999999999</v>
      </c>
      <c r="BO18" s="742">
        <f t="shared" si="8"/>
        <v>0.15316399999999999</v>
      </c>
      <c r="BP18" s="742">
        <f t="shared" si="8"/>
        <v>0.15316399999999999</v>
      </c>
    </row>
    <row r="19" spans="1:70" hidden="1" x14ac:dyDescent="0.35">
      <c r="C19" s="741"/>
      <c r="D19" s="155"/>
      <c r="V19" s="498">
        <v>56945</v>
      </c>
      <c r="AI19" s="498">
        <v>129418</v>
      </c>
      <c r="BH19" s="498">
        <v>176120</v>
      </c>
      <c r="BJ19" s="498">
        <v>14576</v>
      </c>
      <c r="BO19" s="498">
        <v>217533</v>
      </c>
    </row>
    <row r="20" spans="1:70" hidden="1" x14ac:dyDescent="0.35">
      <c r="C20" s="741"/>
      <c r="D20" s="743"/>
      <c r="V20" s="498">
        <f>V19/Z16*V17</f>
        <v>19535.162950257291</v>
      </c>
      <c r="Y20" s="498">
        <f>V19/Z16*Y17</f>
        <v>19535.162950257291</v>
      </c>
      <c r="Z20" s="498">
        <f>V19/Z16*Z17</f>
        <v>17874.674099485419</v>
      </c>
      <c r="AI20" s="498">
        <f>AI19/AK16*AI17</f>
        <v>62905.113960749331</v>
      </c>
      <c r="AK20" s="498">
        <f>AI19/AK16*AK17</f>
        <v>66512.886039250676</v>
      </c>
      <c r="BH20" s="308">
        <f>BH19/BI16*BH17</f>
        <v>116390.16894895963</v>
      </c>
      <c r="BI20" s="308">
        <f>BH19/BI16*BI17</f>
        <v>59729.831051040375</v>
      </c>
      <c r="BJ20" s="308">
        <f>BJ19/BJ16*BJ17</f>
        <v>4045.2915595043255</v>
      </c>
      <c r="BM20" s="308">
        <f>BJ19/BJ16*BM17</f>
        <v>10530.708440495675</v>
      </c>
      <c r="BO20" s="308">
        <f>BO19/BO16*BO17</f>
        <v>145967.12395036971</v>
      </c>
      <c r="BP20" s="308">
        <f>BO19/BO16*BP17</f>
        <v>71565.876049630286</v>
      </c>
      <c r="BR20" s="308"/>
    </row>
    <row r="21" spans="1:70" hidden="1" x14ac:dyDescent="0.35">
      <c r="C21" s="741"/>
      <c r="D21" s="743"/>
      <c r="E21" s="239"/>
    </row>
    <row r="22" spans="1:70" x14ac:dyDescent="0.35">
      <c r="C22" s="741"/>
      <c r="D22" s="743"/>
    </row>
    <row r="23" spans="1:70" x14ac:dyDescent="0.35">
      <c r="C23" s="741"/>
      <c r="D23" s="743"/>
    </row>
    <row r="24" spans="1:70" ht="15" thickBot="1" x14ac:dyDescent="0.4">
      <c r="Q24" s="309">
        <v>0.1298</v>
      </c>
      <c r="R24" s="309">
        <v>0.1298</v>
      </c>
      <c r="S24" s="309">
        <v>0.1298</v>
      </c>
      <c r="T24" s="309">
        <v>0.1298</v>
      </c>
      <c r="U24" s="309">
        <v>0.1298</v>
      </c>
      <c r="V24" s="309">
        <v>0.1298</v>
      </c>
      <c r="W24" s="309">
        <v>0.1298</v>
      </c>
      <c r="X24" s="309">
        <v>0.1298</v>
      </c>
      <c r="Y24" s="309">
        <v>0.1298</v>
      </c>
      <c r="Z24" s="309">
        <v>0.1298</v>
      </c>
      <c r="AA24" s="309">
        <v>0.1298</v>
      </c>
      <c r="AB24" s="309">
        <v>0.1298</v>
      </c>
      <c r="AC24" s="309">
        <v>0.1298</v>
      </c>
      <c r="AD24" s="309">
        <v>0.1298</v>
      </c>
      <c r="AE24" s="309">
        <v>0.1298</v>
      </c>
      <c r="AF24" s="309">
        <v>0.1298</v>
      </c>
      <c r="AG24" s="309">
        <v>0.1298</v>
      </c>
      <c r="AH24" s="309">
        <v>0.10619999999999999</v>
      </c>
      <c r="AI24" s="309">
        <v>0.10619999999999999</v>
      </c>
      <c r="AJ24" s="309">
        <v>0.10619999999999999</v>
      </c>
      <c r="AK24" s="309">
        <v>0.10619999999999999</v>
      </c>
      <c r="AL24" s="309">
        <v>0.10619999999999999</v>
      </c>
      <c r="AM24" s="309">
        <v>0.10619999999999999</v>
      </c>
      <c r="AN24" s="309">
        <v>0.10619999999999999</v>
      </c>
      <c r="AO24" s="309">
        <v>0.10619999999999999</v>
      </c>
      <c r="AP24" s="309">
        <v>0.10619999999999999</v>
      </c>
      <c r="AQ24" s="309">
        <v>0.10619999999999999</v>
      </c>
      <c r="AR24" s="309">
        <v>0.10619999999999999</v>
      </c>
      <c r="AS24" s="309">
        <v>0.10619999999999999</v>
      </c>
      <c r="AT24" s="309">
        <v>0.10619999999999999</v>
      </c>
      <c r="AU24" s="309">
        <v>0.1298</v>
      </c>
      <c r="AV24" s="309">
        <v>0.1298</v>
      </c>
      <c r="AW24" s="309">
        <v>0.1298</v>
      </c>
      <c r="AX24" s="309">
        <v>0.1298</v>
      </c>
      <c r="AY24" s="309">
        <v>0.1298</v>
      </c>
      <c r="AZ24" s="309">
        <v>0.1298</v>
      </c>
      <c r="BA24" s="309">
        <v>0.1298</v>
      </c>
      <c r="BB24" s="309">
        <v>0.1298</v>
      </c>
      <c r="BC24" s="309">
        <v>0.1298</v>
      </c>
      <c r="BD24" s="309">
        <v>0.1298</v>
      </c>
      <c r="BE24" s="309">
        <v>0.1298</v>
      </c>
      <c r="BF24" s="309">
        <v>0.1298</v>
      </c>
      <c r="BG24" s="309">
        <v>0.1298</v>
      </c>
      <c r="BH24" s="309">
        <v>0.1298</v>
      </c>
      <c r="BI24" s="309">
        <v>0.1298</v>
      </c>
      <c r="BJ24" s="309">
        <v>0.1298</v>
      </c>
      <c r="BK24" s="309">
        <v>0.1298</v>
      </c>
      <c r="BL24" s="309">
        <v>0.1298</v>
      </c>
      <c r="BM24" s="309">
        <v>0.1298</v>
      </c>
      <c r="BN24" s="309">
        <v>0.1298</v>
      </c>
      <c r="BO24" s="309">
        <v>0.1298</v>
      </c>
      <c r="BP24" s="309">
        <v>0.1298</v>
      </c>
    </row>
    <row r="25" spans="1:70" ht="44" thickBot="1" x14ac:dyDescent="0.4">
      <c r="A25" s="823" t="s">
        <v>275</v>
      </c>
      <c r="B25" s="825" t="s">
        <v>495</v>
      </c>
      <c r="C25" s="827" t="s">
        <v>273</v>
      </c>
      <c r="D25" s="829" t="s">
        <v>956</v>
      </c>
      <c r="E25" s="831" t="s">
        <v>573</v>
      </c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60" t="s">
        <v>214</v>
      </c>
      <c r="R25" s="361" t="s">
        <v>214</v>
      </c>
      <c r="S25" s="361" t="s">
        <v>214</v>
      </c>
      <c r="T25" s="361" t="s">
        <v>214</v>
      </c>
      <c r="U25" s="362" t="s">
        <v>214</v>
      </c>
      <c r="V25" s="363" t="s">
        <v>215</v>
      </c>
      <c r="W25" s="364" t="s">
        <v>215</v>
      </c>
      <c r="X25" s="365" t="s">
        <v>215</v>
      </c>
      <c r="Y25" s="365" t="s">
        <v>215</v>
      </c>
      <c r="Z25" s="366" t="s">
        <v>215</v>
      </c>
      <c r="AA25" s="367" t="s">
        <v>210</v>
      </c>
      <c r="AB25" s="368" t="s">
        <v>226</v>
      </c>
      <c r="AC25" s="365" t="s">
        <v>226</v>
      </c>
      <c r="AD25" s="365" t="s">
        <v>226</v>
      </c>
      <c r="AE25" s="365" t="s">
        <v>226</v>
      </c>
      <c r="AF25" s="365" t="s">
        <v>226</v>
      </c>
      <c r="AG25" s="366" t="s">
        <v>226</v>
      </c>
      <c r="AH25" s="368" t="s">
        <v>228</v>
      </c>
      <c r="AI25" s="365" t="s">
        <v>228</v>
      </c>
      <c r="AJ25" s="365" t="s">
        <v>228</v>
      </c>
      <c r="AK25" s="366" t="s">
        <v>228</v>
      </c>
      <c r="AL25" s="368" t="s">
        <v>213</v>
      </c>
      <c r="AM25" s="365" t="s">
        <v>213</v>
      </c>
      <c r="AN25" s="365" t="s">
        <v>213</v>
      </c>
      <c r="AO25" s="365" t="s">
        <v>213</v>
      </c>
      <c r="AP25" s="365" t="s">
        <v>213</v>
      </c>
      <c r="AQ25" s="365" t="s">
        <v>213</v>
      </c>
      <c r="AR25" s="365" t="s">
        <v>213</v>
      </c>
      <c r="AS25" s="365" t="s">
        <v>213</v>
      </c>
      <c r="AT25" s="366" t="s">
        <v>213</v>
      </c>
      <c r="AU25" s="368" t="s">
        <v>233</v>
      </c>
      <c r="AV25" s="365" t="s">
        <v>233</v>
      </c>
      <c r="AW25" s="365" t="s">
        <v>233</v>
      </c>
      <c r="AX25" s="365" t="s">
        <v>233</v>
      </c>
      <c r="AY25" s="365" t="s">
        <v>233</v>
      </c>
      <c r="AZ25" s="365" t="s">
        <v>233</v>
      </c>
      <c r="BA25" s="365" t="s">
        <v>233</v>
      </c>
      <c r="BB25" s="365" t="s">
        <v>233</v>
      </c>
      <c r="BC25" s="365" t="s">
        <v>233</v>
      </c>
      <c r="BD25" s="366" t="s">
        <v>233</v>
      </c>
      <c r="BE25" s="368" t="s">
        <v>318</v>
      </c>
      <c r="BF25" s="365" t="s">
        <v>318</v>
      </c>
      <c r="BG25" s="365" t="s">
        <v>318</v>
      </c>
      <c r="BH25" s="365" t="s">
        <v>318</v>
      </c>
      <c r="BI25" s="372" t="s">
        <v>318</v>
      </c>
      <c r="BJ25" s="368" t="s">
        <v>235</v>
      </c>
      <c r="BK25" s="365" t="s">
        <v>318</v>
      </c>
      <c r="BL25" s="366" t="s">
        <v>318</v>
      </c>
      <c r="BM25" s="373" t="s">
        <v>235</v>
      </c>
      <c r="BN25" s="365" t="s">
        <v>235</v>
      </c>
      <c r="BO25" s="365" t="s">
        <v>235</v>
      </c>
      <c r="BP25" s="366" t="s">
        <v>235</v>
      </c>
    </row>
    <row r="26" spans="1:70" ht="54.5" thickBot="1" x14ac:dyDescent="0.4">
      <c r="A26" s="824"/>
      <c r="B26" s="826"/>
      <c r="C26" s="828"/>
      <c r="D26" s="830"/>
      <c r="E26" s="832"/>
      <c r="F26" s="436" t="s">
        <v>276</v>
      </c>
      <c r="G26" s="437" t="s">
        <v>277</v>
      </c>
      <c r="H26" s="437" t="s">
        <v>278</v>
      </c>
      <c r="I26" s="437" t="s">
        <v>279</v>
      </c>
      <c r="J26" s="437" t="s">
        <v>280</v>
      </c>
      <c r="K26" s="437" t="s">
        <v>281</v>
      </c>
      <c r="L26" s="437" t="s">
        <v>282</v>
      </c>
      <c r="M26" s="438" t="s">
        <v>283</v>
      </c>
      <c r="N26" s="438" t="s">
        <v>284</v>
      </c>
      <c r="O26" s="437" t="s">
        <v>285</v>
      </c>
      <c r="P26" s="439" t="s">
        <v>286</v>
      </c>
      <c r="Q26" s="440" t="s">
        <v>216</v>
      </c>
      <c r="R26" s="441" t="s">
        <v>217</v>
      </c>
      <c r="S26" s="441" t="s">
        <v>218</v>
      </c>
      <c r="T26" s="441" t="s">
        <v>219</v>
      </c>
      <c r="U26" s="442" t="s">
        <v>220</v>
      </c>
      <c r="V26" s="443" t="s">
        <v>216</v>
      </c>
      <c r="W26" s="444" t="s">
        <v>217</v>
      </c>
      <c r="X26" s="444" t="s">
        <v>218</v>
      </c>
      <c r="Y26" s="444" t="s">
        <v>221</v>
      </c>
      <c r="Z26" s="445" t="s">
        <v>219</v>
      </c>
      <c r="AA26" s="446" t="s">
        <v>222</v>
      </c>
      <c r="AB26" s="443" t="s">
        <v>223</v>
      </c>
      <c r="AC26" s="444" t="s">
        <v>218</v>
      </c>
      <c r="AD26" s="444" t="s">
        <v>224</v>
      </c>
      <c r="AE26" s="444" t="s">
        <v>221</v>
      </c>
      <c r="AF26" s="444" t="s">
        <v>227</v>
      </c>
      <c r="AG26" s="445" t="s">
        <v>219</v>
      </c>
      <c r="AH26" s="443" t="s">
        <v>218</v>
      </c>
      <c r="AI26" s="444" t="s">
        <v>221</v>
      </c>
      <c r="AJ26" s="444" t="s">
        <v>225</v>
      </c>
      <c r="AK26" s="445" t="s">
        <v>219</v>
      </c>
      <c r="AL26" s="443" t="s">
        <v>216</v>
      </c>
      <c r="AM26" s="444" t="s">
        <v>217</v>
      </c>
      <c r="AN26" s="444" t="s">
        <v>218</v>
      </c>
      <c r="AO26" s="444" t="s">
        <v>221</v>
      </c>
      <c r="AP26" s="444" t="s">
        <v>225</v>
      </c>
      <c r="AQ26" s="444" t="s">
        <v>230</v>
      </c>
      <c r="AR26" s="444" t="s">
        <v>231</v>
      </c>
      <c r="AS26" s="444" t="s">
        <v>232</v>
      </c>
      <c r="AT26" s="445" t="s">
        <v>220</v>
      </c>
      <c r="AU26" s="443" t="s">
        <v>216</v>
      </c>
      <c r="AV26" s="444" t="s">
        <v>217</v>
      </c>
      <c r="AW26" s="444" t="s">
        <v>218</v>
      </c>
      <c r="AX26" s="444" t="s">
        <v>218</v>
      </c>
      <c r="AY26" s="444" t="s">
        <v>218</v>
      </c>
      <c r="AZ26" s="444" t="s">
        <v>221</v>
      </c>
      <c r="BA26" s="444" t="s">
        <v>225</v>
      </c>
      <c r="BB26" s="444" t="s">
        <v>325</v>
      </c>
      <c r="BC26" s="444" t="s">
        <v>230</v>
      </c>
      <c r="BD26" s="445" t="s">
        <v>219</v>
      </c>
      <c r="BE26" s="443" t="s">
        <v>216</v>
      </c>
      <c r="BF26" s="444" t="s">
        <v>217</v>
      </c>
      <c r="BG26" s="444" t="s">
        <v>218</v>
      </c>
      <c r="BH26" s="444" t="s">
        <v>221</v>
      </c>
      <c r="BI26" s="447" t="s">
        <v>219</v>
      </c>
      <c r="BJ26" s="443" t="s">
        <v>216</v>
      </c>
      <c r="BK26" s="444" t="s">
        <v>218</v>
      </c>
      <c r="BL26" s="445" t="s">
        <v>218</v>
      </c>
      <c r="BM26" s="448" t="s">
        <v>225</v>
      </c>
      <c r="BN26" s="444" t="s">
        <v>230</v>
      </c>
      <c r="BO26" s="444" t="s">
        <v>219</v>
      </c>
      <c r="BP26" s="445" t="s">
        <v>220</v>
      </c>
    </row>
    <row r="27" spans="1:70" ht="15" thickBot="1" x14ac:dyDescent="0.4">
      <c r="A27" s="455"/>
      <c r="B27" s="456"/>
      <c r="C27" s="457"/>
      <c r="D27" s="495" t="s">
        <v>965</v>
      </c>
      <c r="E27" s="458"/>
      <c r="F27" s="459"/>
      <c r="G27" s="355"/>
      <c r="H27" s="355"/>
      <c r="I27" s="355"/>
      <c r="J27" s="355"/>
      <c r="K27" s="355"/>
      <c r="L27" s="355"/>
      <c r="M27" s="354"/>
      <c r="N27" s="354"/>
      <c r="O27" s="355"/>
      <c r="P27" s="356"/>
      <c r="Q27" s="685"/>
      <c r="R27" s="686"/>
      <c r="S27" s="686"/>
      <c r="T27" s="686"/>
      <c r="U27" s="687"/>
      <c r="V27" s="685"/>
      <c r="W27" s="686"/>
      <c r="X27" s="686"/>
      <c r="Y27" s="686"/>
      <c r="Z27" s="688"/>
      <c r="AA27" s="689"/>
      <c r="AB27" s="685"/>
      <c r="AC27" s="686"/>
      <c r="AD27" s="686"/>
      <c r="AE27" s="686"/>
      <c r="AF27" s="686"/>
      <c r="AG27" s="688"/>
      <c r="AH27" s="685"/>
      <c r="AI27" s="686"/>
      <c r="AJ27" s="686"/>
      <c r="AK27" s="688"/>
      <c r="AL27" s="685"/>
      <c r="AM27" s="686"/>
      <c r="AN27" s="686"/>
      <c r="AO27" s="686"/>
      <c r="AP27" s="686"/>
      <c r="AQ27" s="686"/>
      <c r="AR27" s="686"/>
      <c r="AS27" s="686"/>
      <c r="AT27" s="688"/>
      <c r="AU27" s="685"/>
      <c r="AV27" s="686"/>
      <c r="AW27" s="686"/>
      <c r="AX27" s="686"/>
      <c r="AY27" s="686"/>
      <c r="AZ27" s="686"/>
      <c r="BA27" s="686"/>
      <c r="BB27" s="686"/>
      <c r="BC27" s="686"/>
      <c r="BD27" s="688"/>
      <c r="BE27" s="685"/>
      <c r="BF27" s="686"/>
      <c r="BG27" s="686"/>
      <c r="BH27" s="686"/>
      <c r="BI27" s="687"/>
      <c r="BJ27" s="685"/>
      <c r="BK27" s="686"/>
      <c r="BL27" s="688"/>
      <c r="BM27" s="690"/>
      <c r="BN27" s="686"/>
      <c r="BO27" s="686"/>
      <c r="BP27" s="688"/>
    </row>
    <row r="28" spans="1:70" x14ac:dyDescent="0.35">
      <c r="A28" s="691">
        <v>1</v>
      </c>
      <c r="B28" s="692" t="s">
        <v>140</v>
      </c>
      <c r="C28" s="693" t="s">
        <v>141</v>
      </c>
      <c r="D28" s="694" t="s">
        <v>268</v>
      </c>
      <c r="E28" s="695">
        <f t="shared" ref="E28:E35" si="9">SUM(Q28:BP28)</f>
        <v>22469805</v>
      </c>
      <c r="F28" s="696">
        <f>[3]Report1!$Y$307+[3]Report1!$Z$307+[3]Report1!$AA$307+[3]Report1!$AB$307+[3]Report1!$AC$307+[3]Report1!$AD$307+[3]Report1!$AE$307+[3]Report1!$AF$307+[3]Report1!$AG$307</f>
        <v>23279536</v>
      </c>
      <c r="G28" s="697">
        <f>[3]Report1!$O$307+[3]Report1!$P$307+[3]Report1!$Q$307+[3]Report1!$R$307+[3]Report1!$S$307+[3]Report1!$T$307</f>
        <v>10902138</v>
      </c>
      <c r="H28" s="697">
        <f>SUM([3]Report1!$AH$307:$AQ$307)</f>
        <v>979579</v>
      </c>
      <c r="I28" s="697">
        <f>SUM([3]Report1!$I$307:$M$307)</f>
        <v>18239108</v>
      </c>
      <c r="J28" s="697">
        <f>SUM([3]Report1!$AW$307:$BC$307)</f>
        <v>230175</v>
      </c>
      <c r="K28" s="697">
        <f>[3]Report1!$U$307+[3]Report1!$V$307+[3]Report1!$W$307+[3]Report1!$X$307</f>
        <v>3090392</v>
      </c>
      <c r="L28" s="697">
        <f>[3]Report1!$D$307+[3]Report1!$E$307+[3]Report1!$F$307+[3]Report1!$G$307+[3]Report1!$H$307</f>
        <v>7895289</v>
      </c>
      <c r="M28" s="698"/>
      <c r="N28" s="698"/>
      <c r="O28" s="697">
        <f>SUM([3]Report1!$AR$307:$AV$307)</f>
        <v>11234303</v>
      </c>
      <c r="P28" s="699">
        <f>SUM(F28:O28)</f>
        <v>75850520</v>
      </c>
      <c r="Q28" s="700">
        <v>271769</v>
      </c>
      <c r="R28" s="701">
        <v>391892</v>
      </c>
      <c r="S28" s="701"/>
      <c r="T28" s="701">
        <v>653003</v>
      </c>
      <c r="U28" s="702">
        <v>235118</v>
      </c>
      <c r="V28" s="700">
        <v>857934</v>
      </c>
      <c r="W28" s="700">
        <v>1211915</v>
      </c>
      <c r="X28" s="701"/>
      <c r="Y28" s="701">
        <v>1403469</v>
      </c>
      <c r="Z28" s="703">
        <v>1044618</v>
      </c>
      <c r="AA28" s="704"/>
      <c r="AB28" s="700"/>
      <c r="AC28" s="701"/>
      <c r="AD28" s="701">
        <v>725532</v>
      </c>
      <c r="AE28" s="701">
        <v>517835</v>
      </c>
      <c r="AF28" s="701"/>
      <c r="AG28" s="703">
        <v>813101</v>
      </c>
      <c r="AH28" s="700"/>
      <c r="AI28" s="701">
        <v>250780</v>
      </c>
      <c r="AJ28" s="701">
        <v>400555</v>
      </c>
      <c r="AK28" s="703">
        <v>419395</v>
      </c>
      <c r="AL28" s="700">
        <v>309841</v>
      </c>
      <c r="AM28" s="701">
        <v>356642</v>
      </c>
      <c r="AN28" s="701"/>
      <c r="AO28" s="701">
        <v>692190</v>
      </c>
      <c r="AP28" s="701">
        <v>826134</v>
      </c>
      <c r="AQ28" s="701">
        <v>69843</v>
      </c>
      <c r="AR28" s="701">
        <v>378893</v>
      </c>
      <c r="AS28" s="701">
        <v>312302</v>
      </c>
      <c r="AT28" s="703">
        <v>373893</v>
      </c>
      <c r="AU28" s="700">
        <v>461231</v>
      </c>
      <c r="AV28" s="701">
        <v>750770</v>
      </c>
      <c r="AW28" s="701"/>
      <c r="AX28" s="701"/>
      <c r="AY28" s="701"/>
      <c r="AZ28" s="701">
        <v>499940</v>
      </c>
      <c r="BA28" s="701">
        <v>1183701</v>
      </c>
      <c r="BB28" s="701">
        <v>164780</v>
      </c>
      <c r="BC28" s="701">
        <v>44122</v>
      </c>
      <c r="BD28" s="703">
        <v>1398180</v>
      </c>
      <c r="BE28" s="700">
        <v>722271</v>
      </c>
      <c r="BF28" s="701">
        <v>703952</v>
      </c>
      <c r="BG28" s="701"/>
      <c r="BH28" s="701">
        <v>758457</v>
      </c>
      <c r="BI28" s="702">
        <v>738453</v>
      </c>
      <c r="BJ28" s="705">
        <v>359980</v>
      </c>
      <c r="BK28" s="706"/>
      <c r="BL28" s="707"/>
      <c r="BM28" s="708">
        <v>676605</v>
      </c>
      <c r="BN28" s="706">
        <v>294791</v>
      </c>
      <c r="BO28" s="706">
        <v>881819</v>
      </c>
      <c r="BP28" s="707">
        <v>314099</v>
      </c>
    </row>
    <row r="29" spans="1:70" x14ac:dyDescent="0.35">
      <c r="A29" s="57">
        <v>2</v>
      </c>
      <c r="B29" s="497" t="s">
        <v>142</v>
      </c>
      <c r="C29" s="428" t="s">
        <v>271</v>
      </c>
      <c r="D29" s="17" t="s">
        <v>269</v>
      </c>
      <c r="E29" s="481">
        <f t="shared" si="9"/>
        <v>3881380.1799999997</v>
      </c>
      <c r="F29" s="430">
        <f>SUM([3]Report1!$Y$308:$AG$308)</f>
        <v>10539186</v>
      </c>
      <c r="G29" s="65">
        <f>SUM([3]Report1!$O$308:$T$308)</f>
        <v>7539661</v>
      </c>
      <c r="H29" s="65">
        <f>SUM([3]Report1!$AH$308:$AQ$308)</f>
        <v>810036</v>
      </c>
      <c r="I29" s="65">
        <f>SUM([3]Report1!$I$308:$M$308)</f>
        <v>4200092.1400000006</v>
      </c>
      <c r="J29" s="65">
        <f>SUM([3]Report1!$AW$308:$BC$308)</f>
        <v>1359303</v>
      </c>
      <c r="K29" s="65">
        <f>SUM([3]Report1!$U$308:$X$308)</f>
        <v>3098670</v>
      </c>
      <c r="L29" s="65">
        <f>SUM([3]Report1!$D$308:$H$308)</f>
        <v>4838235</v>
      </c>
      <c r="M29" s="58"/>
      <c r="N29" s="58"/>
      <c r="O29" s="65">
        <f>SUM([3]Report1!$AR$308:$AV$308)</f>
        <v>4788936</v>
      </c>
      <c r="P29" s="347">
        <f>SUM(F29:O29)</f>
        <v>37174119.140000001</v>
      </c>
      <c r="Q29" s="710">
        <v>71927.179999999993</v>
      </c>
      <c r="R29" s="488">
        <v>92136</v>
      </c>
      <c r="S29" s="488"/>
      <c r="T29" s="488">
        <v>102072</v>
      </c>
      <c r="U29" s="711">
        <v>43056</v>
      </c>
      <c r="V29" s="710">
        <v>55393</v>
      </c>
      <c r="W29" s="488">
        <v>78717</v>
      </c>
      <c r="X29" s="488"/>
      <c r="Y29" s="712">
        <v>90379</v>
      </c>
      <c r="Z29" s="489">
        <v>67055</v>
      </c>
      <c r="AA29" s="713"/>
      <c r="AB29" s="710"/>
      <c r="AC29" s="488"/>
      <c r="AD29" s="488">
        <v>69528</v>
      </c>
      <c r="AE29" s="488">
        <v>266591</v>
      </c>
      <c r="AF29" s="488"/>
      <c r="AG29" s="489">
        <v>133106</v>
      </c>
      <c r="AH29" s="710"/>
      <c r="AI29" s="488">
        <v>95898</v>
      </c>
      <c r="AJ29" s="488">
        <v>129994</v>
      </c>
      <c r="AK29" s="488">
        <v>101398</v>
      </c>
      <c r="AL29" s="710">
        <v>37189</v>
      </c>
      <c r="AM29" s="488">
        <v>34409</v>
      </c>
      <c r="AN29" s="488"/>
      <c r="AO29" s="488">
        <v>63150</v>
      </c>
      <c r="AP29" s="488">
        <v>120353</v>
      </c>
      <c r="AQ29" s="488">
        <v>64989</v>
      </c>
      <c r="AR29" s="488">
        <v>133898</v>
      </c>
      <c r="AS29" s="488">
        <v>44453</v>
      </c>
      <c r="AT29" s="489">
        <v>50381</v>
      </c>
      <c r="AU29" s="710">
        <v>96910</v>
      </c>
      <c r="AV29" s="488">
        <v>92928</v>
      </c>
      <c r="AW29" s="488"/>
      <c r="AX29" s="488"/>
      <c r="AY29" s="488"/>
      <c r="AZ29" s="488">
        <v>119298</v>
      </c>
      <c r="BA29" s="483">
        <v>132990</v>
      </c>
      <c r="BB29" s="483">
        <v>100760</v>
      </c>
      <c r="BC29" s="483">
        <v>0</v>
      </c>
      <c r="BD29" s="485">
        <v>140404</v>
      </c>
      <c r="BE29" s="482">
        <v>287135</v>
      </c>
      <c r="BF29" s="483">
        <v>186559</v>
      </c>
      <c r="BG29" s="483"/>
      <c r="BH29" s="483">
        <v>173519</v>
      </c>
      <c r="BI29" s="484">
        <v>127933</v>
      </c>
      <c r="BJ29" s="482">
        <v>99617</v>
      </c>
      <c r="BK29" s="483"/>
      <c r="BL29" s="484"/>
      <c r="BM29" s="483">
        <v>99617</v>
      </c>
      <c r="BN29" s="483">
        <v>60504</v>
      </c>
      <c r="BO29" s="483">
        <v>108567</v>
      </c>
      <c r="BP29" s="485">
        <v>108567</v>
      </c>
    </row>
    <row r="30" spans="1:70" x14ac:dyDescent="0.35">
      <c r="A30" s="57">
        <v>3</v>
      </c>
      <c r="B30" s="496" t="s">
        <v>546</v>
      </c>
      <c r="C30" s="428" t="s">
        <v>959</v>
      </c>
      <c r="D30" s="86" t="s">
        <v>287</v>
      </c>
      <c r="E30" s="481">
        <f t="shared" si="9"/>
        <v>311967</v>
      </c>
      <c r="F30" s="74"/>
      <c r="G30" s="58"/>
      <c r="H30" s="58"/>
      <c r="I30" s="58"/>
      <c r="J30" s="58"/>
      <c r="K30" s="58"/>
      <c r="L30" s="58"/>
      <c r="M30" s="58"/>
      <c r="N30" s="58"/>
      <c r="O30" s="58"/>
      <c r="P30" s="347">
        <f t="shared" ref="P30:P35" si="10">SUM(F30:O30)</f>
        <v>0</v>
      </c>
      <c r="Q30" s="710">
        <v>0</v>
      </c>
      <c r="R30" s="488">
        <v>0</v>
      </c>
      <c r="S30" s="488"/>
      <c r="T30" s="711">
        <v>0</v>
      </c>
      <c r="U30" s="489">
        <v>0</v>
      </c>
      <c r="V30" s="710">
        <v>6295</v>
      </c>
      <c r="W30" s="488">
        <v>8945</v>
      </c>
      <c r="X30" s="488"/>
      <c r="Y30" s="488">
        <v>10270</v>
      </c>
      <c r="Z30" s="489">
        <v>7620</v>
      </c>
      <c r="AA30" s="713"/>
      <c r="AB30" s="710"/>
      <c r="AC30" s="488"/>
      <c r="AD30" s="488">
        <v>9299</v>
      </c>
      <c r="AE30" s="488">
        <v>33959</v>
      </c>
      <c r="AF30" s="488"/>
      <c r="AG30" s="489">
        <v>16955</v>
      </c>
      <c r="AH30" s="710"/>
      <c r="AI30" s="488">
        <v>13069</v>
      </c>
      <c r="AJ30" s="488">
        <v>17237</v>
      </c>
      <c r="AK30" s="488">
        <v>13818</v>
      </c>
      <c r="AL30" s="710">
        <v>4476</v>
      </c>
      <c r="AM30" s="488">
        <v>4133</v>
      </c>
      <c r="AN30" s="488"/>
      <c r="AO30" s="488">
        <v>7039</v>
      </c>
      <c r="AP30" s="488">
        <v>13415</v>
      </c>
      <c r="AQ30" s="488">
        <v>7244</v>
      </c>
      <c r="AR30" s="488">
        <v>14923</v>
      </c>
      <c r="AS30" s="488">
        <v>4719</v>
      </c>
      <c r="AT30" s="489">
        <v>5835</v>
      </c>
      <c r="AU30" s="710">
        <v>0</v>
      </c>
      <c r="AV30" s="488">
        <v>0</v>
      </c>
      <c r="AW30" s="488"/>
      <c r="AX30" s="488"/>
      <c r="AY30" s="488"/>
      <c r="AZ30" s="488">
        <v>75817</v>
      </c>
      <c r="BA30" s="483">
        <v>0</v>
      </c>
      <c r="BB30" s="483">
        <v>25385</v>
      </c>
      <c r="BC30" s="483">
        <v>0</v>
      </c>
      <c r="BD30" s="485">
        <v>0</v>
      </c>
      <c r="BE30" s="482">
        <v>0</v>
      </c>
      <c r="BF30" s="483">
        <v>11514</v>
      </c>
      <c r="BG30" s="483"/>
      <c r="BH30" s="483">
        <v>0</v>
      </c>
      <c r="BI30" s="484">
        <v>0</v>
      </c>
      <c r="BJ30" s="482">
        <v>0</v>
      </c>
      <c r="BK30" s="483"/>
      <c r="BL30" s="484"/>
      <c r="BM30" s="483">
        <v>0</v>
      </c>
      <c r="BN30" s="483">
        <v>0</v>
      </c>
      <c r="BO30" s="483">
        <v>0</v>
      </c>
      <c r="BP30" s="485">
        <v>0</v>
      </c>
    </row>
    <row r="31" spans="1:70" x14ac:dyDescent="0.35">
      <c r="A31" s="57">
        <v>4</v>
      </c>
      <c r="B31" s="496" t="s">
        <v>144</v>
      </c>
      <c r="C31" s="428" t="s">
        <v>272</v>
      </c>
      <c r="D31" s="86" t="s">
        <v>287</v>
      </c>
      <c r="E31" s="481">
        <f t="shared" si="9"/>
        <v>1892981</v>
      </c>
      <c r="F31" s="74"/>
      <c r="G31" s="58"/>
      <c r="H31" s="58"/>
      <c r="I31" s="58"/>
      <c r="J31" s="58"/>
      <c r="K31" s="58"/>
      <c r="L31" s="58"/>
      <c r="M31" s="58"/>
      <c r="N31" s="58"/>
      <c r="O31" s="58"/>
      <c r="P31" s="347">
        <f t="shared" si="10"/>
        <v>0</v>
      </c>
      <c r="Q31" s="710">
        <v>44056</v>
      </c>
      <c r="R31" s="488">
        <v>56433</v>
      </c>
      <c r="S31" s="488"/>
      <c r="T31" s="711">
        <v>62519</v>
      </c>
      <c r="U31" s="714">
        <v>26372</v>
      </c>
      <c r="V31" s="710">
        <v>35754</v>
      </c>
      <c r="W31" s="488">
        <v>50808</v>
      </c>
      <c r="X31" s="488"/>
      <c r="Y31" s="488">
        <v>58335</v>
      </c>
      <c r="Z31" s="489">
        <v>43281</v>
      </c>
      <c r="AA31" s="713"/>
      <c r="AB31" s="710"/>
      <c r="AC31" s="488"/>
      <c r="AD31" s="488">
        <v>49828</v>
      </c>
      <c r="AE31" s="488">
        <v>181959</v>
      </c>
      <c r="AF31" s="488"/>
      <c r="AG31" s="489">
        <v>90850</v>
      </c>
      <c r="AH31" s="710"/>
      <c r="AI31" s="488">
        <v>36491</v>
      </c>
      <c r="AJ31" s="488">
        <v>47324</v>
      </c>
      <c r="AK31" s="488">
        <v>36491</v>
      </c>
      <c r="AL31" s="710">
        <v>0</v>
      </c>
      <c r="AM31" s="488">
        <v>0</v>
      </c>
      <c r="AN31" s="488"/>
      <c r="AO31" s="488">
        <v>0</v>
      </c>
      <c r="AP31" s="488">
        <v>0</v>
      </c>
      <c r="AQ31" s="488">
        <v>0</v>
      </c>
      <c r="AR31" s="488">
        <v>0</v>
      </c>
      <c r="AS31" s="488">
        <v>0</v>
      </c>
      <c r="AT31" s="489">
        <v>0</v>
      </c>
      <c r="AU31" s="710">
        <v>80127</v>
      </c>
      <c r="AV31" s="488">
        <v>48662</v>
      </c>
      <c r="AW31" s="488"/>
      <c r="AX31" s="488"/>
      <c r="AY31" s="488"/>
      <c r="AZ31" s="488">
        <v>0</v>
      </c>
      <c r="BA31" s="483">
        <v>109959</v>
      </c>
      <c r="BB31" s="483">
        <v>11754</v>
      </c>
      <c r="BC31" s="483">
        <v>0</v>
      </c>
      <c r="BD31" s="485">
        <v>116089</v>
      </c>
      <c r="BE31" s="482">
        <v>111512</v>
      </c>
      <c r="BF31" s="483">
        <v>74681</v>
      </c>
      <c r="BG31" s="483"/>
      <c r="BH31" s="483">
        <v>58535</v>
      </c>
      <c r="BI31" s="484">
        <v>58535</v>
      </c>
      <c r="BJ31" s="482">
        <v>84107</v>
      </c>
      <c r="BK31" s="483"/>
      <c r="BL31" s="484"/>
      <c r="BM31" s="483">
        <v>84107</v>
      </c>
      <c r="BN31" s="483">
        <v>51084</v>
      </c>
      <c r="BO31" s="483">
        <v>91664</v>
      </c>
      <c r="BP31" s="485">
        <v>91664</v>
      </c>
    </row>
    <row r="32" spans="1:70" x14ac:dyDescent="0.35">
      <c r="A32" s="57">
        <v>5</v>
      </c>
      <c r="B32" s="496" t="s">
        <v>150</v>
      </c>
      <c r="C32" s="428" t="s">
        <v>87</v>
      </c>
      <c r="D32" s="86" t="s">
        <v>288</v>
      </c>
      <c r="E32" s="481">
        <f t="shared" si="9"/>
        <v>3053239</v>
      </c>
      <c r="F32" s="74"/>
      <c r="G32" s="58"/>
      <c r="H32" s="58"/>
      <c r="I32" s="58"/>
      <c r="J32" s="58"/>
      <c r="K32" s="58"/>
      <c r="L32" s="58"/>
      <c r="M32" s="58"/>
      <c r="N32" s="58"/>
      <c r="O32" s="58"/>
      <c r="P32" s="347">
        <f t="shared" si="10"/>
        <v>0</v>
      </c>
      <c r="Q32" s="710">
        <v>0</v>
      </c>
      <c r="R32" s="718">
        <v>426877</v>
      </c>
      <c r="S32" s="488"/>
      <c r="T32" s="719">
        <v>741779</v>
      </c>
      <c r="U32" s="720">
        <v>8874</v>
      </c>
      <c r="V32" s="710">
        <v>23883</v>
      </c>
      <c r="W32" s="488">
        <v>33940</v>
      </c>
      <c r="X32" s="488"/>
      <c r="Y32" s="488">
        <v>38968</v>
      </c>
      <c r="Z32" s="489">
        <v>28911</v>
      </c>
      <c r="AA32" s="713"/>
      <c r="AB32" s="710"/>
      <c r="AC32" s="488"/>
      <c r="AD32" s="488">
        <v>105864</v>
      </c>
      <c r="AE32" s="488">
        <v>55624</v>
      </c>
      <c r="AF32" s="488"/>
      <c r="AG32" s="489">
        <v>103833</v>
      </c>
      <c r="AH32" s="710"/>
      <c r="AI32" s="488">
        <v>119068</v>
      </c>
      <c r="AJ32" s="488">
        <v>60592</v>
      </c>
      <c r="AK32" s="488">
        <v>119068</v>
      </c>
      <c r="AL32" s="710">
        <v>0</v>
      </c>
      <c r="AM32" s="488">
        <v>0</v>
      </c>
      <c r="AN32" s="488"/>
      <c r="AO32" s="488">
        <v>30432</v>
      </c>
      <c r="AP32" s="488">
        <v>57998</v>
      </c>
      <c r="AQ32" s="488">
        <v>31317</v>
      </c>
      <c r="AR32" s="488">
        <v>64523</v>
      </c>
      <c r="AS32" s="488">
        <v>31539</v>
      </c>
      <c r="AT32" s="489">
        <v>42038</v>
      </c>
      <c r="AU32" s="710">
        <v>11013</v>
      </c>
      <c r="AV32" s="488">
        <v>10560</v>
      </c>
      <c r="AW32" s="488"/>
      <c r="AX32" s="488"/>
      <c r="AY32" s="488"/>
      <c r="AZ32" s="488">
        <v>0</v>
      </c>
      <c r="BA32" s="483">
        <v>84801</v>
      </c>
      <c r="BB32" s="483">
        <v>8078</v>
      </c>
      <c r="BC32" s="483">
        <v>0</v>
      </c>
      <c r="BD32" s="485">
        <v>301015</v>
      </c>
      <c r="BE32" s="482">
        <v>20919</v>
      </c>
      <c r="BF32" s="483">
        <v>44380</v>
      </c>
      <c r="BG32" s="483"/>
      <c r="BH32" s="483">
        <v>34379</v>
      </c>
      <c r="BI32" s="484">
        <v>34379</v>
      </c>
      <c r="BJ32" s="482">
        <v>67858.5</v>
      </c>
      <c r="BK32" s="483"/>
      <c r="BL32" s="484"/>
      <c r="BM32" s="483">
        <v>67860.5</v>
      </c>
      <c r="BN32" s="483">
        <v>0</v>
      </c>
      <c r="BO32" s="483">
        <v>121434</v>
      </c>
      <c r="BP32" s="485">
        <v>121434</v>
      </c>
    </row>
    <row r="33" spans="1:68" x14ac:dyDescent="0.35">
      <c r="A33" s="57">
        <v>6</v>
      </c>
      <c r="B33" s="496" t="s">
        <v>151</v>
      </c>
      <c r="C33" s="428" t="s">
        <v>960</v>
      </c>
      <c r="D33" s="86" t="s">
        <v>288</v>
      </c>
      <c r="E33" s="481">
        <f t="shared" si="9"/>
        <v>182111</v>
      </c>
      <c r="F33" s="74"/>
      <c r="G33" s="58"/>
      <c r="H33" s="58"/>
      <c r="I33" s="58"/>
      <c r="J33" s="58"/>
      <c r="K33" s="58"/>
      <c r="L33" s="58"/>
      <c r="M33" s="58"/>
      <c r="N33" s="58"/>
      <c r="O33" s="58"/>
      <c r="P33" s="347">
        <f t="shared" si="10"/>
        <v>0</v>
      </c>
      <c r="Q33" s="710">
        <v>0</v>
      </c>
      <c r="R33" s="488">
        <v>7922</v>
      </c>
      <c r="S33" s="488"/>
      <c r="T33" s="711">
        <v>14129</v>
      </c>
      <c r="U33" s="489">
        <v>2560</v>
      </c>
      <c r="V33" s="710">
        <v>1645</v>
      </c>
      <c r="W33" s="488">
        <v>2337</v>
      </c>
      <c r="X33" s="488"/>
      <c r="Y33" s="488">
        <v>2684</v>
      </c>
      <c r="Z33" s="489">
        <v>1991</v>
      </c>
      <c r="AA33" s="713"/>
      <c r="AB33" s="710"/>
      <c r="AC33" s="488"/>
      <c r="AD33" s="488">
        <v>6559</v>
      </c>
      <c r="AE33" s="488">
        <v>3446</v>
      </c>
      <c r="AF33" s="488"/>
      <c r="AG33" s="489">
        <v>6433</v>
      </c>
      <c r="AH33" s="710"/>
      <c r="AI33" s="488">
        <v>3154</v>
      </c>
      <c r="AJ33" s="488">
        <v>1605</v>
      </c>
      <c r="AK33" s="488">
        <v>3154</v>
      </c>
      <c r="AL33" s="710">
        <v>0</v>
      </c>
      <c r="AM33" s="488">
        <v>0</v>
      </c>
      <c r="AN33" s="488"/>
      <c r="AO33" s="488">
        <v>7381</v>
      </c>
      <c r="AP33" s="488">
        <v>14067</v>
      </c>
      <c r="AQ33" s="488">
        <v>7596</v>
      </c>
      <c r="AR33" s="488">
        <v>15648</v>
      </c>
      <c r="AS33" s="488">
        <v>4948</v>
      </c>
      <c r="AT33" s="489">
        <v>6546</v>
      </c>
      <c r="AU33" s="710">
        <v>0</v>
      </c>
      <c r="AV33" s="488">
        <v>0</v>
      </c>
      <c r="AW33" s="488"/>
      <c r="AX33" s="488"/>
      <c r="AY33" s="488"/>
      <c r="AZ33" s="488">
        <v>0</v>
      </c>
      <c r="BA33" s="483">
        <v>6301</v>
      </c>
      <c r="BB33" s="483">
        <v>0</v>
      </c>
      <c r="BC33" s="483">
        <v>0</v>
      </c>
      <c r="BD33" s="485">
        <v>25775</v>
      </c>
      <c r="BE33" s="482">
        <v>2083</v>
      </c>
      <c r="BF33" s="483">
        <v>4419</v>
      </c>
      <c r="BG33" s="483"/>
      <c r="BH33" s="483">
        <v>3423</v>
      </c>
      <c r="BI33" s="484">
        <v>3423</v>
      </c>
      <c r="BJ33" s="482">
        <v>3846</v>
      </c>
      <c r="BK33" s="483"/>
      <c r="BL33" s="484"/>
      <c r="BM33" s="483">
        <v>3846</v>
      </c>
      <c r="BN33" s="483">
        <v>0</v>
      </c>
      <c r="BO33" s="483">
        <v>7595</v>
      </c>
      <c r="BP33" s="485">
        <v>7595</v>
      </c>
    </row>
    <row r="34" spans="1:68" x14ac:dyDescent="0.35">
      <c r="A34" s="57">
        <v>7</v>
      </c>
      <c r="B34" s="496" t="s">
        <v>153</v>
      </c>
      <c r="C34" s="428" t="s">
        <v>958</v>
      </c>
      <c r="D34" s="86" t="s">
        <v>288</v>
      </c>
      <c r="E34" s="481">
        <f t="shared" si="9"/>
        <v>98612</v>
      </c>
      <c r="F34" s="74"/>
      <c r="G34" s="58"/>
      <c r="H34" s="58"/>
      <c r="I34" s="58"/>
      <c r="J34" s="58"/>
      <c r="K34" s="58"/>
      <c r="L34" s="58"/>
      <c r="M34" s="58"/>
      <c r="N34" s="58"/>
      <c r="O34" s="58"/>
      <c r="P34" s="347">
        <f t="shared" si="10"/>
        <v>0</v>
      </c>
      <c r="Q34" s="710">
        <v>0</v>
      </c>
      <c r="R34" s="488">
        <v>0</v>
      </c>
      <c r="S34" s="488"/>
      <c r="T34" s="711">
        <v>0</v>
      </c>
      <c r="U34" s="489">
        <v>0</v>
      </c>
      <c r="V34" s="710">
        <v>0</v>
      </c>
      <c r="W34" s="488">
        <v>0</v>
      </c>
      <c r="X34" s="488"/>
      <c r="Y34" s="488">
        <v>0</v>
      </c>
      <c r="Z34" s="489">
        <v>0</v>
      </c>
      <c r="AA34" s="713"/>
      <c r="AB34" s="710"/>
      <c r="AC34" s="488"/>
      <c r="AD34" s="488">
        <v>0</v>
      </c>
      <c r="AE34" s="488">
        <v>0</v>
      </c>
      <c r="AF34" s="488"/>
      <c r="AG34" s="489">
        <v>0</v>
      </c>
      <c r="AH34" s="710"/>
      <c r="AI34" s="488">
        <v>0</v>
      </c>
      <c r="AJ34" s="488">
        <v>0</v>
      </c>
      <c r="AK34" s="488">
        <v>0</v>
      </c>
      <c r="AL34" s="710">
        <v>0</v>
      </c>
      <c r="AM34" s="488">
        <v>0</v>
      </c>
      <c r="AN34" s="488"/>
      <c r="AO34" s="488">
        <v>0</v>
      </c>
      <c r="AP34" s="488">
        <v>0</v>
      </c>
      <c r="AQ34" s="488">
        <v>0</v>
      </c>
      <c r="AR34" s="488">
        <v>0</v>
      </c>
      <c r="AS34" s="488">
        <v>0</v>
      </c>
      <c r="AT34" s="489">
        <v>0</v>
      </c>
      <c r="AU34" s="710">
        <v>0</v>
      </c>
      <c r="AV34" s="488">
        <v>0</v>
      </c>
      <c r="AW34" s="488"/>
      <c r="AX34" s="488"/>
      <c r="AY34" s="488"/>
      <c r="AZ34" s="488">
        <v>69977</v>
      </c>
      <c r="BA34" s="483">
        <v>0</v>
      </c>
      <c r="BB34" s="483">
        <v>28635</v>
      </c>
      <c r="BC34" s="483">
        <v>0</v>
      </c>
      <c r="BD34" s="485">
        <v>0</v>
      </c>
      <c r="BE34" s="482">
        <v>0</v>
      </c>
      <c r="BF34" s="483">
        <v>0</v>
      </c>
      <c r="BG34" s="483"/>
      <c r="BH34" s="483">
        <v>0</v>
      </c>
      <c r="BI34" s="484">
        <v>0</v>
      </c>
      <c r="BJ34" s="482">
        <v>0</v>
      </c>
      <c r="BK34" s="483"/>
      <c r="BL34" s="484"/>
      <c r="BM34" s="483">
        <v>0</v>
      </c>
      <c r="BN34" s="483">
        <v>0</v>
      </c>
      <c r="BO34" s="483">
        <v>0</v>
      </c>
      <c r="BP34" s="485">
        <v>0</v>
      </c>
    </row>
    <row r="35" spans="1:68" x14ac:dyDescent="0.35">
      <c r="A35" s="57">
        <v>8</v>
      </c>
      <c r="B35" s="496" t="s">
        <v>146</v>
      </c>
      <c r="C35" s="428" t="s">
        <v>274</v>
      </c>
      <c r="D35" s="86" t="s">
        <v>288</v>
      </c>
      <c r="E35" s="481">
        <f t="shared" si="9"/>
        <v>677525</v>
      </c>
      <c r="F35" s="74"/>
      <c r="G35" s="58"/>
      <c r="H35" s="58"/>
      <c r="I35" s="58"/>
      <c r="J35" s="58"/>
      <c r="K35" s="58"/>
      <c r="L35" s="58"/>
      <c r="M35" s="58"/>
      <c r="N35" s="58"/>
      <c r="O35" s="58"/>
      <c r="P35" s="347">
        <f t="shared" si="10"/>
        <v>0</v>
      </c>
      <c r="Q35" s="710">
        <v>3611</v>
      </c>
      <c r="R35" s="488">
        <v>9372</v>
      </c>
      <c r="S35" s="488"/>
      <c r="T35" s="488">
        <v>10122</v>
      </c>
      <c r="U35" s="711">
        <v>3206</v>
      </c>
      <c r="V35" s="710">
        <v>13726</v>
      </c>
      <c r="W35" s="488">
        <v>19505</v>
      </c>
      <c r="X35" s="488"/>
      <c r="Y35" s="488">
        <v>22395</v>
      </c>
      <c r="Z35" s="489">
        <v>16615</v>
      </c>
      <c r="AA35" s="713"/>
      <c r="AB35" s="710"/>
      <c r="AC35" s="488"/>
      <c r="AD35" s="488">
        <v>21233</v>
      </c>
      <c r="AE35" s="488">
        <v>10528</v>
      </c>
      <c r="AF35" s="488"/>
      <c r="AG35" s="489">
        <v>22230</v>
      </c>
      <c r="AH35" s="710"/>
      <c r="AI35" s="488">
        <v>388</v>
      </c>
      <c r="AJ35" s="488">
        <v>20065</v>
      </c>
      <c r="AK35" s="489">
        <v>388</v>
      </c>
      <c r="AL35" s="710">
        <v>5968</v>
      </c>
      <c r="AM35" s="488">
        <v>10924</v>
      </c>
      <c r="AN35" s="488"/>
      <c r="AO35" s="488">
        <v>5091</v>
      </c>
      <c r="AP35" s="488">
        <v>9704</v>
      </c>
      <c r="AQ35" s="488">
        <v>5241</v>
      </c>
      <c r="AR35" s="488">
        <v>10792</v>
      </c>
      <c r="AS35" s="488">
        <v>15623</v>
      </c>
      <c r="AT35" s="489">
        <v>9828</v>
      </c>
      <c r="AU35" s="710">
        <v>3400</v>
      </c>
      <c r="AV35" s="488">
        <v>3400</v>
      </c>
      <c r="AW35" s="488"/>
      <c r="AX35" s="488"/>
      <c r="AY35" s="488"/>
      <c r="AZ35" s="488">
        <v>3400</v>
      </c>
      <c r="BA35" s="483">
        <v>65036</v>
      </c>
      <c r="BB35" s="483">
        <v>0</v>
      </c>
      <c r="BC35" s="483">
        <v>3400</v>
      </c>
      <c r="BD35" s="485">
        <v>51164</v>
      </c>
      <c r="BE35" s="482">
        <v>11408</v>
      </c>
      <c r="BF35" s="483">
        <v>30972</v>
      </c>
      <c r="BG35" s="483"/>
      <c r="BH35" s="483">
        <v>15884</v>
      </c>
      <c r="BI35" s="484">
        <v>15884</v>
      </c>
      <c r="BJ35" s="482">
        <v>0</v>
      </c>
      <c r="BK35" s="483"/>
      <c r="BL35" s="484"/>
      <c r="BM35" s="483">
        <v>0</v>
      </c>
      <c r="BN35" s="483">
        <v>9822</v>
      </c>
      <c r="BO35" s="483">
        <v>108600</v>
      </c>
      <c r="BP35" s="485">
        <v>108600</v>
      </c>
    </row>
    <row r="36" spans="1:68" ht="15" thickBot="1" x14ac:dyDescent="0.4">
      <c r="A36" s="57">
        <v>9</v>
      </c>
      <c r="B36" s="496" t="s">
        <v>148</v>
      </c>
      <c r="C36" s="428" t="s">
        <v>957</v>
      </c>
      <c r="D36" s="86" t="s">
        <v>287</v>
      </c>
      <c r="E36" s="481">
        <f>SUM(Q36:BP36)</f>
        <v>4311630</v>
      </c>
      <c r="F36" s="74"/>
      <c r="G36" s="58"/>
      <c r="H36" s="58"/>
      <c r="I36" s="58"/>
      <c r="J36" s="58"/>
      <c r="K36" s="58"/>
      <c r="L36" s="58"/>
      <c r="M36" s="58"/>
      <c r="N36" s="58"/>
      <c r="O36" s="58"/>
      <c r="P36" s="347">
        <f>SUM(F36:O36)</f>
        <v>0</v>
      </c>
      <c r="Q36" s="710">
        <v>67709</v>
      </c>
      <c r="R36" s="488">
        <v>77772</v>
      </c>
      <c r="S36" s="488"/>
      <c r="T36" s="488">
        <v>93635</v>
      </c>
      <c r="U36" s="711">
        <v>46257</v>
      </c>
      <c r="V36" s="710">
        <v>38761</v>
      </c>
      <c r="W36" s="488">
        <v>55082</v>
      </c>
      <c r="X36" s="488"/>
      <c r="Y36" s="488">
        <v>63243</v>
      </c>
      <c r="Z36" s="489">
        <v>46922</v>
      </c>
      <c r="AA36" s="713"/>
      <c r="AB36" s="710"/>
      <c r="AC36" s="488"/>
      <c r="AD36" s="488">
        <v>389061</v>
      </c>
      <c r="AE36" s="488">
        <v>580885</v>
      </c>
      <c r="AF36" s="488"/>
      <c r="AG36" s="489">
        <v>454777</v>
      </c>
      <c r="AH36" s="710"/>
      <c r="AI36" s="488">
        <v>64709</v>
      </c>
      <c r="AJ36" s="488">
        <v>42551</v>
      </c>
      <c r="AK36" s="488">
        <v>64709</v>
      </c>
      <c r="AL36" s="710">
        <v>116194</v>
      </c>
      <c r="AM36" s="488">
        <v>203705</v>
      </c>
      <c r="AN36" s="488"/>
      <c r="AO36" s="488">
        <v>90680</v>
      </c>
      <c r="AP36" s="488">
        <v>172825</v>
      </c>
      <c r="AQ36" s="488">
        <v>93323</v>
      </c>
      <c r="AR36" s="488">
        <v>192268</v>
      </c>
      <c r="AS36" s="488">
        <v>81607</v>
      </c>
      <c r="AT36" s="489">
        <v>217387</v>
      </c>
      <c r="AU36" s="710">
        <v>0</v>
      </c>
      <c r="AV36" s="488">
        <v>0</v>
      </c>
      <c r="AW36" s="488"/>
      <c r="AX36" s="488"/>
      <c r="AY36" s="488"/>
      <c r="AZ36" s="488">
        <v>0</v>
      </c>
      <c r="BA36" s="483">
        <v>260662</v>
      </c>
      <c r="BB36" s="483">
        <v>3721</v>
      </c>
      <c r="BC36" s="483">
        <v>0</v>
      </c>
      <c r="BD36" s="485">
        <v>302125</v>
      </c>
      <c r="BE36" s="482">
        <v>195910</v>
      </c>
      <c r="BF36" s="483">
        <v>119030</v>
      </c>
      <c r="BG36" s="483"/>
      <c r="BH36" s="483">
        <v>88060</v>
      </c>
      <c r="BI36" s="484">
        <v>88060</v>
      </c>
      <c r="BJ36" s="715">
        <v>0</v>
      </c>
      <c r="BK36" s="716"/>
      <c r="BL36" s="717"/>
      <c r="BM36" s="715">
        <v>0</v>
      </c>
      <c r="BN36" s="716">
        <v>0</v>
      </c>
      <c r="BO36" s="716">
        <v>0</v>
      </c>
      <c r="BP36" s="717">
        <v>0</v>
      </c>
    </row>
    <row r="37" spans="1:68" ht="15" thickBot="1" x14ac:dyDescent="0.4">
      <c r="A37" s="724"/>
      <c r="B37" s="725"/>
      <c r="C37" s="726" t="s">
        <v>286</v>
      </c>
      <c r="D37" s="727"/>
      <c r="E37" s="431">
        <f>SUM(E28:E36)</f>
        <v>36879250.18</v>
      </c>
      <c r="F37" s="728">
        <f>SUM(F29:F36)</f>
        <v>10539186</v>
      </c>
      <c r="G37" s="729">
        <f t="shared" ref="G37:O37" si="11">SUM(G28:G36)</f>
        <v>18441799</v>
      </c>
      <c r="H37" s="729">
        <f t="shared" si="11"/>
        <v>1789615</v>
      </c>
      <c r="I37" s="729">
        <f t="shared" si="11"/>
        <v>22439200.140000001</v>
      </c>
      <c r="J37" s="729">
        <f t="shared" si="11"/>
        <v>1589478</v>
      </c>
      <c r="K37" s="729">
        <f t="shared" si="11"/>
        <v>6189062</v>
      </c>
      <c r="L37" s="729">
        <f t="shared" si="11"/>
        <v>12733524</v>
      </c>
      <c r="M37" s="729">
        <f t="shared" si="11"/>
        <v>0</v>
      </c>
      <c r="N37" s="729">
        <f t="shared" si="11"/>
        <v>0</v>
      </c>
      <c r="O37" s="729">
        <f t="shared" si="11"/>
        <v>16023239</v>
      </c>
      <c r="P37" s="730">
        <f t="shared" ref="P37" si="12">SUM(F37:O37)</f>
        <v>89745103.140000001</v>
      </c>
      <c r="Q37" s="374">
        <f t="shared" ref="Q37:W37" si="13">SUM(Q28:Q36)</f>
        <v>459072.18</v>
      </c>
      <c r="R37" s="374">
        <f t="shared" si="13"/>
        <v>1062404</v>
      </c>
      <c r="S37" s="374">
        <f t="shared" si="13"/>
        <v>0</v>
      </c>
      <c r="T37" s="374">
        <f t="shared" si="13"/>
        <v>1677259</v>
      </c>
      <c r="U37" s="375">
        <f t="shared" si="13"/>
        <v>365443</v>
      </c>
      <c r="V37" s="375">
        <f t="shared" si="13"/>
        <v>1033391</v>
      </c>
      <c r="W37" s="375">
        <f t="shared" si="13"/>
        <v>1461249</v>
      </c>
      <c r="X37" s="377"/>
      <c r="Y37" s="378">
        <f>SUM(Y28:Y36)</f>
        <v>1689743</v>
      </c>
      <c r="Z37" s="379">
        <f>SUM(Z28:Z36)</f>
        <v>1257013</v>
      </c>
      <c r="AA37" s="731"/>
      <c r="AB37" s="732"/>
      <c r="AC37" s="377"/>
      <c r="AD37" s="379">
        <f>SUM(AD28:AD36)</f>
        <v>1376904</v>
      </c>
      <c r="AE37" s="379">
        <f>SUM(AE28:AE36)</f>
        <v>1650827</v>
      </c>
      <c r="AF37" s="379">
        <f>SUM(AF28:AF36)</f>
        <v>0</v>
      </c>
      <c r="AG37" s="379">
        <f>SUM(AG28:AG36)</f>
        <v>1641285</v>
      </c>
      <c r="AH37" s="732"/>
      <c r="AI37" s="379">
        <f t="shared" ref="AI37:BP37" si="14">SUM(AI28:AI36)</f>
        <v>583557</v>
      </c>
      <c r="AJ37" s="379">
        <f t="shared" si="14"/>
        <v>719923</v>
      </c>
      <c r="AK37" s="379">
        <f t="shared" si="14"/>
        <v>758421</v>
      </c>
      <c r="AL37" s="379">
        <f t="shared" si="14"/>
        <v>473668</v>
      </c>
      <c r="AM37" s="379">
        <f t="shared" si="14"/>
        <v>609813</v>
      </c>
      <c r="AN37" s="379">
        <f t="shared" si="14"/>
        <v>0</v>
      </c>
      <c r="AO37" s="379">
        <f t="shared" si="14"/>
        <v>895963</v>
      </c>
      <c r="AP37" s="379">
        <f t="shared" si="14"/>
        <v>1214496</v>
      </c>
      <c r="AQ37" s="379">
        <f t="shared" si="14"/>
        <v>279553</v>
      </c>
      <c r="AR37" s="379">
        <f t="shared" si="14"/>
        <v>810945</v>
      </c>
      <c r="AS37" s="379">
        <f t="shared" si="14"/>
        <v>495191</v>
      </c>
      <c r="AT37" s="379">
        <f t="shared" si="14"/>
        <v>705908</v>
      </c>
      <c r="AU37" s="379">
        <f t="shared" si="14"/>
        <v>652681</v>
      </c>
      <c r="AV37" s="379">
        <f t="shared" si="14"/>
        <v>906320</v>
      </c>
      <c r="AW37" s="379">
        <f t="shared" si="14"/>
        <v>0</v>
      </c>
      <c r="AX37" s="379">
        <f t="shared" si="14"/>
        <v>0</v>
      </c>
      <c r="AY37" s="379">
        <f t="shared" si="14"/>
        <v>0</v>
      </c>
      <c r="AZ37" s="379">
        <f t="shared" si="14"/>
        <v>768432</v>
      </c>
      <c r="BA37" s="379">
        <f t="shared" si="14"/>
        <v>1843450</v>
      </c>
      <c r="BB37" s="379">
        <f t="shared" si="14"/>
        <v>343113</v>
      </c>
      <c r="BC37" s="379">
        <f t="shared" si="14"/>
        <v>47522</v>
      </c>
      <c r="BD37" s="379">
        <f t="shared" si="14"/>
        <v>2334752</v>
      </c>
      <c r="BE37" s="379">
        <f t="shared" si="14"/>
        <v>1351238</v>
      </c>
      <c r="BF37" s="379">
        <f t="shared" si="14"/>
        <v>1175507</v>
      </c>
      <c r="BG37" s="379">
        <f t="shared" si="14"/>
        <v>0</v>
      </c>
      <c r="BH37" s="379">
        <f t="shared" si="14"/>
        <v>1132257</v>
      </c>
      <c r="BI37" s="379">
        <f t="shared" si="14"/>
        <v>1066667</v>
      </c>
      <c r="BJ37" s="379">
        <f t="shared" si="14"/>
        <v>615408.5</v>
      </c>
      <c r="BK37" s="379">
        <f t="shared" si="14"/>
        <v>0</v>
      </c>
      <c r="BL37" s="379">
        <f t="shared" si="14"/>
        <v>0</v>
      </c>
      <c r="BM37" s="379">
        <f t="shared" si="14"/>
        <v>932035.5</v>
      </c>
      <c r="BN37" s="379">
        <f t="shared" si="14"/>
        <v>416201</v>
      </c>
      <c r="BO37" s="379">
        <f t="shared" si="14"/>
        <v>1319679</v>
      </c>
      <c r="BP37" s="379">
        <f t="shared" si="14"/>
        <v>751959</v>
      </c>
    </row>
    <row r="41" spans="1:68" ht="15" thickBot="1" x14ac:dyDescent="0.4">
      <c r="Q41" s="309">
        <v>0.1298</v>
      </c>
      <c r="R41" s="309">
        <v>0.1298</v>
      </c>
      <c r="S41" s="309">
        <v>0.1298</v>
      </c>
      <c r="T41" s="309">
        <v>0.1298</v>
      </c>
      <c r="U41" s="309">
        <v>0.1298</v>
      </c>
      <c r="V41" s="309">
        <v>0.1298</v>
      </c>
      <c r="W41" s="309">
        <v>0.1298</v>
      </c>
      <c r="X41" s="309">
        <v>0.1298</v>
      </c>
      <c r="Y41" s="309">
        <v>0.1298</v>
      </c>
      <c r="Z41" s="309">
        <v>0.1298</v>
      </c>
      <c r="AA41" s="309">
        <v>0.1298</v>
      </c>
      <c r="AB41" s="309">
        <v>0.1298</v>
      </c>
      <c r="AC41" s="309">
        <v>0.1298</v>
      </c>
      <c r="AD41" s="309">
        <v>0.1298</v>
      </c>
      <c r="AE41" s="309">
        <v>0.1298</v>
      </c>
      <c r="AF41" s="309">
        <v>0.1298</v>
      </c>
      <c r="AG41" s="309">
        <v>0.1298</v>
      </c>
      <c r="AH41" s="309">
        <v>0.10619999999999999</v>
      </c>
      <c r="AI41" s="309">
        <v>0.10619999999999999</v>
      </c>
      <c r="AJ41" s="309">
        <v>0.10619999999999999</v>
      </c>
      <c r="AK41" s="309">
        <v>0.10619999999999999</v>
      </c>
      <c r="AL41" s="309">
        <v>0.10619999999999999</v>
      </c>
      <c r="AM41" s="309">
        <v>0.10619999999999999</v>
      </c>
      <c r="AN41" s="309">
        <v>0.10619999999999999</v>
      </c>
      <c r="AO41" s="309">
        <v>0.10619999999999999</v>
      </c>
      <c r="AP41" s="309">
        <v>0.10619999999999999</v>
      </c>
      <c r="AQ41" s="309">
        <v>0.10619999999999999</v>
      </c>
      <c r="AR41" s="309">
        <v>0.10619999999999999</v>
      </c>
      <c r="AS41" s="309">
        <v>0.10619999999999999</v>
      </c>
      <c r="AT41" s="309">
        <v>0.10619999999999999</v>
      </c>
      <c r="AU41" s="309">
        <v>0.1298</v>
      </c>
      <c r="AV41" s="309">
        <v>0.1298</v>
      </c>
      <c r="AW41" s="309">
        <v>0.1298</v>
      </c>
      <c r="AX41" s="309">
        <v>0.1298</v>
      </c>
      <c r="AY41" s="309">
        <v>0.1298</v>
      </c>
      <c r="AZ41" s="309">
        <v>0.1298</v>
      </c>
      <c r="BA41" s="309">
        <v>0.1298</v>
      </c>
      <c r="BB41" s="309">
        <v>0.1298</v>
      </c>
      <c r="BC41" s="309">
        <v>0.1298</v>
      </c>
      <c r="BD41" s="309">
        <v>0.1298</v>
      </c>
      <c r="BE41" s="309">
        <v>0.1298</v>
      </c>
      <c r="BF41" s="309">
        <v>0.1298</v>
      </c>
      <c r="BG41" s="309">
        <v>0.1298</v>
      </c>
      <c r="BH41" s="309">
        <v>0.1298</v>
      </c>
      <c r="BI41" s="309">
        <v>0.1298</v>
      </c>
      <c r="BJ41" s="309">
        <v>0.1298</v>
      </c>
      <c r="BK41" s="309">
        <v>0.1298</v>
      </c>
      <c r="BL41" s="309">
        <v>0.1298</v>
      </c>
      <c r="BM41" s="309">
        <v>0.1298</v>
      </c>
      <c r="BN41" s="309">
        <v>0.1298</v>
      </c>
      <c r="BO41" s="309">
        <v>0.1298</v>
      </c>
      <c r="BP41" s="309">
        <v>0.1298</v>
      </c>
    </row>
    <row r="42" spans="1:68" ht="44" thickBot="1" x14ac:dyDescent="0.4">
      <c r="A42" s="823" t="s">
        <v>275</v>
      </c>
      <c r="B42" s="825" t="s">
        <v>495</v>
      </c>
      <c r="C42" s="827" t="s">
        <v>273</v>
      </c>
      <c r="D42" s="829" t="s">
        <v>956</v>
      </c>
      <c r="E42" s="831" t="s">
        <v>573</v>
      </c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60" t="s">
        <v>214</v>
      </c>
      <c r="R42" s="361" t="s">
        <v>214</v>
      </c>
      <c r="S42" s="361" t="s">
        <v>214</v>
      </c>
      <c r="T42" s="361" t="s">
        <v>214</v>
      </c>
      <c r="U42" s="362" t="s">
        <v>214</v>
      </c>
      <c r="V42" s="363" t="s">
        <v>215</v>
      </c>
      <c r="W42" s="364" t="s">
        <v>215</v>
      </c>
      <c r="X42" s="365" t="s">
        <v>215</v>
      </c>
      <c r="Y42" s="365" t="s">
        <v>215</v>
      </c>
      <c r="Z42" s="366" t="s">
        <v>215</v>
      </c>
      <c r="AA42" s="367" t="s">
        <v>210</v>
      </c>
      <c r="AB42" s="368" t="s">
        <v>226</v>
      </c>
      <c r="AC42" s="365" t="s">
        <v>226</v>
      </c>
      <c r="AD42" s="365" t="s">
        <v>226</v>
      </c>
      <c r="AE42" s="365" t="s">
        <v>226</v>
      </c>
      <c r="AF42" s="365" t="s">
        <v>226</v>
      </c>
      <c r="AG42" s="366" t="s">
        <v>226</v>
      </c>
      <c r="AH42" s="368" t="s">
        <v>228</v>
      </c>
      <c r="AI42" s="365" t="s">
        <v>228</v>
      </c>
      <c r="AJ42" s="365" t="s">
        <v>228</v>
      </c>
      <c r="AK42" s="366" t="s">
        <v>228</v>
      </c>
      <c r="AL42" s="368" t="s">
        <v>213</v>
      </c>
      <c r="AM42" s="365" t="s">
        <v>213</v>
      </c>
      <c r="AN42" s="365" t="s">
        <v>213</v>
      </c>
      <c r="AO42" s="365" t="s">
        <v>213</v>
      </c>
      <c r="AP42" s="365" t="s">
        <v>213</v>
      </c>
      <c r="AQ42" s="365" t="s">
        <v>213</v>
      </c>
      <c r="AR42" s="365" t="s">
        <v>213</v>
      </c>
      <c r="AS42" s="365" t="s">
        <v>213</v>
      </c>
      <c r="AT42" s="366" t="s">
        <v>213</v>
      </c>
      <c r="AU42" s="368" t="s">
        <v>233</v>
      </c>
      <c r="AV42" s="365" t="s">
        <v>233</v>
      </c>
      <c r="AW42" s="365" t="s">
        <v>233</v>
      </c>
      <c r="AX42" s="365" t="s">
        <v>233</v>
      </c>
      <c r="AY42" s="365" t="s">
        <v>233</v>
      </c>
      <c r="AZ42" s="365" t="s">
        <v>233</v>
      </c>
      <c r="BA42" s="365" t="s">
        <v>233</v>
      </c>
      <c r="BB42" s="365" t="s">
        <v>233</v>
      </c>
      <c r="BC42" s="365" t="s">
        <v>233</v>
      </c>
      <c r="BD42" s="366" t="s">
        <v>233</v>
      </c>
      <c r="BE42" s="368" t="s">
        <v>318</v>
      </c>
      <c r="BF42" s="365" t="s">
        <v>318</v>
      </c>
      <c r="BG42" s="365" t="s">
        <v>318</v>
      </c>
      <c r="BH42" s="365" t="s">
        <v>318</v>
      </c>
      <c r="BI42" s="372" t="s">
        <v>318</v>
      </c>
      <c r="BJ42" s="368" t="s">
        <v>235</v>
      </c>
      <c r="BK42" s="365" t="s">
        <v>318</v>
      </c>
      <c r="BL42" s="366" t="s">
        <v>318</v>
      </c>
      <c r="BM42" s="373" t="s">
        <v>235</v>
      </c>
      <c r="BN42" s="365" t="s">
        <v>235</v>
      </c>
      <c r="BO42" s="365" t="s">
        <v>235</v>
      </c>
      <c r="BP42" s="366" t="s">
        <v>235</v>
      </c>
    </row>
    <row r="43" spans="1:68" ht="54.5" thickBot="1" x14ac:dyDescent="0.4">
      <c r="A43" s="824"/>
      <c r="B43" s="826"/>
      <c r="C43" s="828"/>
      <c r="D43" s="830"/>
      <c r="E43" s="832"/>
      <c r="F43" s="436" t="s">
        <v>276</v>
      </c>
      <c r="G43" s="437" t="s">
        <v>277</v>
      </c>
      <c r="H43" s="437" t="s">
        <v>278</v>
      </c>
      <c r="I43" s="437" t="s">
        <v>279</v>
      </c>
      <c r="J43" s="437" t="s">
        <v>280</v>
      </c>
      <c r="K43" s="437" t="s">
        <v>281</v>
      </c>
      <c r="L43" s="437" t="s">
        <v>282</v>
      </c>
      <c r="M43" s="438" t="s">
        <v>283</v>
      </c>
      <c r="N43" s="438" t="s">
        <v>284</v>
      </c>
      <c r="O43" s="437" t="s">
        <v>285</v>
      </c>
      <c r="P43" s="439" t="s">
        <v>286</v>
      </c>
      <c r="Q43" s="440" t="s">
        <v>216</v>
      </c>
      <c r="R43" s="441" t="s">
        <v>217</v>
      </c>
      <c r="S43" s="441" t="s">
        <v>218</v>
      </c>
      <c r="T43" s="441" t="s">
        <v>219</v>
      </c>
      <c r="U43" s="442" t="s">
        <v>220</v>
      </c>
      <c r="V43" s="443" t="s">
        <v>216</v>
      </c>
      <c r="W43" s="444" t="s">
        <v>217</v>
      </c>
      <c r="X43" s="444" t="s">
        <v>218</v>
      </c>
      <c r="Y43" s="444" t="s">
        <v>221</v>
      </c>
      <c r="Z43" s="445" t="s">
        <v>219</v>
      </c>
      <c r="AA43" s="446" t="s">
        <v>222</v>
      </c>
      <c r="AB43" s="443" t="s">
        <v>223</v>
      </c>
      <c r="AC43" s="444" t="s">
        <v>218</v>
      </c>
      <c r="AD43" s="444" t="s">
        <v>224</v>
      </c>
      <c r="AE43" s="444" t="s">
        <v>221</v>
      </c>
      <c r="AF43" s="444" t="s">
        <v>227</v>
      </c>
      <c r="AG43" s="445" t="s">
        <v>219</v>
      </c>
      <c r="AH43" s="443" t="s">
        <v>218</v>
      </c>
      <c r="AI43" s="444" t="s">
        <v>221</v>
      </c>
      <c r="AJ43" s="444" t="s">
        <v>225</v>
      </c>
      <c r="AK43" s="445" t="s">
        <v>219</v>
      </c>
      <c r="AL43" s="443" t="s">
        <v>216</v>
      </c>
      <c r="AM43" s="444" t="s">
        <v>217</v>
      </c>
      <c r="AN43" s="444" t="s">
        <v>218</v>
      </c>
      <c r="AO43" s="444" t="s">
        <v>221</v>
      </c>
      <c r="AP43" s="444" t="s">
        <v>225</v>
      </c>
      <c r="AQ43" s="444" t="s">
        <v>230</v>
      </c>
      <c r="AR43" s="444" t="s">
        <v>231</v>
      </c>
      <c r="AS43" s="444" t="s">
        <v>232</v>
      </c>
      <c r="AT43" s="445" t="s">
        <v>220</v>
      </c>
      <c r="AU43" s="443" t="s">
        <v>216</v>
      </c>
      <c r="AV43" s="444" t="s">
        <v>217</v>
      </c>
      <c r="AW43" s="444" t="s">
        <v>218</v>
      </c>
      <c r="AX43" s="444" t="s">
        <v>218</v>
      </c>
      <c r="AY43" s="444" t="s">
        <v>218</v>
      </c>
      <c r="AZ43" s="444" t="s">
        <v>221</v>
      </c>
      <c r="BA43" s="444" t="s">
        <v>225</v>
      </c>
      <c r="BB43" s="444" t="s">
        <v>325</v>
      </c>
      <c r="BC43" s="444" t="s">
        <v>230</v>
      </c>
      <c r="BD43" s="445" t="s">
        <v>219</v>
      </c>
      <c r="BE43" s="443" t="s">
        <v>216</v>
      </c>
      <c r="BF43" s="444" t="s">
        <v>217</v>
      </c>
      <c r="BG43" s="444" t="s">
        <v>218</v>
      </c>
      <c r="BH43" s="444" t="s">
        <v>221</v>
      </c>
      <c r="BI43" s="447" t="s">
        <v>219</v>
      </c>
      <c r="BJ43" s="443" t="s">
        <v>216</v>
      </c>
      <c r="BK43" s="444" t="s">
        <v>218</v>
      </c>
      <c r="BL43" s="445" t="s">
        <v>218</v>
      </c>
      <c r="BM43" s="448" t="s">
        <v>225</v>
      </c>
      <c r="BN43" s="444" t="s">
        <v>230</v>
      </c>
      <c r="BO43" s="444" t="s">
        <v>219</v>
      </c>
      <c r="BP43" s="445" t="s">
        <v>220</v>
      </c>
    </row>
    <row r="44" spans="1:68" ht="15" thickBot="1" x14ac:dyDescent="0.4">
      <c r="A44" s="455"/>
      <c r="B44" s="456"/>
      <c r="C44" s="457"/>
      <c r="D44" s="495" t="s">
        <v>965</v>
      </c>
      <c r="E44" s="458"/>
      <c r="F44" s="459"/>
      <c r="G44" s="355"/>
      <c r="H44" s="355"/>
      <c r="I44" s="355"/>
      <c r="J44" s="355"/>
      <c r="K44" s="355"/>
      <c r="L44" s="355"/>
      <c r="M44" s="354"/>
      <c r="N44" s="354"/>
      <c r="O44" s="355"/>
      <c r="P44" s="356"/>
      <c r="Q44" s="685">
        <v>1135059</v>
      </c>
      <c r="R44" s="686">
        <v>1715781</v>
      </c>
      <c r="S44" s="686">
        <v>0</v>
      </c>
      <c r="T44" s="686">
        <v>2634846</v>
      </c>
      <c r="U44" s="687">
        <v>1027892</v>
      </c>
      <c r="V44" s="685">
        <v>2494804</v>
      </c>
      <c r="W44" s="686">
        <v>3327875</v>
      </c>
      <c r="X44" s="686">
        <v>0</v>
      </c>
      <c r="Y44" s="686">
        <v>4006539</v>
      </c>
      <c r="Z44" s="688">
        <v>3011278</v>
      </c>
      <c r="AA44" s="689">
        <v>0</v>
      </c>
      <c r="AB44" s="685">
        <v>0</v>
      </c>
      <c r="AC44" s="686">
        <v>0</v>
      </c>
      <c r="AD44" s="686">
        <v>3588327</v>
      </c>
      <c r="AE44" s="686">
        <v>2214802</v>
      </c>
      <c r="AF44" s="686">
        <v>0</v>
      </c>
      <c r="AG44" s="688">
        <v>3354094</v>
      </c>
      <c r="AH44" s="685">
        <v>0</v>
      </c>
      <c r="AI44" s="686">
        <v>1527865</v>
      </c>
      <c r="AJ44" s="686">
        <v>2174898</v>
      </c>
      <c r="AK44" s="688">
        <v>2542974</v>
      </c>
      <c r="AL44" s="685">
        <v>1757475</v>
      </c>
      <c r="AM44" s="686">
        <v>1890657</v>
      </c>
      <c r="AN44" s="686">
        <v>0</v>
      </c>
      <c r="AO44" s="686">
        <v>3618285</v>
      </c>
      <c r="AP44" s="686">
        <v>4516351</v>
      </c>
      <c r="AQ44" s="686">
        <v>400985</v>
      </c>
      <c r="AR44" s="686">
        <v>1937431</v>
      </c>
      <c r="AS44" s="686">
        <v>1677275</v>
      </c>
      <c r="AT44" s="688">
        <v>2039248</v>
      </c>
      <c r="AU44" s="685">
        <v>1915330</v>
      </c>
      <c r="AV44" s="686">
        <v>3941753</v>
      </c>
      <c r="AW44" s="686">
        <v>0</v>
      </c>
      <c r="AX44" s="686">
        <v>0</v>
      </c>
      <c r="AY44" s="686">
        <v>0</v>
      </c>
      <c r="AZ44" s="686">
        <v>3851615</v>
      </c>
      <c r="BA44" s="686">
        <v>4919858</v>
      </c>
      <c r="BB44" s="686">
        <v>1081171</v>
      </c>
      <c r="BC44" s="686">
        <v>339925</v>
      </c>
      <c r="BD44" s="688">
        <v>5958770</v>
      </c>
      <c r="BE44" s="685">
        <v>2245013</v>
      </c>
      <c r="BF44" s="686">
        <v>1965010</v>
      </c>
      <c r="BG44" s="686">
        <v>0</v>
      </c>
      <c r="BH44" s="686">
        <v>2031440</v>
      </c>
      <c r="BI44" s="687">
        <v>1870311</v>
      </c>
      <c r="BJ44" s="685">
        <v>1270314</v>
      </c>
      <c r="BK44" s="686">
        <v>0</v>
      </c>
      <c r="BL44" s="688">
        <v>0</v>
      </c>
      <c r="BM44" s="690">
        <v>3709646</v>
      </c>
      <c r="BN44" s="686">
        <v>1291686</v>
      </c>
      <c r="BO44" s="686">
        <v>5010813</v>
      </c>
      <c r="BP44" s="688">
        <v>637007</v>
      </c>
    </row>
    <row r="45" spans="1:68" x14ac:dyDescent="0.35">
      <c r="A45" s="691">
        <v>1</v>
      </c>
      <c r="B45" s="692" t="s">
        <v>140</v>
      </c>
      <c r="C45" s="693" t="s">
        <v>141</v>
      </c>
      <c r="D45" s="694" t="s">
        <v>268</v>
      </c>
      <c r="E45" s="695">
        <f t="shared" ref="E45:E52" si="15">SUM(Q45:BP45)</f>
        <v>-10754628.768999999</v>
      </c>
      <c r="F45" s="696">
        <f>[3]Report1!$Y$307+[3]Report1!$Z$307+[3]Report1!$AA$307+[3]Report1!$AB$307+[3]Report1!$AC$307+[3]Report1!$AD$307+[3]Report1!$AE$307+[3]Report1!$AF$307+[3]Report1!$AG$307</f>
        <v>23279536</v>
      </c>
      <c r="G45" s="697">
        <f>[3]Report1!$O$307+[3]Report1!$P$307+[3]Report1!$Q$307+[3]Report1!$R$307+[3]Report1!$S$307+[3]Report1!$T$307</f>
        <v>10902138</v>
      </c>
      <c r="H45" s="697">
        <f>SUM([3]Report1!$AH$307:$AQ$307)</f>
        <v>979579</v>
      </c>
      <c r="I45" s="697">
        <f>SUM([3]Report1!$I$307:$M$307)</f>
        <v>18239108</v>
      </c>
      <c r="J45" s="697">
        <f>SUM([3]Report1!$AW$307:$BC$307)</f>
        <v>230175</v>
      </c>
      <c r="K45" s="697">
        <f>[3]Report1!$U$307+[3]Report1!$V$307+[3]Report1!$W$307+[3]Report1!$X$307</f>
        <v>3090392</v>
      </c>
      <c r="L45" s="697">
        <f>[3]Report1!$D$307+[3]Report1!$E$307+[3]Report1!$F$307+[3]Report1!$G$307+[3]Report1!$H$307</f>
        <v>7895289</v>
      </c>
      <c r="M45" s="698"/>
      <c r="N45" s="698"/>
      <c r="O45" s="697">
        <f>SUM([3]Report1!$AR$307:$AV$307)</f>
        <v>11234303</v>
      </c>
      <c r="P45" s="699">
        <f>SUM(F45:O45)</f>
        <v>75850520</v>
      </c>
      <c r="Q45" s="700">
        <f t="shared" ref="Q45:AV45" si="16">Q5-Q28</f>
        <v>-124438.34179999999</v>
      </c>
      <c r="R45" s="700">
        <f t="shared" si="16"/>
        <v>-169183.6262</v>
      </c>
      <c r="S45" s="700">
        <f t="shared" si="16"/>
        <v>0</v>
      </c>
      <c r="T45" s="700">
        <f t="shared" si="16"/>
        <v>-310999.98920000001</v>
      </c>
      <c r="U45" s="700">
        <f t="shared" si="16"/>
        <v>-101697.61840000001</v>
      </c>
      <c r="V45" s="700">
        <f t="shared" si="16"/>
        <v>-534108.44079999998</v>
      </c>
      <c r="W45" s="700">
        <f t="shared" si="16"/>
        <v>-779956.82499999995</v>
      </c>
      <c r="X45" s="700">
        <f t="shared" si="16"/>
        <v>0</v>
      </c>
      <c r="Y45" s="700">
        <f t="shared" si="16"/>
        <v>-883420.2378</v>
      </c>
      <c r="Z45" s="700">
        <f t="shared" si="16"/>
        <v>-653754.11560000002</v>
      </c>
      <c r="AA45" s="700">
        <f t="shared" si="16"/>
        <v>0</v>
      </c>
      <c r="AB45" s="700">
        <f t="shared" si="16"/>
        <v>0</v>
      </c>
      <c r="AC45" s="700">
        <f t="shared" si="16"/>
        <v>0</v>
      </c>
      <c r="AD45" s="700">
        <f t="shared" si="16"/>
        <v>-259767.15539999999</v>
      </c>
      <c r="AE45" s="700">
        <f t="shared" si="16"/>
        <v>-230353.70040000003</v>
      </c>
      <c r="AF45" s="700">
        <f t="shared" si="16"/>
        <v>0</v>
      </c>
      <c r="AG45" s="700">
        <f t="shared" si="16"/>
        <v>-377739.59879999998</v>
      </c>
      <c r="AH45" s="700">
        <f t="shared" si="16"/>
        <v>0</v>
      </c>
      <c r="AI45" s="700">
        <f t="shared" si="16"/>
        <v>-88520.737000000023</v>
      </c>
      <c r="AJ45" s="700">
        <f t="shared" si="16"/>
        <v>-169580.83240000001</v>
      </c>
      <c r="AK45" s="700">
        <f t="shared" si="16"/>
        <v>-149331.16120000003</v>
      </c>
      <c r="AL45" s="700">
        <f t="shared" si="16"/>
        <v>-123197.15500000003</v>
      </c>
      <c r="AM45" s="700">
        <f t="shared" si="16"/>
        <v>-155854.22660000002</v>
      </c>
      <c r="AN45" s="700">
        <f t="shared" si="16"/>
        <v>0</v>
      </c>
      <c r="AO45" s="700">
        <f t="shared" si="16"/>
        <v>-307928.13300000003</v>
      </c>
      <c r="AP45" s="700">
        <f t="shared" si="16"/>
        <v>-346497.52380000002</v>
      </c>
      <c r="AQ45" s="700">
        <f t="shared" si="16"/>
        <v>-27258.393000000004</v>
      </c>
      <c r="AR45" s="700">
        <f t="shared" si="16"/>
        <v>-173137.82780000003</v>
      </c>
      <c r="AS45" s="700">
        <f t="shared" si="16"/>
        <v>-134175.39500000002</v>
      </c>
      <c r="AT45" s="700">
        <f t="shared" si="16"/>
        <v>-157324.86240000001</v>
      </c>
      <c r="AU45" s="700">
        <f t="shared" si="16"/>
        <v>-212621.166</v>
      </c>
      <c r="AV45" s="700">
        <f t="shared" si="16"/>
        <v>-239130.46059999999</v>
      </c>
      <c r="AW45" s="700">
        <f t="shared" ref="AW45:BP45" si="17">AW5-AW28</f>
        <v>0</v>
      </c>
      <c r="AX45" s="700">
        <f t="shared" si="17"/>
        <v>0</v>
      </c>
      <c r="AY45" s="700">
        <f t="shared" si="17"/>
        <v>0</v>
      </c>
      <c r="AZ45" s="700">
        <f t="shared" si="17"/>
        <v>-0.37300000002142042</v>
      </c>
      <c r="BA45" s="700">
        <f t="shared" si="17"/>
        <v>-545103.43160000001</v>
      </c>
      <c r="BB45" s="700">
        <f t="shared" si="17"/>
        <v>-24444.004199999996</v>
      </c>
      <c r="BC45" s="700">
        <f t="shared" si="17"/>
        <v>0.26499999999941792</v>
      </c>
      <c r="BD45" s="700">
        <f t="shared" si="17"/>
        <v>-624731.65399999998</v>
      </c>
      <c r="BE45" s="700">
        <f t="shared" si="17"/>
        <v>-430868.3126</v>
      </c>
      <c r="BF45" s="700">
        <f t="shared" si="17"/>
        <v>-448893.70199999999</v>
      </c>
      <c r="BG45" s="700">
        <f t="shared" si="17"/>
        <v>0</v>
      </c>
      <c r="BH45" s="700">
        <f t="shared" si="17"/>
        <v>-494776.08799999999</v>
      </c>
      <c r="BI45" s="700">
        <f t="shared" si="17"/>
        <v>-495686.63219999999</v>
      </c>
      <c r="BJ45" s="700">
        <f t="shared" si="17"/>
        <v>-195093.24280000001</v>
      </c>
      <c r="BK45" s="700">
        <f t="shared" si="17"/>
        <v>0</v>
      </c>
      <c r="BL45" s="700">
        <f t="shared" si="17"/>
        <v>0</v>
      </c>
      <c r="BM45" s="700">
        <f t="shared" si="17"/>
        <v>-195092.94920000003</v>
      </c>
      <c r="BN45" s="700">
        <f t="shared" si="17"/>
        <v>-127130.15720000002</v>
      </c>
      <c r="BO45" s="700">
        <f t="shared" si="17"/>
        <v>-231415.47259999998</v>
      </c>
      <c r="BP45" s="700">
        <f t="shared" si="17"/>
        <v>-231415.4914</v>
      </c>
    </row>
    <row r="46" spans="1:68" x14ac:dyDescent="0.35">
      <c r="A46" s="57">
        <v>2</v>
      </c>
      <c r="B46" s="497" t="s">
        <v>142</v>
      </c>
      <c r="C46" s="428" t="s">
        <v>271</v>
      </c>
      <c r="D46" s="17" t="s">
        <v>269</v>
      </c>
      <c r="E46" s="481">
        <f t="shared" si="15"/>
        <v>-465480.33107047284</v>
      </c>
      <c r="F46" s="430">
        <f>SUM([3]Report1!$Y$308:$AG$308)</f>
        <v>10539186</v>
      </c>
      <c r="G46" s="65">
        <f>SUM([3]Report1!$O$308:$T$308)</f>
        <v>7539661</v>
      </c>
      <c r="H46" s="65">
        <f>SUM([3]Report1!$AH$308:$AQ$308)</f>
        <v>810036</v>
      </c>
      <c r="I46" s="65">
        <f>SUM([3]Report1!$I$308:$M$308)</f>
        <v>4200092.1400000006</v>
      </c>
      <c r="J46" s="65">
        <f>SUM([3]Report1!$AW$308:$BC$308)</f>
        <v>1359303</v>
      </c>
      <c r="K46" s="65">
        <f>SUM([3]Report1!$U$308:$X$308)</f>
        <v>3098670</v>
      </c>
      <c r="L46" s="65">
        <f>SUM([3]Report1!$D$308:$H$308)</f>
        <v>4838235</v>
      </c>
      <c r="M46" s="58"/>
      <c r="N46" s="58"/>
      <c r="O46" s="65">
        <f>SUM([3]Report1!$AR$308:$AV$308)</f>
        <v>4788936</v>
      </c>
      <c r="P46" s="347">
        <f>SUM(F46:O46)</f>
        <v>37174119.140000001</v>
      </c>
      <c r="Q46" s="700">
        <f t="shared" ref="Q46:AV46" si="18">Q6-Q29</f>
        <v>0.82000000000698492</v>
      </c>
      <c r="R46" s="700">
        <f t="shared" si="18"/>
        <v>-0.40677966101793572</v>
      </c>
      <c r="S46" s="700">
        <f t="shared" si="18"/>
        <v>0</v>
      </c>
      <c r="T46" s="700">
        <f t="shared" si="18"/>
        <v>-0.81355932202131953</v>
      </c>
      <c r="U46" s="700">
        <f t="shared" si="18"/>
        <v>0</v>
      </c>
      <c r="V46" s="700">
        <f t="shared" si="18"/>
        <v>10607</v>
      </c>
      <c r="W46" s="700">
        <f t="shared" si="18"/>
        <v>20437</v>
      </c>
      <c r="X46" s="700">
        <f t="shared" si="18"/>
        <v>0</v>
      </c>
      <c r="Y46" s="700">
        <f t="shared" si="18"/>
        <v>-24379</v>
      </c>
      <c r="Z46" s="700">
        <f t="shared" si="18"/>
        <v>-6665</v>
      </c>
      <c r="AA46" s="700">
        <f t="shared" si="18"/>
        <v>0</v>
      </c>
      <c r="AB46" s="700">
        <f t="shared" si="18"/>
        <v>0</v>
      </c>
      <c r="AC46" s="700">
        <f t="shared" si="18"/>
        <v>0</v>
      </c>
      <c r="AD46" s="700">
        <f t="shared" si="18"/>
        <v>0</v>
      </c>
      <c r="AE46" s="700">
        <f t="shared" si="18"/>
        <v>0</v>
      </c>
      <c r="AF46" s="700">
        <f t="shared" si="18"/>
        <v>0</v>
      </c>
      <c r="AG46" s="700">
        <f t="shared" si="18"/>
        <v>0</v>
      </c>
      <c r="AH46" s="700">
        <f t="shared" si="18"/>
        <v>0</v>
      </c>
      <c r="AI46" s="700">
        <f t="shared" si="18"/>
        <v>0</v>
      </c>
      <c r="AJ46" s="700">
        <f t="shared" si="18"/>
        <v>-2064</v>
      </c>
      <c r="AK46" s="700">
        <f t="shared" si="18"/>
        <v>-1413.3307314897393</v>
      </c>
      <c r="AL46" s="700">
        <f t="shared" si="18"/>
        <v>2963</v>
      </c>
      <c r="AM46" s="700">
        <f t="shared" si="18"/>
        <v>4525</v>
      </c>
      <c r="AN46" s="700">
        <f t="shared" si="18"/>
        <v>0</v>
      </c>
      <c r="AO46" s="700">
        <f t="shared" si="18"/>
        <v>-3451.2000000000044</v>
      </c>
      <c r="AP46" s="700">
        <f t="shared" si="18"/>
        <v>-6575</v>
      </c>
      <c r="AQ46" s="700">
        <f t="shared" si="18"/>
        <v>-3551.4000000000015</v>
      </c>
      <c r="AR46" s="700">
        <f t="shared" si="18"/>
        <v>-7318.4000000000087</v>
      </c>
      <c r="AS46" s="700">
        <f t="shared" si="18"/>
        <v>-0.20000000000436557</v>
      </c>
      <c r="AT46" s="700">
        <f t="shared" si="18"/>
        <v>1963</v>
      </c>
      <c r="AU46" s="700">
        <f t="shared" si="18"/>
        <v>0</v>
      </c>
      <c r="AV46" s="700">
        <f t="shared" si="18"/>
        <v>0</v>
      </c>
      <c r="AW46" s="700">
        <f t="shared" ref="AW46:BP46" si="19">AW6-AW29</f>
        <v>0</v>
      </c>
      <c r="AX46" s="700">
        <f t="shared" si="19"/>
        <v>0</v>
      </c>
      <c r="AY46" s="700">
        <f t="shared" si="19"/>
        <v>0</v>
      </c>
      <c r="AZ46" s="700">
        <f t="shared" si="19"/>
        <v>17674</v>
      </c>
      <c r="BA46" s="700">
        <f t="shared" si="19"/>
        <v>0</v>
      </c>
      <c r="BB46" s="700">
        <f t="shared" si="19"/>
        <v>-47850</v>
      </c>
      <c r="BC46" s="700">
        <f t="shared" si="19"/>
        <v>48422</v>
      </c>
      <c r="BD46" s="700">
        <f t="shared" si="19"/>
        <v>0</v>
      </c>
      <c r="BE46" s="700">
        <f t="shared" si="19"/>
        <v>-152164</v>
      </c>
      <c r="BF46" s="700">
        <f t="shared" si="19"/>
        <v>-96167</v>
      </c>
      <c r="BG46" s="700">
        <f t="shared" si="19"/>
        <v>0</v>
      </c>
      <c r="BH46" s="700">
        <f t="shared" si="19"/>
        <v>-79875.800000000017</v>
      </c>
      <c r="BI46" s="700">
        <f t="shared" si="19"/>
        <v>-79876.600000000006</v>
      </c>
      <c r="BJ46" s="700">
        <f t="shared" si="19"/>
        <v>-51363.798690671028</v>
      </c>
      <c r="BK46" s="700">
        <f t="shared" si="19"/>
        <v>0</v>
      </c>
      <c r="BL46" s="700">
        <f t="shared" si="19"/>
        <v>0</v>
      </c>
      <c r="BM46" s="700">
        <f t="shared" si="19"/>
        <v>25995.798690671043</v>
      </c>
      <c r="BN46" s="700">
        <f t="shared" si="19"/>
        <v>-7704</v>
      </c>
      <c r="BO46" s="700">
        <f t="shared" si="19"/>
        <v>18580.267076074699</v>
      </c>
      <c r="BP46" s="700">
        <f t="shared" si="19"/>
        <v>-46228.267076074699</v>
      </c>
    </row>
    <row r="47" spans="1:68" x14ac:dyDescent="0.35">
      <c r="A47" s="57">
        <v>3</v>
      </c>
      <c r="B47" s="496" t="s">
        <v>546</v>
      </c>
      <c r="C47" s="428" t="s">
        <v>959</v>
      </c>
      <c r="D47" s="86" t="s">
        <v>287</v>
      </c>
      <c r="E47" s="481">
        <f t="shared" si="15"/>
        <v>120346</v>
      </c>
      <c r="F47" s="74"/>
      <c r="G47" s="58"/>
      <c r="H47" s="58"/>
      <c r="I47" s="58"/>
      <c r="J47" s="58"/>
      <c r="K47" s="58"/>
      <c r="L47" s="58"/>
      <c r="M47" s="58"/>
      <c r="N47" s="58"/>
      <c r="O47" s="58"/>
      <c r="P47" s="347">
        <f t="shared" ref="P47:P52" si="20">SUM(F47:O47)</f>
        <v>0</v>
      </c>
      <c r="Q47" s="700">
        <f t="shared" ref="Q47:AV47" si="21">Q10-Q30</f>
        <v>9620</v>
      </c>
      <c r="R47" s="700">
        <f t="shared" si="21"/>
        <v>12323</v>
      </c>
      <c r="S47" s="700">
        <f t="shared" si="21"/>
        <v>0</v>
      </c>
      <c r="T47" s="700">
        <f t="shared" si="21"/>
        <v>13652</v>
      </c>
      <c r="U47" s="700">
        <f t="shared" si="21"/>
        <v>5759</v>
      </c>
      <c r="V47" s="700">
        <f t="shared" si="21"/>
        <v>0</v>
      </c>
      <c r="W47" s="700">
        <f t="shared" si="21"/>
        <v>0</v>
      </c>
      <c r="X47" s="700">
        <f t="shared" si="21"/>
        <v>0</v>
      </c>
      <c r="Y47" s="700">
        <f t="shared" si="21"/>
        <v>0</v>
      </c>
      <c r="Z47" s="700">
        <f t="shared" si="21"/>
        <v>0</v>
      </c>
      <c r="AA47" s="700">
        <f t="shared" si="21"/>
        <v>0</v>
      </c>
      <c r="AB47" s="700">
        <f t="shared" si="21"/>
        <v>0</v>
      </c>
      <c r="AC47" s="700">
        <f t="shared" si="21"/>
        <v>0</v>
      </c>
      <c r="AD47" s="700">
        <f t="shared" si="21"/>
        <v>0</v>
      </c>
      <c r="AE47" s="700">
        <f t="shared" si="21"/>
        <v>0</v>
      </c>
      <c r="AF47" s="700">
        <f t="shared" si="21"/>
        <v>0</v>
      </c>
      <c r="AG47" s="700">
        <f t="shared" si="21"/>
        <v>0</v>
      </c>
      <c r="AH47" s="700">
        <f t="shared" si="21"/>
        <v>0</v>
      </c>
      <c r="AI47" s="700">
        <f t="shared" si="21"/>
        <v>0</v>
      </c>
      <c r="AJ47" s="700">
        <f t="shared" si="21"/>
        <v>0</v>
      </c>
      <c r="AK47" s="700">
        <f t="shared" si="21"/>
        <v>0</v>
      </c>
      <c r="AL47" s="700">
        <f t="shared" si="21"/>
        <v>0</v>
      </c>
      <c r="AM47" s="700">
        <f t="shared" si="21"/>
        <v>0</v>
      </c>
      <c r="AN47" s="700">
        <f t="shared" si="21"/>
        <v>0</v>
      </c>
      <c r="AO47" s="700">
        <f t="shared" si="21"/>
        <v>0</v>
      </c>
      <c r="AP47" s="700">
        <f t="shared" si="21"/>
        <v>0</v>
      </c>
      <c r="AQ47" s="700">
        <f t="shared" si="21"/>
        <v>0</v>
      </c>
      <c r="AR47" s="700">
        <f t="shared" si="21"/>
        <v>0</v>
      </c>
      <c r="AS47" s="700">
        <f t="shared" si="21"/>
        <v>0</v>
      </c>
      <c r="AT47" s="700">
        <f t="shared" si="21"/>
        <v>0</v>
      </c>
      <c r="AU47" s="700">
        <f t="shared" si="21"/>
        <v>11013</v>
      </c>
      <c r="AV47" s="700">
        <f t="shared" si="21"/>
        <v>10560</v>
      </c>
      <c r="AW47" s="700">
        <f t="shared" ref="AW47:BP47" si="22">AW10-AW30</f>
        <v>0</v>
      </c>
      <c r="AX47" s="700">
        <f t="shared" si="22"/>
        <v>0</v>
      </c>
      <c r="AY47" s="700">
        <f t="shared" si="22"/>
        <v>0</v>
      </c>
      <c r="AZ47" s="700">
        <f t="shared" si="22"/>
        <v>-62260</v>
      </c>
      <c r="BA47" s="700">
        <f t="shared" si="22"/>
        <v>15113</v>
      </c>
      <c r="BB47" s="700">
        <f t="shared" si="22"/>
        <v>-22012</v>
      </c>
      <c r="BC47" s="700">
        <f t="shared" si="22"/>
        <v>0</v>
      </c>
      <c r="BD47" s="700">
        <f t="shared" si="22"/>
        <v>15955</v>
      </c>
      <c r="BE47" s="700">
        <f t="shared" si="22"/>
        <v>20287</v>
      </c>
      <c r="BF47" s="700">
        <f t="shared" si="22"/>
        <v>2072</v>
      </c>
      <c r="BG47" s="700">
        <f t="shared" si="22"/>
        <v>0</v>
      </c>
      <c r="BH47" s="700">
        <f t="shared" si="22"/>
        <v>14076.258225146719</v>
      </c>
      <c r="BI47" s="700">
        <f t="shared" si="22"/>
        <v>7223.7417748532816</v>
      </c>
      <c r="BJ47" s="700">
        <f t="shared" si="22"/>
        <v>7764.4842179097495</v>
      </c>
      <c r="BK47" s="700">
        <f t="shared" si="22"/>
        <v>0</v>
      </c>
      <c r="BL47" s="700">
        <f t="shared" si="22"/>
        <v>0</v>
      </c>
      <c r="BM47" s="700">
        <f t="shared" si="22"/>
        <v>20212.51578209025</v>
      </c>
      <c r="BN47" s="700">
        <f t="shared" si="22"/>
        <v>8496</v>
      </c>
      <c r="BO47" s="700">
        <f t="shared" si="22"/>
        <v>20459.808747963405</v>
      </c>
      <c r="BP47" s="700">
        <f t="shared" si="22"/>
        <v>10031.191252036595</v>
      </c>
    </row>
    <row r="48" spans="1:68" x14ac:dyDescent="0.35">
      <c r="A48" s="57">
        <v>4</v>
      </c>
      <c r="B48" s="496" t="s">
        <v>144</v>
      </c>
      <c r="C48" s="428" t="s">
        <v>272</v>
      </c>
      <c r="D48" s="86" t="s">
        <v>287</v>
      </c>
      <c r="E48" s="481" t="e">
        <f t="shared" si="15"/>
        <v>#REF!</v>
      </c>
      <c r="F48" s="74"/>
      <c r="G48" s="58"/>
      <c r="H48" s="58"/>
      <c r="I48" s="58"/>
      <c r="J48" s="58"/>
      <c r="K48" s="58"/>
      <c r="L48" s="58"/>
      <c r="M48" s="58"/>
      <c r="N48" s="58"/>
      <c r="O48" s="58"/>
      <c r="P48" s="347">
        <f t="shared" si="20"/>
        <v>0</v>
      </c>
      <c r="Q48" s="700" t="e">
        <f>#REF!-Q31</f>
        <v>#REF!</v>
      </c>
      <c r="R48" s="700" t="e">
        <f>#REF!-R31</f>
        <v>#REF!</v>
      </c>
      <c r="S48" s="700" t="e">
        <f>#REF!-S31</f>
        <v>#REF!</v>
      </c>
      <c r="T48" s="700" t="e">
        <f>#REF!-T31</f>
        <v>#REF!</v>
      </c>
      <c r="U48" s="700" t="e">
        <f>#REF!-U31</f>
        <v>#REF!</v>
      </c>
      <c r="V48" s="700" t="e">
        <f>#REF!-V31</f>
        <v>#REF!</v>
      </c>
      <c r="W48" s="700" t="e">
        <f>#REF!-W31</f>
        <v>#REF!</v>
      </c>
      <c r="X48" s="700" t="e">
        <f>#REF!-X31</f>
        <v>#REF!</v>
      </c>
      <c r="Y48" s="700" t="e">
        <f>#REF!-Y31</f>
        <v>#REF!</v>
      </c>
      <c r="Z48" s="700" t="e">
        <f>#REF!-Z31</f>
        <v>#REF!</v>
      </c>
      <c r="AA48" s="700" t="e">
        <f>#REF!-AA31</f>
        <v>#REF!</v>
      </c>
      <c r="AB48" s="700" t="e">
        <f>#REF!-AB31</f>
        <v>#REF!</v>
      </c>
      <c r="AC48" s="700" t="e">
        <f>#REF!-AC31</f>
        <v>#REF!</v>
      </c>
      <c r="AD48" s="700" t="e">
        <f>#REF!-AD31</f>
        <v>#REF!</v>
      </c>
      <c r="AE48" s="700" t="e">
        <f>#REF!-AE31</f>
        <v>#REF!</v>
      </c>
      <c r="AF48" s="700" t="e">
        <f>#REF!-AF31</f>
        <v>#REF!</v>
      </c>
      <c r="AG48" s="700" t="e">
        <f>#REF!-AG31</f>
        <v>#REF!</v>
      </c>
      <c r="AH48" s="700" t="e">
        <f>#REF!-AH31</f>
        <v>#REF!</v>
      </c>
      <c r="AI48" s="700" t="e">
        <f>#REF!-AI31</f>
        <v>#REF!</v>
      </c>
      <c r="AJ48" s="700" t="e">
        <f>#REF!-AJ31</f>
        <v>#REF!</v>
      </c>
      <c r="AK48" s="700" t="e">
        <f>#REF!-AK31</f>
        <v>#REF!</v>
      </c>
      <c r="AL48" s="700" t="e">
        <f>#REF!-AL31</f>
        <v>#REF!</v>
      </c>
      <c r="AM48" s="700" t="e">
        <f>#REF!-AM31</f>
        <v>#REF!</v>
      </c>
      <c r="AN48" s="700" t="e">
        <f>#REF!-AN31</f>
        <v>#REF!</v>
      </c>
      <c r="AO48" s="700" t="e">
        <f>#REF!-AO31</f>
        <v>#REF!</v>
      </c>
      <c r="AP48" s="700" t="e">
        <f>#REF!-AP31</f>
        <v>#REF!</v>
      </c>
      <c r="AQ48" s="700" t="e">
        <f>#REF!-AQ31</f>
        <v>#REF!</v>
      </c>
      <c r="AR48" s="700" t="e">
        <f>#REF!-AR31</f>
        <v>#REF!</v>
      </c>
      <c r="AS48" s="700" t="e">
        <f>#REF!-AS31</f>
        <v>#REF!</v>
      </c>
      <c r="AT48" s="700" t="e">
        <f>#REF!-AT31</f>
        <v>#REF!</v>
      </c>
      <c r="AU48" s="700" t="e">
        <f>#REF!-AU31</f>
        <v>#REF!</v>
      </c>
      <c r="AV48" s="700" t="e">
        <f>#REF!-AV31</f>
        <v>#REF!</v>
      </c>
      <c r="AW48" s="700" t="e">
        <f>#REF!-AW31</f>
        <v>#REF!</v>
      </c>
      <c r="AX48" s="700" t="e">
        <f>#REF!-AX31</f>
        <v>#REF!</v>
      </c>
      <c r="AY48" s="700" t="e">
        <f>#REF!-AY31</f>
        <v>#REF!</v>
      </c>
      <c r="AZ48" s="700" t="e">
        <f>#REF!-AZ31</f>
        <v>#REF!</v>
      </c>
      <c r="BA48" s="700" t="e">
        <f>#REF!-BA31</f>
        <v>#REF!</v>
      </c>
      <c r="BB48" s="700" t="e">
        <f>#REF!-BB31</f>
        <v>#REF!</v>
      </c>
      <c r="BC48" s="700" t="e">
        <f>#REF!-BC31</f>
        <v>#REF!</v>
      </c>
      <c r="BD48" s="700" t="e">
        <f>#REF!-BD31</f>
        <v>#REF!</v>
      </c>
      <c r="BE48" s="700" t="e">
        <f>#REF!-BE31</f>
        <v>#REF!</v>
      </c>
      <c r="BF48" s="700" t="e">
        <f>#REF!-BF31</f>
        <v>#REF!</v>
      </c>
      <c r="BG48" s="700" t="e">
        <f>#REF!-BG31</f>
        <v>#REF!</v>
      </c>
      <c r="BH48" s="700" t="e">
        <f>#REF!-BH31</f>
        <v>#REF!</v>
      </c>
      <c r="BI48" s="700" t="e">
        <f>#REF!-BI31</f>
        <v>#REF!</v>
      </c>
      <c r="BJ48" s="700" t="e">
        <f>#REF!-BJ31</f>
        <v>#REF!</v>
      </c>
      <c r="BK48" s="700" t="e">
        <f>#REF!-BK31</f>
        <v>#REF!</v>
      </c>
      <c r="BL48" s="700" t="e">
        <f>#REF!-BL31</f>
        <v>#REF!</v>
      </c>
      <c r="BM48" s="700" t="e">
        <f>#REF!-BM31</f>
        <v>#REF!</v>
      </c>
      <c r="BN48" s="700" t="e">
        <f>#REF!-BN31</f>
        <v>#REF!</v>
      </c>
      <c r="BO48" s="700" t="e">
        <f>#REF!-BO31</f>
        <v>#REF!</v>
      </c>
      <c r="BP48" s="700" t="e">
        <f>#REF!-BP31</f>
        <v>#REF!</v>
      </c>
    </row>
    <row r="49" spans="1:68" x14ac:dyDescent="0.35">
      <c r="A49" s="57">
        <v>5</v>
      </c>
      <c r="B49" s="496" t="s">
        <v>150</v>
      </c>
      <c r="C49" s="428" t="s">
        <v>87</v>
      </c>
      <c r="D49" s="86" t="s">
        <v>288</v>
      </c>
      <c r="E49" s="481">
        <f t="shared" si="15"/>
        <v>-1331221</v>
      </c>
      <c r="F49" s="74"/>
      <c r="G49" s="58"/>
      <c r="H49" s="58"/>
      <c r="I49" s="58"/>
      <c r="J49" s="58"/>
      <c r="K49" s="58"/>
      <c r="L49" s="58"/>
      <c r="M49" s="58"/>
      <c r="N49" s="58"/>
      <c r="O49" s="58"/>
      <c r="P49" s="347">
        <f t="shared" si="20"/>
        <v>0</v>
      </c>
      <c r="Q49" s="700">
        <f t="shared" ref="Q49:AV49" si="23">Q11-Q32</f>
        <v>0</v>
      </c>
      <c r="R49" s="700">
        <f t="shared" si="23"/>
        <v>-356038</v>
      </c>
      <c r="S49" s="700">
        <f t="shared" si="23"/>
        <v>0</v>
      </c>
      <c r="T49" s="700">
        <f t="shared" si="23"/>
        <v>-647191</v>
      </c>
      <c r="U49" s="700">
        <f t="shared" si="23"/>
        <v>11772</v>
      </c>
      <c r="V49" s="700">
        <f t="shared" si="23"/>
        <v>0</v>
      </c>
      <c r="W49" s="700">
        <f t="shared" si="23"/>
        <v>0</v>
      </c>
      <c r="X49" s="700">
        <f t="shared" si="23"/>
        <v>0</v>
      </c>
      <c r="Y49" s="700">
        <f t="shared" si="23"/>
        <v>0</v>
      </c>
      <c r="Z49" s="700">
        <f t="shared" si="23"/>
        <v>0</v>
      </c>
      <c r="AA49" s="700">
        <f t="shared" si="23"/>
        <v>0</v>
      </c>
      <c r="AB49" s="700">
        <f t="shared" si="23"/>
        <v>0</v>
      </c>
      <c r="AC49" s="700">
        <f t="shared" si="23"/>
        <v>0</v>
      </c>
      <c r="AD49" s="700">
        <f t="shared" si="23"/>
        <v>0</v>
      </c>
      <c r="AE49" s="700">
        <f t="shared" si="23"/>
        <v>0</v>
      </c>
      <c r="AF49" s="700">
        <f t="shared" si="23"/>
        <v>0</v>
      </c>
      <c r="AG49" s="700">
        <f t="shared" si="23"/>
        <v>0</v>
      </c>
      <c r="AH49" s="700">
        <f t="shared" si="23"/>
        <v>0</v>
      </c>
      <c r="AI49" s="700">
        <f t="shared" si="23"/>
        <v>-3319.2462087422027</v>
      </c>
      <c r="AJ49" s="700">
        <f t="shared" si="23"/>
        <v>0</v>
      </c>
      <c r="AK49" s="700">
        <f t="shared" si="23"/>
        <v>3319.2462087421882</v>
      </c>
      <c r="AL49" s="700">
        <f t="shared" si="23"/>
        <v>0</v>
      </c>
      <c r="AM49" s="700">
        <f t="shared" si="23"/>
        <v>0</v>
      </c>
      <c r="AN49" s="700">
        <f t="shared" si="23"/>
        <v>0</v>
      </c>
      <c r="AO49" s="700">
        <f t="shared" si="23"/>
        <v>0</v>
      </c>
      <c r="AP49" s="700">
        <f t="shared" si="23"/>
        <v>0</v>
      </c>
      <c r="AQ49" s="700">
        <f t="shared" si="23"/>
        <v>0</v>
      </c>
      <c r="AR49" s="700">
        <f t="shared" si="23"/>
        <v>0</v>
      </c>
      <c r="AS49" s="700">
        <f t="shared" si="23"/>
        <v>0</v>
      </c>
      <c r="AT49" s="700">
        <f t="shared" si="23"/>
        <v>0</v>
      </c>
      <c r="AU49" s="700">
        <f t="shared" si="23"/>
        <v>-11013</v>
      </c>
      <c r="AV49" s="700">
        <f t="shared" si="23"/>
        <v>-10560</v>
      </c>
      <c r="AW49" s="700">
        <f t="shared" ref="AW49:BP49" si="24">AW11-AW32</f>
        <v>0</v>
      </c>
      <c r="AX49" s="700">
        <f t="shared" si="24"/>
        <v>0</v>
      </c>
      <c r="AY49" s="700">
        <f t="shared" si="24"/>
        <v>0</v>
      </c>
      <c r="AZ49" s="700">
        <f t="shared" si="24"/>
        <v>0</v>
      </c>
      <c r="BA49" s="700">
        <f t="shared" si="24"/>
        <v>-15113</v>
      </c>
      <c r="BB49" s="700">
        <f t="shared" si="24"/>
        <v>-8078</v>
      </c>
      <c r="BC49" s="700">
        <f t="shared" si="24"/>
        <v>0</v>
      </c>
      <c r="BD49" s="700">
        <f t="shared" si="24"/>
        <v>-146223</v>
      </c>
      <c r="BE49" s="700">
        <f t="shared" si="24"/>
        <v>0</v>
      </c>
      <c r="BF49" s="700">
        <f t="shared" si="24"/>
        <v>0</v>
      </c>
      <c r="BG49" s="700">
        <f t="shared" si="24"/>
        <v>0</v>
      </c>
      <c r="BH49" s="700">
        <f t="shared" si="24"/>
        <v>11060.218922283479</v>
      </c>
      <c r="BI49" s="700">
        <f t="shared" si="24"/>
        <v>-11060.218922283479</v>
      </c>
      <c r="BJ49" s="700">
        <f t="shared" si="24"/>
        <v>-46420.341945288747</v>
      </c>
      <c r="BK49" s="700">
        <f t="shared" si="24"/>
        <v>0</v>
      </c>
      <c r="BL49" s="700">
        <f t="shared" si="24"/>
        <v>0</v>
      </c>
      <c r="BM49" s="700">
        <f t="shared" si="24"/>
        <v>-12052.658054711239</v>
      </c>
      <c r="BN49" s="700">
        <f t="shared" si="24"/>
        <v>0</v>
      </c>
      <c r="BO49" s="700">
        <f t="shared" si="24"/>
        <v>-19061.816017044752</v>
      </c>
      <c r="BP49" s="700">
        <f t="shared" si="24"/>
        <v>-71242.183982955263</v>
      </c>
    </row>
    <row r="50" spans="1:68" x14ac:dyDescent="0.35">
      <c r="A50" s="57">
        <v>6</v>
      </c>
      <c r="B50" s="496" t="s">
        <v>151</v>
      </c>
      <c r="C50" s="428" t="s">
        <v>960</v>
      </c>
      <c r="D50" s="86" t="s">
        <v>288</v>
      </c>
      <c r="E50" s="481">
        <f t="shared" si="15"/>
        <v>-2846.0000000000018</v>
      </c>
      <c r="F50" s="74"/>
      <c r="G50" s="58"/>
      <c r="H50" s="58"/>
      <c r="I50" s="58"/>
      <c r="J50" s="58"/>
      <c r="K50" s="58"/>
      <c r="L50" s="58"/>
      <c r="M50" s="58"/>
      <c r="N50" s="58"/>
      <c r="O50" s="58"/>
      <c r="P50" s="347">
        <f t="shared" si="20"/>
        <v>0</v>
      </c>
      <c r="Q50" s="700">
        <f t="shared" ref="Q50:AV50" si="25">Q12-Q33</f>
        <v>0</v>
      </c>
      <c r="R50" s="700">
        <f t="shared" si="25"/>
        <v>0</v>
      </c>
      <c r="S50" s="700">
        <f t="shared" si="25"/>
        <v>0</v>
      </c>
      <c r="T50" s="700">
        <f t="shared" si="25"/>
        <v>0</v>
      </c>
      <c r="U50" s="700">
        <f t="shared" si="25"/>
        <v>0</v>
      </c>
      <c r="V50" s="700">
        <f t="shared" si="25"/>
        <v>-1645</v>
      </c>
      <c r="W50" s="700">
        <f t="shared" si="25"/>
        <v>0</v>
      </c>
      <c r="X50" s="700">
        <f t="shared" si="25"/>
        <v>0</v>
      </c>
      <c r="Y50" s="700">
        <f t="shared" si="25"/>
        <v>0</v>
      </c>
      <c r="Z50" s="700">
        <f t="shared" si="25"/>
        <v>0</v>
      </c>
      <c r="AA50" s="700">
        <f t="shared" si="25"/>
        <v>0</v>
      </c>
      <c r="AB50" s="700">
        <f t="shared" si="25"/>
        <v>0</v>
      </c>
      <c r="AC50" s="700">
        <f t="shared" si="25"/>
        <v>0</v>
      </c>
      <c r="AD50" s="700">
        <f t="shared" si="25"/>
        <v>0</v>
      </c>
      <c r="AE50" s="700">
        <f t="shared" si="25"/>
        <v>0</v>
      </c>
      <c r="AF50" s="700">
        <f t="shared" si="25"/>
        <v>0</v>
      </c>
      <c r="AG50" s="700">
        <f t="shared" si="25"/>
        <v>0</v>
      </c>
      <c r="AH50" s="700">
        <f t="shared" si="25"/>
        <v>0</v>
      </c>
      <c r="AI50" s="700">
        <f t="shared" si="25"/>
        <v>-87.923728813559137</v>
      </c>
      <c r="AJ50" s="700">
        <f t="shared" si="25"/>
        <v>0</v>
      </c>
      <c r="AK50" s="700">
        <f t="shared" si="25"/>
        <v>87.923728813559592</v>
      </c>
      <c r="AL50" s="700">
        <f t="shared" si="25"/>
        <v>0</v>
      </c>
      <c r="AM50" s="700">
        <f t="shared" si="25"/>
        <v>0</v>
      </c>
      <c r="AN50" s="700">
        <f t="shared" si="25"/>
        <v>0</v>
      </c>
      <c r="AO50" s="700">
        <f t="shared" si="25"/>
        <v>0</v>
      </c>
      <c r="AP50" s="700">
        <f t="shared" si="25"/>
        <v>0</v>
      </c>
      <c r="AQ50" s="700">
        <f t="shared" si="25"/>
        <v>0</v>
      </c>
      <c r="AR50" s="700">
        <f t="shared" si="25"/>
        <v>0</v>
      </c>
      <c r="AS50" s="700">
        <f t="shared" si="25"/>
        <v>0</v>
      </c>
      <c r="AT50" s="700">
        <f t="shared" si="25"/>
        <v>0</v>
      </c>
      <c r="AU50" s="700">
        <f t="shared" si="25"/>
        <v>0</v>
      </c>
      <c r="AV50" s="700">
        <f t="shared" si="25"/>
        <v>0</v>
      </c>
      <c r="AW50" s="700">
        <f t="shared" ref="AW50:BP50" si="26">AW12-AW33</f>
        <v>0</v>
      </c>
      <c r="AX50" s="700">
        <f t="shared" si="26"/>
        <v>0</v>
      </c>
      <c r="AY50" s="700">
        <f t="shared" si="26"/>
        <v>0</v>
      </c>
      <c r="AZ50" s="700">
        <f t="shared" si="26"/>
        <v>0</v>
      </c>
      <c r="BA50" s="700">
        <f t="shared" si="26"/>
        <v>0</v>
      </c>
      <c r="BB50" s="700">
        <f t="shared" si="26"/>
        <v>0</v>
      </c>
      <c r="BC50" s="700">
        <f t="shared" si="26"/>
        <v>0</v>
      </c>
      <c r="BD50" s="700">
        <f t="shared" si="26"/>
        <v>-3000</v>
      </c>
      <c r="BE50" s="700">
        <f t="shared" si="26"/>
        <v>0</v>
      </c>
      <c r="BF50" s="700">
        <f t="shared" si="26"/>
        <v>0</v>
      </c>
      <c r="BG50" s="700">
        <f t="shared" si="26"/>
        <v>0</v>
      </c>
      <c r="BH50" s="700">
        <f t="shared" si="26"/>
        <v>1101.2283478570153</v>
      </c>
      <c r="BI50" s="700">
        <f t="shared" si="26"/>
        <v>-1101.2283478570162</v>
      </c>
      <c r="BJ50" s="700">
        <f t="shared" si="26"/>
        <v>-1971.2782324058919</v>
      </c>
      <c r="BK50" s="700">
        <f t="shared" si="26"/>
        <v>0</v>
      </c>
      <c r="BL50" s="700">
        <f t="shared" si="26"/>
        <v>0</v>
      </c>
      <c r="BM50" s="700">
        <f t="shared" si="26"/>
        <v>1034.2782324058926</v>
      </c>
      <c r="BN50" s="700">
        <f t="shared" si="26"/>
        <v>0</v>
      </c>
      <c r="BO50" s="700">
        <f t="shared" si="26"/>
        <v>4433.550444917908</v>
      </c>
      <c r="BP50" s="700">
        <f t="shared" si="26"/>
        <v>-1697.5504449179098</v>
      </c>
    </row>
    <row r="51" spans="1:68" x14ac:dyDescent="0.35">
      <c r="A51" s="57">
        <v>7</v>
      </c>
      <c r="B51" s="496" t="s">
        <v>153</v>
      </c>
      <c r="C51" s="428" t="s">
        <v>958</v>
      </c>
      <c r="D51" s="86" t="s">
        <v>288</v>
      </c>
      <c r="E51" s="481">
        <f t="shared" si="15"/>
        <v>700867.58000000007</v>
      </c>
      <c r="F51" s="74"/>
      <c r="G51" s="58"/>
      <c r="H51" s="58"/>
      <c r="I51" s="58"/>
      <c r="J51" s="58"/>
      <c r="K51" s="58"/>
      <c r="L51" s="58"/>
      <c r="M51" s="58"/>
      <c r="N51" s="58"/>
      <c r="O51" s="58"/>
      <c r="P51" s="347">
        <f t="shared" si="20"/>
        <v>0</v>
      </c>
      <c r="Q51" s="700">
        <f t="shared" ref="Q51:AV51" si="27">Q13-Q34</f>
        <v>4260.9799999999996</v>
      </c>
      <c r="R51" s="700">
        <f t="shared" si="27"/>
        <v>11058.96</v>
      </c>
      <c r="S51" s="700">
        <f t="shared" si="27"/>
        <v>0</v>
      </c>
      <c r="T51" s="700">
        <f t="shared" si="27"/>
        <v>11943.96</v>
      </c>
      <c r="U51" s="700">
        <f t="shared" si="27"/>
        <v>3783.08</v>
      </c>
      <c r="V51" s="700">
        <f t="shared" si="27"/>
        <v>16196.68</v>
      </c>
      <c r="W51" s="700">
        <f t="shared" si="27"/>
        <v>23015.9</v>
      </c>
      <c r="X51" s="700">
        <f t="shared" si="27"/>
        <v>0</v>
      </c>
      <c r="Y51" s="700">
        <f t="shared" si="27"/>
        <v>26426.1</v>
      </c>
      <c r="Z51" s="700">
        <f t="shared" si="27"/>
        <v>19605.7</v>
      </c>
      <c r="AA51" s="700">
        <f t="shared" si="27"/>
        <v>0</v>
      </c>
      <c r="AB51" s="700">
        <f t="shared" si="27"/>
        <v>0</v>
      </c>
      <c r="AC51" s="700">
        <f t="shared" si="27"/>
        <v>0</v>
      </c>
      <c r="AD51" s="700">
        <f t="shared" si="27"/>
        <v>25054.94</v>
      </c>
      <c r="AE51" s="700">
        <f t="shared" si="27"/>
        <v>12423.04</v>
      </c>
      <c r="AF51" s="700">
        <f t="shared" si="27"/>
        <v>0</v>
      </c>
      <c r="AG51" s="700">
        <f t="shared" si="27"/>
        <v>26231.4</v>
      </c>
      <c r="AH51" s="700">
        <f t="shared" si="27"/>
        <v>0</v>
      </c>
      <c r="AI51" s="700">
        <f t="shared" si="27"/>
        <v>445.2323818019625</v>
      </c>
      <c r="AJ51" s="700">
        <f t="shared" si="27"/>
        <v>23676.7</v>
      </c>
      <c r="AK51" s="700">
        <f t="shared" si="27"/>
        <v>470.76761819803744</v>
      </c>
      <c r="AL51" s="700">
        <f t="shared" si="27"/>
        <v>7042.24</v>
      </c>
      <c r="AM51" s="700">
        <f t="shared" si="27"/>
        <v>12890.32</v>
      </c>
      <c r="AN51" s="700">
        <f t="shared" si="27"/>
        <v>0</v>
      </c>
      <c r="AO51" s="700">
        <f t="shared" si="27"/>
        <v>6007.38</v>
      </c>
      <c r="AP51" s="700">
        <f t="shared" si="27"/>
        <v>11450.72</v>
      </c>
      <c r="AQ51" s="700">
        <f t="shared" si="27"/>
        <v>6184.38</v>
      </c>
      <c r="AR51" s="700">
        <f t="shared" si="27"/>
        <v>12734.56</v>
      </c>
      <c r="AS51" s="700">
        <f t="shared" si="27"/>
        <v>18435.14</v>
      </c>
      <c r="AT51" s="700">
        <f t="shared" si="27"/>
        <v>11597.04</v>
      </c>
      <c r="AU51" s="700">
        <f t="shared" si="27"/>
        <v>4012</v>
      </c>
      <c r="AV51" s="700">
        <f t="shared" si="27"/>
        <v>4012</v>
      </c>
      <c r="AW51" s="700">
        <f t="shared" ref="AW51:BP51" si="28">AW13-AW34</f>
        <v>0</v>
      </c>
      <c r="AX51" s="700">
        <f t="shared" si="28"/>
        <v>0</v>
      </c>
      <c r="AY51" s="700">
        <f t="shared" si="28"/>
        <v>0</v>
      </c>
      <c r="AZ51" s="700">
        <f t="shared" si="28"/>
        <v>-65965</v>
      </c>
      <c r="BA51" s="700">
        <f t="shared" si="28"/>
        <v>76742.48</v>
      </c>
      <c r="BB51" s="700">
        <f t="shared" si="28"/>
        <v>-24623</v>
      </c>
      <c r="BC51" s="700">
        <f t="shared" si="28"/>
        <v>0</v>
      </c>
      <c r="BD51" s="700">
        <f t="shared" si="28"/>
        <v>60373.520000000004</v>
      </c>
      <c r="BE51" s="700">
        <f t="shared" si="28"/>
        <v>13461.44</v>
      </c>
      <c r="BF51" s="700">
        <f t="shared" si="28"/>
        <v>36546.959999999999</v>
      </c>
      <c r="BG51" s="700">
        <f t="shared" si="28"/>
        <v>0</v>
      </c>
      <c r="BH51" s="700">
        <f t="shared" si="28"/>
        <v>24772.892761870888</v>
      </c>
      <c r="BI51" s="700">
        <f t="shared" si="28"/>
        <v>12713.107238129112</v>
      </c>
      <c r="BJ51" s="700">
        <f t="shared" si="28"/>
        <v>0</v>
      </c>
      <c r="BK51" s="700">
        <f t="shared" si="28"/>
        <v>0</v>
      </c>
      <c r="BL51" s="700">
        <f t="shared" si="28"/>
        <v>0</v>
      </c>
      <c r="BM51" s="700">
        <f t="shared" si="28"/>
        <v>0</v>
      </c>
      <c r="BN51" s="700">
        <f t="shared" si="28"/>
        <v>11589.96</v>
      </c>
      <c r="BO51" s="700">
        <f t="shared" si="28"/>
        <v>171977.53903997995</v>
      </c>
      <c r="BP51" s="700">
        <f t="shared" si="28"/>
        <v>84318.460960020049</v>
      </c>
    </row>
    <row r="52" spans="1:68" x14ac:dyDescent="0.35">
      <c r="A52" s="57">
        <v>8</v>
      </c>
      <c r="B52" s="496" t="s">
        <v>146</v>
      </c>
      <c r="C52" s="428" t="s">
        <v>274</v>
      </c>
      <c r="D52" s="86" t="s">
        <v>288</v>
      </c>
      <c r="E52" s="481" t="e">
        <f t="shared" si="15"/>
        <v>#REF!</v>
      </c>
      <c r="F52" s="74"/>
      <c r="G52" s="58"/>
      <c r="H52" s="58"/>
      <c r="I52" s="58"/>
      <c r="J52" s="58"/>
      <c r="K52" s="58"/>
      <c r="L52" s="58"/>
      <c r="M52" s="58"/>
      <c r="N52" s="58"/>
      <c r="O52" s="58"/>
      <c r="P52" s="347">
        <f t="shared" si="20"/>
        <v>0</v>
      </c>
      <c r="Q52" s="700" t="e">
        <f>#REF!-Q35</f>
        <v>#REF!</v>
      </c>
      <c r="R52" s="700" t="e">
        <f>#REF!-R35</f>
        <v>#REF!</v>
      </c>
      <c r="S52" s="700" t="e">
        <f>#REF!-S35</f>
        <v>#REF!</v>
      </c>
      <c r="T52" s="700" t="e">
        <f>#REF!-T35</f>
        <v>#REF!</v>
      </c>
      <c r="U52" s="700" t="e">
        <f>#REF!-U35</f>
        <v>#REF!</v>
      </c>
      <c r="V52" s="700" t="e">
        <f>#REF!-V35</f>
        <v>#REF!</v>
      </c>
      <c r="W52" s="700" t="e">
        <f>#REF!-W35</f>
        <v>#REF!</v>
      </c>
      <c r="X52" s="700" t="e">
        <f>#REF!-X35</f>
        <v>#REF!</v>
      </c>
      <c r="Y52" s="700" t="e">
        <f>#REF!-Y35</f>
        <v>#REF!</v>
      </c>
      <c r="Z52" s="700" t="e">
        <f>#REF!-Z35</f>
        <v>#REF!</v>
      </c>
      <c r="AA52" s="700" t="e">
        <f>#REF!-AA35</f>
        <v>#REF!</v>
      </c>
      <c r="AB52" s="700" t="e">
        <f>#REF!-AB35</f>
        <v>#REF!</v>
      </c>
      <c r="AC52" s="700" t="e">
        <f>#REF!-AC35</f>
        <v>#REF!</v>
      </c>
      <c r="AD52" s="700" t="e">
        <f>#REF!-AD35</f>
        <v>#REF!</v>
      </c>
      <c r="AE52" s="700" t="e">
        <f>#REF!-AE35</f>
        <v>#REF!</v>
      </c>
      <c r="AF52" s="700" t="e">
        <f>#REF!-AF35</f>
        <v>#REF!</v>
      </c>
      <c r="AG52" s="700" t="e">
        <f>#REF!-AG35</f>
        <v>#REF!</v>
      </c>
      <c r="AH52" s="700" t="e">
        <f>#REF!-AH35</f>
        <v>#REF!</v>
      </c>
      <c r="AI52" s="700" t="e">
        <f>#REF!-AI35</f>
        <v>#REF!</v>
      </c>
      <c r="AJ52" s="700" t="e">
        <f>#REF!-AJ35</f>
        <v>#REF!</v>
      </c>
      <c r="AK52" s="700" t="e">
        <f>#REF!-AK35</f>
        <v>#REF!</v>
      </c>
      <c r="AL52" s="700" t="e">
        <f>#REF!-AL35</f>
        <v>#REF!</v>
      </c>
      <c r="AM52" s="700" t="e">
        <f>#REF!-AM35</f>
        <v>#REF!</v>
      </c>
      <c r="AN52" s="700" t="e">
        <f>#REF!-AN35</f>
        <v>#REF!</v>
      </c>
      <c r="AO52" s="700" t="e">
        <f>#REF!-AO35</f>
        <v>#REF!</v>
      </c>
      <c r="AP52" s="700" t="e">
        <f>#REF!-AP35</f>
        <v>#REF!</v>
      </c>
      <c r="AQ52" s="700" t="e">
        <f>#REF!-AQ35</f>
        <v>#REF!</v>
      </c>
      <c r="AR52" s="700" t="e">
        <f>#REF!-AR35</f>
        <v>#REF!</v>
      </c>
      <c r="AS52" s="700" t="e">
        <f>#REF!-AS35</f>
        <v>#REF!</v>
      </c>
      <c r="AT52" s="700" t="e">
        <f>#REF!-AT35</f>
        <v>#REF!</v>
      </c>
      <c r="AU52" s="700" t="e">
        <f>#REF!-AU35</f>
        <v>#REF!</v>
      </c>
      <c r="AV52" s="700" t="e">
        <f>#REF!-AV35</f>
        <v>#REF!</v>
      </c>
      <c r="AW52" s="700" t="e">
        <f>#REF!-AW35</f>
        <v>#REF!</v>
      </c>
      <c r="AX52" s="700" t="e">
        <f>#REF!-AX35</f>
        <v>#REF!</v>
      </c>
      <c r="AY52" s="700" t="e">
        <f>#REF!-AY35</f>
        <v>#REF!</v>
      </c>
      <c r="AZ52" s="700" t="e">
        <f>#REF!-AZ35</f>
        <v>#REF!</v>
      </c>
      <c r="BA52" s="700" t="e">
        <f>#REF!-BA35</f>
        <v>#REF!</v>
      </c>
      <c r="BB52" s="700" t="e">
        <f>#REF!-BB35</f>
        <v>#REF!</v>
      </c>
      <c r="BC52" s="700" t="e">
        <f>#REF!-BC35</f>
        <v>#REF!</v>
      </c>
      <c r="BD52" s="700" t="e">
        <f>#REF!-BD35</f>
        <v>#REF!</v>
      </c>
      <c r="BE52" s="700" t="e">
        <f>#REF!-BE35</f>
        <v>#REF!</v>
      </c>
      <c r="BF52" s="700" t="e">
        <f>#REF!-BF35</f>
        <v>#REF!</v>
      </c>
      <c r="BG52" s="700" t="e">
        <f>#REF!-BG35</f>
        <v>#REF!</v>
      </c>
      <c r="BH52" s="700" t="e">
        <f>#REF!-BH35</f>
        <v>#REF!</v>
      </c>
      <c r="BI52" s="700" t="e">
        <f>#REF!-BI35</f>
        <v>#REF!</v>
      </c>
      <c r="BJ52" s="700" t="e">
        <f>#REF!-BJ35</f>
        <v>#REF!</v>
      </c>
      <c r="BK52" s="700" t="e">
        <f>#REF!-BK35</f>
        <v>#REF!</v>
      </c>
      <c r="BL52" s="700" t="e">
        <f>#REF!-BL35</f>
        <v>#REF!</v>
      </c>
      <c r="BM52" s="700" t="e">
        <f>#REF!-BM35</f>
        <v>#REF!</v>
      </c>
      <c r="BN52" s="700" t="e">
        <f>#REF!-BN35</f>
        <v>#REF!</v>
      </c>
      <c r="BO52" s="700" t="e">
        <f>#REF!-BO35</f>
        <v>#REF!</v>
      </c>
      <c r="BP52" s="700" t="e">
        <f>#REF!-BP35</f>
        <v>#REF!</v>
      </c>
    </row>
    <row r="53" spans="1:68" ht="15" thickBot="1" x14ac:dyDescent="0.4">
      <c r="A53" s="57">
        <v>9</v>
      </c>
      <c r="B53" s="496" t="s">
        <v>148</v>
      </c>
      <c r="C53" s="428" t="s">
        <v>957</v>
      </c>
      <c r="D53" s="86" t="s">
        <v>287</v>
      </c>
      <c r="E53" s="481" t="e">
        <f>SUM(Q53:BP53)</f>
        <v>#REF!</v>
      </c>
      <c r="F53" s="74"/>
      <c r="G53" s="58"/>
      <c r="H53" s="58"/>
      <c r="I53" s="58"/>
      <c r="J53" s="58"/>
      <c r="K53" s="58"/>
      <c r="L53" s="58"/>
      <c r="M53" s="58"/>
      <c r="N53" s="58"/>
      <c r="O53" s="58"/>
      <c r="P53" s="347">
        <f>SUM(F53:O53)</f>
        <v>0</v>
      </c>
      <c r="Q53" s="700" t="e">
        <f>#REF!-Q36</f>
        <v>#REF!</v>
      </c>
      <c r="R53" s="700" t="e">
        <f>#REF!-R36</f>
        <v>#REF!</v>
      </c>
      <c r="S53" s="700" t="e">
        <f>#REF!-S36</f>
        <v>#REF!</v>
      </c>
      <c r="T53" s="700" t="e">
        <f>#REF!-T36</f>
        <v>#REF!</v>
      </c>
      <c r="U53" s="700" t="e">
        <f>#REF!-U36</f>
        <v>#REF!</v>
      </c>
      <c r="V53" s="700" t="e">
        <f>#REF!-V36</f>
        <v>#REF!</v>
      </c>
      <c r="W53" s="700" t="e">
        <f>#REF!-W36</f>
        <v>#REF!</v>
      </c>
      <c r="X53" s="700" t="e">
        <f>#REF!-X36</f>
        <v>#REF!</v>
      </c>
      <c r="Y53" s="700" t="e">
        <f>#REF!-Y36</f>
        <v>#REF!</v>
      </c>
      <c r="Z53" s="700" t="e">
        <f>#REF!-Z36</f>
        <v>#REF!</v>
      </c>
      <c r="AA53" s="700" t="e">
        <f>#REF!-AA36</f>
        <v>#REF!</v>
      </c>
      <c r="AB53" s="700" t="e">
        <f>#REF!-AB36</f>
        <v>#REF!</v>
      </c>
      <c r="AC53" s="700" t="e">
        <f>#REF!-AC36</f>
        <v>#REF!</v>
      </c>
      <c r="AD53" s="700" t="e">
        <f>#REF!-AD36</f>
        <v>#REF!</v>
      </c>
      <c r="AE53" s="700" t="e">
        <f>#REF!-AE36</f>
        <v>#REF!</v>
      </c>
      <c r="AF53" s="700" t="e">
        <f>#REF!-AF36</f>
        <v>#REF!</v>
      </c>
      <c r="AG53" s="700" t="e">
        <f>#REF!-AG36</f>
        <v>#REF!</v>
      </c>
      <c r="AH53" s="700" t="e">
        <f>#REF!-AH36</f>
        <v>#REF!</v>
      </c>
      <c r="AI53" s="700" t="e">
        <f>#REF!-AI36</f>
        <v>#REF!</v>
      </c>
      <c r="AJ53" s="700" t="e">
        <f>#REF!-AJ36</f>
        <v>#REF!</v>
      </c>
      <c r="AK53" s="700" t="e">
        <f>#REF!-AK36</f>
        <v>#REF!</v>
      </c>
      <c r="AL53" s="700" t="e">
        <f>#REF!-AL36</f>
        <v>#REF!</v>
      </c>
      <c r="AM53" s="700" t="e">
        <f>#REF!-AM36</f>
        <v>#REF!</v>
      </c>
      <c r="AN53" s="700" t="e">
        <f>#REF!-AN36</f>
        <v>#REF!</v>
      </c>
      <c r="AO53" s="700" t="e">
        <f>#REF!-AO36</f>
        <v>#REF!</v>
      </c>
      <c r="AP53" s="700" t="e">
        <f>#REF!-AP36</f>
        <v>#REF!</v>
      </c>
      <c r="AQ53" s="700" t="e">
        <f>#REF!-AQ36</f>
        <v>#REF!</v>
      </c>
      <c r="AR53" s="700" t="e">
        <f>#REF!-AR36</f>
        <v>#REF!</v>
      </c>
      <c r="AS53" s="700" t="e">
        <f>#REF!-AS36</f>
        <v>#REF!</v>
      </c>
      <c r="AT53" s="700" t="e">
        <f>#REF!-AT36</f>
        <v>#REF!</v>
      </c>
      <c r="AU53" s="700" t="e">
        <f>#REF!-AU36</f>
        <v>#REF!</v>
      </c>
      <c r="AV53" s="700" t="e">
        <f>#REF!-AV36</f>
        <v>#REF!</v>
      </c>
      <c r="AW53" s="700" t="e">
        <f>#REF!-AW36</f>
        <v>#REF!</v>
      </c>
      <c r="AX53" s="700" t="e">
        <f>#REF!-AX36</f>
        <v>#REF!</v>
      </c>
      <c r="AY53" s="700" t="e">
        <f>#REF!-AY36</f>
        <v>#REF!</v>
      </c>
      <c r="AZ53" s="700" t="e">
        <f>#REF!-AZ36</f>
        <v>#REF!</v>
      </c>
      <c r="BA53" s="700" t="e">
        <f>#REF!-BA36</f>
        <v>#REF!</v>
      </c>
      <c r="BB53" s="700" t="e">
        <f>#REF!-BB36</f>
        <v>#REF!</v>
      </c>
      <c r="BC53" s="700" t="e">
        <f>#REF!-BC36</f>
        <v>#REF!</v>
      </c>
      <c r="BD53" s="700" t="e">
        <f>#REF!-BD36</f>
        <v>#REF!</v>
      </c>
      <c r="BE53" s="700" t="e">
        <f>#REF!-BE36</f>
        <v>#REF!</v>
      </c>
      <c r="BF53" s="700" t="e">
        <f>#REF!-BF36</f>
        <v>#REF!</v>
      </c>
      <c r="BG53" s="700" t="e">
        <f>#REF!-BG36</f>
        <v>#REF!</v>
      </c>
      <c r="BH53" s="700" t="e">
        <f>#REF!-BH36</f>
        <v>#REF!</v>
      </c>
      <c r="BI53" s="700" t="e">
        <f>#REF!-BI36</f>
        <v>#REF!</v>
      </c>
      <c r="BJ53" s="700" t="e">
        <f>#REF!-BJ36</f>
        <v>#REF!</v>
      </c>
      <c r="BK53" s="700" t="e">
        <f>#REF!-BK36</f>
        <v>#REF!</v>
      </c>
      <c r="BL53" s="700" t="e">
        <f>#REF!-BL36</f>
        <v>#REF!</v>
      </c>
      <c r="BM53" s="700" t="e">
        <f>#REF!-BM36</f>
        <v>#REF!</v>
      </c>
      <c r="BN53" s="700" t="e">
        <f>#REF!-BN36</f>
        <v>#REF!</v>
      </c>
      <c r="BO53" s="700" t="e">
        <f>#REF!-BO36</f>
        <v>#REF!</v>
      </c>
      <c r="BP53" s="700" t="e">
        <f>#REF!-BP36</f>
        <v>#REF!</v>
      </c>
    </row>
    <row r="54" spans="1:68" ht="15" thickBot="1" x14ac:dyDescent="0.4">
      <c r="A54" s="724"/>
      <c r="B54" s="725"/>
      <c r="C54" s="726" t="s">
        <v>286</v>
      </c>
      <c r="D54" s="727"/>
      <c r="E54" s="431" t="e">
        <f>SUM(E45:E53)</f>
        <v>#REF!</v>
      </c>
      <c r="F54" s="728">
        <f>SUM(F46:F53)</f>
        <v>10539186</v>
      </c>
      <c r="G54" s="729">
        <f t="shared" ref="G54:O54" si="29">SUM(G45:G53)</f>
        <v>18441799</v>
      </c>
      <c r="H54" s="729">
        <f t="shared" si="29"/>
        <v>1789615</v>
      </c>
      <c r="I54" s="729">
        <f t="shared" si="29"/>
        <v>22439200.140000001</v>
      </c>
      <c r="J54" s="729">
        <f t="shared" si="29"/>
        <v>1589478</v>
      </c>
      <c r="K54" s="729">
        <f t="shared" si="29"/>
        <v>6189062</v>
      </c>
      <c r="L54" s="729">
        <f t="shared" si="29"/>
        <v>12733524</v>
      </c>
      <c r="M54" s="729">
        <f t="shared" si="29"/>
        <v>0</v>
      </c>
      <c r="N54" s="729">
        <f t="shared" si="29"/>
        <v>0</v>
      </c>
      <c r="O54" s="729">
        <f t="shared" si="29"/>
        <v>16023239</v>
      </c>
      <c r="P54" s="730">
        <f t="shared" ref="P54" si="30">SUM(F54:O54)</f>
        <v>89745103.140000001</v>
      </c>
      <c r="Q54" s="374" t="e">
        <f t="shared" ref="Q54:W54" si="31">SUM(Q45:Q53)</f>
        <v>#REF!</v>
      </c>
      <c r="R54" s="374" t="e">
        <f t="shared" si="31"/>
        <v>#REF!</v>
      </c>
      <c r="S54" s="374" t="e">
        <f t="shared" si="31"/>
        <v>#REF!</v>
      </c>
      <c r="T54" s="374" t="e">
        <f t="shared" si="31"/>
        <v>#REF!</v>
      </c>
      <c r="U54" s="375" t="e">
        <f t="shared" si="31"/>
        <v>#REF!</v>
      </c>
      <c r="V54" s="375" t="e">
        <f t="shared" si="31"/>
        <v>#REF!</v>
      </c>
      <c r="W54" s="375" t="e">
        <f t="shared" si="31"/>
        <v>#REF!</v>
      </c>
      <c r="X54" s="377"/>
      <c r="Y54" s="378" t="e">
        <f>SUM(Y45:Y53)</f>
        <v>#REF!</v>
      </c>
      <c r="Z54" s="379" t="e">
        <f>SUM(Z45:Z53)</f>
        <v>#REF!</v>
      </c>
      <c r="AA54" s="731"/>
      <c r="AB54" s="732"/>
      <c r="AC54" s="377"/>
      <c r="AD54" s="379" t="e">
        <f>SUM(AD45:AD53)</f>
        <v>#REF!</v>
      </c>
      <c r="AE54" s="379" t="e">
        <f>SUM(AE45:AE53)</f>
        <v>#REF!</v>
      </c>
      <c r="AF54" s="379" t="e">
        <f>SUM(AF45:AF53)</f>
        <v>#REF!</v>
      </c>
      <c r="AG54" s="379" t="e">
        <f>SUM(AG45:AG53)</f>
        <v>#REF!</v>
      </c>
      <c r="AH54" s="732"/>
      <c r="AI54" s="379" t="e">
        <f t="shared" ref="AI54:BP54" si="32">SUM(AI45:AI53)</f>
        <v>#REF!</v>
      </c>
      <c r="AJ54" s="379" t="e">
        <f t="shared" si="32"/>
        <v>#REF!</v>
      </c>
      <c r="AK54" s="379" t="e">
        <f t="shared" si="32"/>
        <v>#REF!</v>
      </c>
      <c r="AL54" s="379" t="e">
        <f t="shared" si="32"/>
        <v>#REF!</v>
      </c>
      <c r="AM54" s="379" t="e">
        <f t="shared" si="32"/>
        <v>#REF!</v>
      </c>
      <c r="AN54" s="379" t="e">
        <f t="shared" si="32"/>
        <v>#REF!</v>
      </c>
      <c r="AO54" s="379" t="e">
        <f t="shared" si="32"/>
        <v>#REF!</v>
      </c>
      <c r="AP54" s="379" t="e">
        <f t="shared" si="32"/>
        <v>#REF!</v>
      </c>
      <c r="AQ54" s="379" t="e">
        <f t="shared" si="32"/>
        <v>#REF!</v>
      </c>
      <c r="AR54" s="379" t="e">
        <f t="shared" si="32"/>
        <v>#REF!</v>
      </c>
      <c r="AS54" s="379" t="e">
        <f t="shared" si="32"/>
        <v>#REF!</v>
      </c>
      <c r="AT54" s="379" t="e">
        <f t="shared" si="32"/>
        <v>#REF!</v>
      </c>
      <c r="AU54" s="379" t="e">
        <f t="shared" si="32"/>
        <v>#REF!</v>
      </c>
      <c r="AV54" s="379" t="e">
        <f t="shared" si="32"/>
        <v>#REF!</v>
      </c>
      <c r="AW54" s="379" t="e">
        <f t="shared" si="32"/>
        <v>#REF!</v>
      </c>
      <c r="AX54" s="379" t="e">
        <f t="shared" si="32"/>
        <v>#REF!</v>
      </c>
      <c r="AY54" s="379" t="e">
        <f t="shared" si="32"/>
        <v>#REF!</v>
      </c>
      <c r="AZ54" s="379" t="e">
        <f t="shared" si="32"/>
        <v>#REF!</v>
      </c>
      <c r="BA54" s="379" t="e">
        <f t="shared" si="32"/>
        <v>#REF!</v>
      </c>
      <c r="BB54" s="379" t="e">
        <f t="shared" si="32"/>
        <v>#REF!</v>
      </c>
      <c r="BC54" s="379" t="e">
        <f t="shared" si="32"/>
        <v>#REF!</v>
      </c>
      <c r="BD54" s="379" t="e">
        <f t="shared" si="32"/>
        <v>#REF!</v>
      </c>
      <c r="BE54" s="379" t="e">
        <f t="shared" si="32"/>
        <v>#REF!</v>
      </c>
      <c r="BF54" s="379" t="e">
        <f t="shared" si="32"/>
        <v>#REF!</v>
      </c>
      <c r="BG54" s="379" t="e">
        <f t="shared" si="32"/>
        <v>#REF!</v>
      </c>
      <c r="BH54" s="379" t="e">
        <f t="shared" si="32"/>
        <v>#REF!</v>
      </c>
      <c r="BI54" s="379" t="e">
        <f t="shared" si="32"/>
        <v>#REF!</v>
      </c>
      <c r="BJ54" s="379" t="e">
        <f t="shared" si="32"/>
        <v>#REF!</v>
      </c>
      <c r="BK54" s="379" t="e">
        <f t="shared" si="32"/>
        <v>#REF!</v>
      </c>
      <c r="BL54" s="379" t="e">
        <f t="shared" si="32"/>
        <v>#REF!</v>
      </c>
      <c r="BM54" s="379" t="e">
        <f t="shared" si="32"/>
        <v>#REF!</v>
      </c>
      <c r="BN54" s="379" t="e">
        <f t="shared" si="32"/>
        <v>#REF!</v>
      </c>
      <c r="BO54" s="379" t="e">
        <f t="shared" si="32"/>
        <v>#REF!</v>
      </c>
      <c r="BP54" s="379" t="e">
        <f t="shared" si="32"/>
        <v>#REF!</v>
      </c>
    </row>
    <row r="56" spans="1:68" x14ac:dyDescent="0.35">
      <c r="C56" t="s">
        <v>140</v>
      </c>
      <c r="D56" t="s">
        <v>141</v>
      </c>
      <c r="E56" s="116">
        <v>-3798851</v>
      </c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>
        <v>-10754628.768999999</v>
      </c>
      <c r="R56" s="744">
        <f>Q56-E56</f>
        <v>-6955777.7689999994</v>
      </c>
    </row>
    <row r="57" spans="1:68" x14ac:dyDescent="0.35">
      <c r="C57" t="s">
        <v>142</v>
      </c>
      <c r="D57" t="s">
        <v>271</v>
      </c>
      <c r="E57" s="116">
        <v>-1190291</v>
      </c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>
        <v>-465480.33107047284</v>
      </c>
      <c r="R57" s="744">
        <f t="shared" ref="R57:R64" si="33">Q57-E57</f>
        <v>724810.66892952716</v>
      </c>
    </row>
    <row r="58" spans="1:68" x14ac:dyDescent="0.35">
      <c r="C58" t="s">
        <v>546</v>
      </c>
      <c r="D58" t="s">
        <v>959</v>
      </c>
      <c r="E58" s="116">
        <v>-562200</v>
      </c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>
        <v>120346</v>
      </c>
      <c r="R58" s="744">
        <f t="shared" si="33"/>
        <v>682546</v>
      </c>
    </row>
    <row r="59" spans="1:68" x14ac:dyDescent="0.35">
      <c r="C59" t="s">
        <v>144</v>
      </c>
      <c r="D59" t="s">
        <v>272</v>
      </c>
      <c r="E59" s="116">
        <v>-632568</v>
      </c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>
        <v>525028.78</v>
      </c>
      <c r="R59" s="744">
        <f t="shared" si="33"/>
        <v>1157596.78</v>
      </c>
    </row>
    <row r="60" spans="1:68" x14ac:dyDescent="0.35">
      <c r="C60" t="s">
        <v>150</v>
      </c>
      <c r="D60" t="s">
        <v>87</v>
      </c>
      <c r="E60" s="116">
        <v>-2131112</v>
      </c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>
        <v>-1331221</v>
      </c>
      <c r="R60" s="744">
        <f t="shared" si="33"/>
        <v>799891</v>
      </c>
    </row>
    <row r="61" spans="1:68" x14ac:dyDescent="0.35">
      <c r="C61" t="s">
        <v>151</v>
      </c>
      <c r="D61" t="s">
        <v>960</v>
      </c>
      <c r="E61" s="116">
        <v>-144923</v>
      </c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>
        <v>-2846.0000000000018</v>
      </c>
      <c r="R61" s="744">
        <f t="shared" si="33"/>
        <v>142077</v>
      </c>
    </row>
    <row r="62" spans="1:68" x14ac:dyDescent="0.35">
      <c r="C62" t="s">
        <v>153</v>
      </c>
      <c r="D62" t="s">
        <v>958</v>
      </c>
      <c r="E62" s="116">
        <v>1524076</v>
      </c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>
        <v>700867.58000000007</v>
      </c>
      <c r="R62" s="744">
        <f t="shared" si="33"/>
        <v>-823208.41999999993</v>
      </c>
    </row>
    <row r="63" spans="1:68" x14ac:dyDescent="0.35">
      <c r="C63" t="s">
        <v>146</v>
      </c>
      <c r="D63" t="s">
        <v>274</v>
      </c>
      <c r="E63" s="116">
        <v>-624534</v>
      </c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>
        <v>16084.746666666673</v>
      </c>
      <c r="R63" s="744">
        <f t="shared" si="33"/>
        <v>640618.7466666667</v>
      </c>
    </row>
    <row r="64" spans="1:68" x14ac:dyDescent="0.35">
      <c r="C64" t="s">
        <v>148</v>
      </c>
      <c r="D64" t="s">
        <v>957</v>
      </c>
      <c r="E64" s="116">
        <v>-2534910</v>
      </c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>
        <v>-451703</v>
      </c>
      <c r="R64" s="744">
        <f t="shared" si="33"/>
        <v>2083207</v>
      </c>
    </row>
    <row r="65" spans="18:20" x14ac:dyDescent="0.35">
      <c r="R65" s="498"/>
      <c r="T65" s="498"/>
    </row>
    <row r="66" spans="18:20" x14ac:dyDescent="0.35">
      <c r="R66" s="498"/>
    </row>
  </sheetData>
  <mergeCells count="15">
    <mergeCell ref="A25:A26"/>
    <mergeCell ref="B25:B26"/>
    <mergeCell ref="C25:C26"/>
    <mergeCell ref="D25:D26"/>
    <mergeCell ref="E25:E26"/>
    <mergeCell ref="A2:A3"/>
    <mergeCell ref="B2:B3"/>
    <mergeCell ref="C2:C3"/>
    <mergeCell ref="D2:D3"/>
    <mergeCell ref="E2:E3"/>
    <mergeCell ref="A42:A43"/>
    <mergeCell ref="B42:B43"/>
    <mergeCell ref="C42:C43"/>
    <mergeCell ref="D42:D43"/>
    <mergeCell ref="E42:E4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P27"/>
  <sheetViews>
    <sheetView workbookViewId="0">
      <pane xSplit="3" ySplit="4" topLeftCell="Y5" activePane="bottomRight" state="frozen"/>
      <selection pane="topRight" activeCell="D1" sqref="D1"/>
      <selection pane="bottomLeft" activeCell="A5" sqref="A5"/>
      <selection pane="bottomRight" activeCell="AD7" sqref="AD7"/>
    </sheetView>
  </sheetViews>
  <sheetFormatPr defaultRowHeight="14.5" x14ac:dyDescent="0.35"/>
  <cols>
    <col min="2" max="2" width="10.81640625" customWidth="1"/>
    <col min="3" max="3" width="37" customWidth="1"/>
    <col min="4" max="4" width="22.90625" bestFit="1" customWidth="1"/>
    <col min="5" max="5" width="19.08984375" style="116" customWidth="1"/>
    <col min="6" max="6" width="16.7265625" hidden="1" customWidth="1"/>
    <col min="7" max="9" width="14.54296875" hidden="1" customWidth="1"/>
    <col min="10" max="10" width="13.81640625" hidden="1" customWidth="1"/>
    <col min="11" max="11" width="13.453125" hidden="1" customWidth="1"/>
    <col min="12" max="12" width="11.26953125" hidden="1" customWidth="1"/>
    <col min="13" max="13" width="12.08984375" hidden="1" customWidth="1"/>
    <col min="14" max="14" width="12.453125" hidden="1" customWidth="1"/>
    <col min="15" max="16" width="13.08984375" hidden="1" customWidth="1"/>
    <col min="17" max="18" width="12.1796875" bestFit="1" customWidth="1"/>
    <col min="19" max="19" width="8.81640625" hidden="1" customWidth="1"/>
    <col min="20" max="20" width="12.1796875" bestFit="1" customWidth="1"/>
    <col min="21" max="21" width="11.1796875" bestFit="1" customWidth="1"/>
    <col min="22" max="23" width="12.1796875" bestFit="1" customWidth="1"/>
    <col min="24" max="24" width="10.81640625" hidden="1" customWidth="1"/>
    <col min="25" max="26" width="12.1796875" bestFit="1" customWidth="1"/>
    <col min="27" max="29" width="8.81640625" hidden="1" customWidth="1"/>
    <col min="30" max="31" width="12.1796875" bestFit="1" customWidth="1"/>
    <col min="32" max="32" width="11.1796875" hidden="1" customWidth="1"/>
    <col min="33" max="33" width="12.1796875" bestFit="1" customWidth="1"/>
    <col min="34" max="34" width="8.81640625" hidden="1" customWidth="1"/>
    <col min="35" max="39" width="12.1796875" bestFit="1" customWidth="1"/>
    <col min="40" max="40" width="8.81640625" hidden="1" customWidth="1"/>
    <col min="41" max="42" width="12.1796875" bestFit="1" customWidth="1"/>
    <col min="43" max="43" width="11.1796875" bestFit="1" customWidth="1"/>
    <col min="44" max="48" width="12.1796875" bestFit="1" customWidth="1"/>
    <col min="49" max="52" width="8.81640625" hidden="1" customWidth="1"/>
    <col min="53" max="53" width="12.1796875" bestFit="1" customWidth="1"/>
    <col min="54" max="54" width="11.1796875" bestFit="1" customWidth="1"/>
    <col min="55" max="55" width="8.81640625" hidden="1" customWidth="1"/>
    <col min="56" max="58" width="12.1796875" bestFit="1" customWidth="1"/>
    <col min="59" max="59" width="8.81640625" hidden="1" customWidth="1"/>
    <col min="60" max="62" width="12.1796875" bestFit="1" customWidth="1"/>
    <col min="63" max="64" width="8.81640625" hidden="1" customWidth="1"/>
    <col min="65" max="67" width="12.1796875" bestFit="1" customWidth="1"/>
    <col min="68" max="68" width="11.1796875" bestFit="1" customWidth="1"/>
  </cols>
  <sheetData>
    <row r="1" spans="1:68" ht="15" thickBot="1" x14ac:dyDescent="0.4">
      <c r="Q1" s="309">
        <v>0.11</v>
      </c>
      <c r="R1" s="309">
        <v>0.11</v>
      </c>
      <c r="S1" s="309">
        <v>0.11</v>
      </c>
      <c r="T1" s="309">
        <v>0.11</v>
      </c>
      <c r="U1" s="309">
        <v>0.11</v>
      </c>
      <c r="V1" s="309">
        <v>0.11</v>
      </c>
      <c r="W1" s="309">
        <v>0.11</v>
      </c>
      <c r="X1" s="309">
        <v>0.11</v>
      </c>
      <c r="Y1" s="309">
        <v>0.11</v>
      </c>
      <c r="Z1" s="309">
        <v>0.11</v>
      </c>
      <c r="AA1" s="309">
        <v>0.11</v>
      </c>
      <c r="AB1" s="309">
        <v>0.11</v>
      </c>
      <c r="AC1" s="309">
        <v>0.11</v>
      </c>
      <c r="AD1" s="309">
        <v>0.11</v>
      </c>
      <c r="AE1" s="309">
        <v>0.11</v>
      </c>
      <c r="AF1" s="309">
        <v>0.11</v>
      </c>
      <c r="AG1" s="309">
        <v>0.11</v>
      </c>
      <c r="AH1" s="309">
        <v>0.09</v>
      </c>
      <c r="AI1" s="309">
        <v>0.09</v>
      </c>
      <c r="AJ1" s="309">
        <v>0.09</v>
      </c>
      <c r="AK1" s="309">
        <v>0.09</v>
      </c>
      <c r="AL1" s="309">
        <v>0.09</v>
      </c>
      <c r="AM1" s="309">
        <v>0.09</v>
      </c>
      <c r="AN1" s="309">
        <v>0.09</v>
      </c>
      <c r="AO1" s="309">
        <v>0.09</v>
      </c>
      <c r="AP1" s="309">
        <v>0.09</v>
      </c>
      <c r="AQ1" s="309">
        <v>0.09</v>
      </c>
      <c r="AR1" s="309">
        <v>0.09</v>
      </c>
      <c r="AS1" s="309">
        <v>0.09</v>
      </c>
      <c r="AT1" s="309">
        <v>0.09</v>
      </c>
      <c r="AU1" s="309">
        <v>0.11</v>
      </c>
      <c r="AV1" s="309">
        <v>0.11</v>
      </c>
      <c r="AW1" s="309">
        <v>0.11</v>
      </c>
      <c r="AX1" s="309">
        <v>0.11</v>
      </c>
      <c r="AY1" s="309">
        <v>0.11</v>
      </c>
      <c r="AZ1" s="309">
        <v>0.11</v>
      </c>
      <c r="BA1" s="309">
        <v>0.11</v>
      </c>
      <c r="BB1" s="309">
        <v>0.11</v>
      </c>
      <c r="BC1" s="309">
        <v>0.11</v>
      </c>
      <c r="BD1" s="309">
        <v>0.11</v>
      </c>
      <c r="BE1" s="309">
        <v>0.11</v>
      </c>
      <c r="BF1" s="309">
        <v>0.11</v>
      </c>
      <c r="BG1" s="309">
        <v>0.11</v>
      </c>
      <c r="BH1" s="309">
        <v>0.11</v>
      </c>
      <c r="BI1" s="309">
        <v>0.11</v>
      </c>
      <c r="BJ1" s="309">
        <v>0.11</v>
      </c>
      <c r="BK1" s="309">
        <v>0.11</v>
      </c>
      <c r="BL1" s="309">
        <v>0.11</v>
      </c>
      <c r="BM1" s="309">
        <v>0.11</v>
      </c>
      <c r="BN1" s="309">
        <v>0.11</v>
      </c>
      <c r="BO1" s="309">
        <v>0.11</v>
      </c>
      <c r="BP1" s="309">
        <v>0.11</v>
      </c>
    </row>
    <row r="2" spans="1:68" s="64" customFormat="1" ht="44" thickBot="1" x14ac:dyDescent="0.4">
      <c r="A2" s="823" t="s">
        <v>275</v>
      </c>
      <c r="B2" s="825" t="s">
        <v>495</v>
      </c>
      <c r="C2" s="827" t="s">
        <v>273</v>
      </c>
      <c r="D2" s="829" t="s">
        <v>956</v>
      </c>
      <c r="E2" s="831" t="s">
        <v>573</v>
      </c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60" t="s">
        <v>214</v>
      </c>
      <c r="R2" s="361" t="s">
        <v>214</v>
      </c>
      <c r="S2" s="361" t="s">
        <v>214</v>
      </c>
      <c r="T2" s="361" t="s">
        <v>214</v>
      </c>
      <c r="U2" s="362" t="s">
        <v>214</v>
      </c>
      <c r="V2" s="363" t="s">
        <v>215</v>
      </c>
      <c r="W2" s="364" t="s">
        <v>215</v>
      </c>
      <c r="X2" s="365" t="s">
        <v>215</v>
      </c>
      <c r="Y2" s="365" t="s">
        <v>215</v>
      </c>
      <c r="Z2" s="366" t="s">
        <v>215</v>
      </c>
      <c r="AA2" s="367" t="s">
        <v>210</v>
      </c>
      <c r="AB2" s="368" t="s">
        <v>226</v>
      </c>
      <c r="AC2" s="365" t="s">
        <v>226</v>
      </c>
      <c r="AD2" s="365" t="s">
        <v>226</v>
      </c>
      <c r="AE2" s="365" t="s">
        <v>226</v>
      </c>
      <c r="AF2" s="365" t="s">
        <v>226</v>
      </c>
      <c r="AG2" s="366" t="s">
        <v>226</v>
      </c>
      <c r="AH2" s="368" t="s">
        <v>228</v>
      </c>
      <c r="AI2" s="365" t="s">
        <v>228</v>
      </c>
      <c r="AJ2" s="365" t="s">
        <v>228</v>
      </c>
      <c r="AK2" s="366" t="s">
        <v>228</v>
      </c>
      <c r="AL2" s="368" t="s">
        <v>213</v>
      </c>
      <c r="AM2" s="365" t="s">
        <v>213</v>
      </c>
      <c r="AN2" s="365" t="s">
        <v>213</v>
      </c>
      <c r="AO2" s="365" t="s">
        <v>213</v>
      </c>
      <c r="AP2" s="365" t="s">
        <v>213</v>
      </c>
      <c r="AQ2" s="365" t="s">
        <v>213</v>
      </c>
      <c r="AR2" s="365" t="s">
        <v>213</v>
      </c>
      <c r="AS2" s="365" t="s">
        <v>213</v>
      </c>
      <c r="AT2" s="366" t="s">
        <v>213</v>
      </c>
      <c r="AU2" s="368" t="s">
        <v>233</v>
      </c>
      <c r="AV2" s="365" t="s">
        <v>233</v>
      </c>
      <c r="AW2" s="365" t="s">
        <v>233</v>
      </c>
      <c r="AX2" s="365" t="s">
        <v>233</v>
      </c>
      <c r="AY2" s="365" t="s">
        <v>233</v>
      </c>
      <c r="AZ2" s="365" t="s">
        <v>233</v>
      </c>
      <c r="BA2" s="365" t="s">
        <v>233</v>
      </c>
      <c r="BB2" s="365" t="s">
        <v>233</v>
      </c>
      <c r="BC2" s="365" t="s">
        <v>233</v>
      </c>
      <c r="BD2" s="366" t="s">
        <v>233</v>
      </c>
      <c r="BE2" s="368" t="s">
        <v>318</v>
      </c>
      <c r="BF2" s="365" t="s">
        <v>318</v>
      </c>
      <c r="BG2" s="365" t="s">
        <v>318</v>
      </c>
      <c r="BH2" s="365" t="s">
        <v>318</v>
      </c>
      <c r="BI2" s="372" t="s">
        <v>318</v>
      </c>
      <c r="BJ2" s="368" t="s">
        <v>235</v>
      </c>
      <c r="BK2" s="365" t="s">
        <v>318</v>
      </c>
      <c r="BL2" s="366" t="s">
        <v>318</v>
      </c>
      <c r="BM2" s="373" t="s">
        <v>235</v>
      </c>
      <c r="BN2" s="365" t="s">
        <v>235</v>
      </c>
      <c r="BO2" s="365" t="s">
        <v>235</v>
      </c>
      <c r="BP2" s="366" t="s">
        <v>235</v>
      </c>
    </row>
    <row r="3" spans="1:68" s="64" customFormat="1" ht="54.5" thickBot="1" x14ac:dyDescent="0.4">
      <c r="A3" s="824"/>
      <c r="B3" s="826"/>
      <c r="C3" s="828"/>
      <c r="D3" s="830"/>
      <c r="E3" s="832"/>
      <c r="F3" s="436" t="s">
        <v>276</v>
      </c>
      <c r="G3" s="437" t="s">
        <v>277</v>
      </c>
      <c r="H3" s="437" t="s">
        <v>278</v>
      </c>
      <c r="I3" s="437" t="s">
        <v>279</v>
      </c>
      <c r="J3" s="437" t="s">
        <v>280</v>
      </c>
      <c r="K3" s="437" t="s">
        <v>281</v>
      </c>
      <c r="L3" s="437" t="s">
        <v>282</v>
      </c>
      <c r="M3" s="438" t="s">
        <v>283</v>
      </c>
      <c r="N3" s="438" t="s">
        <v>284</v>
      </c>
      <c r="O3" s="437" t="s">
        <v>285</v>
      </c>
      <c r="P3" s="439" t="s">
        <v>286</v>
      </c>
      <c r="Q3" s="440" t="s">
        <v>216</v>
      </c>
      <c r="R3" s="441" t="s">
        <v>217</v>
      </c>
      <c r="S3" s="441" t="s">
        <v>218</v>
      </c>
      <c r="T3" s="441" t="s">
        <v>219</v>
      </c>
      <c r="U3" s="442" t="s">
        <v>220</v>
      </c>
      <c r="V3" s="443" t="s">
        <v>216</v>
      </c>
      <c r="W3" s="444" t="s">
        <v>217</v>
      </c>
      <c r="X3" s="444" t="s">
        <v>218</v>
      </c>
      <c r="Y3" s="444" t="s">
        <v>221</v>
      </c>
      <c r="Z3" s="445" t="s">
        <v>219</v>
      </c>
      <c r="AA3" s="446" t="s">
        <v>222</v>
      </c>
      <c r="AB3" s="443" t="s">
        <v>223</v>
      </c>
      <c r="AC3" s="444" t="s">
        <v>218</v>
      </c>
      <c r="AD3" s="444" t="s">
        <v>224</v>
      </c>
      <c r="AE3" s="444" t="s">
        <v>221</v>
      </c>
      <c r="AF3" s="444" t="s">
        <v>227</v>
      </c>
      <c r="AG3" s="445" t="s">
        <v>219</v>
      </c>
      <c r="AH3" s="443" t="s">
        <v>218</v>
      </c>
      <c r="AI3" s="444" t="s">
        <v>221</v>
      </c>
      <c r="AJ3" s="444" t="s">
        <v>225</v>
      </c>
      <c r="AK3" s="445" t="s">
        <v>219</v>
      </c>
      <c r="AL3" s="443" t="s">
        <v>216</v>
      </c>
      <c r="AM3" s="444" t="s">
        <v>217</v>
      </c>
      <c r="AN3" s="444" t="s">
        <v>218</v>
      </c>
      <c r="AO3" s="444" t="s">
        <v>221</v>
      </c>
      <c r="AP3" s="444" t="s">
        <v>225</v>
      </c>
      <c r="AQ3" s="444" t="s">
        <v>230</v>
      </c>
      <c r="AR3" s="444" t="s">
        <v>231</v>
      </c>
      <c r="AS3" s="444" t="s">
        <v>232</v>
      </c>
      <c r="AT3" s="445" t="s">
        <v>220</v>
      </c>
      <c r="AU3" s="443" t="s">
        <v>216</v>
      </c>
      <c r="AV3" s="444" t="s">
        <v>217</v>
      </c>
      <c r="AW3" s="444" t="s">
        <v>218</v>
      </c>
      <c r="AX3" s="444" t="s">
        <v>218</v>
      </c>
      <c r="AY3" s="444" t="s">
        <v>218</v>
      </c>
      <c r="AZ3" s="444" t="s">
        <v>221</v>
      </c>
      <c r="BA3" s="444" t="s">
        <v>225</v>
      </c>
      <c r="BB3" s="444" t="s">
        <v>325</v>
      </c>
      <c r="BC3" s="444" t="s">
        <v>230</v>
      </c>
      <c r="BD3" s="445" t="s">
        <v>219</v>
      </c>
      <c r="BE3" s="443" t="s">
        <v>216</v>
      </c>
      <c r="BF3" s="444" t="s">
        <v>217</v>
      </c>
      <c r="BG3" s="444" t="s">
        <v>218</v>
      </c>
      <c r="BH3" s="444" t="s">
        <v>221</v>
      </c>
      <c r="BI3" s="447" t="s">
        <v>219</v>
      </c>
      <c r="BJ3" s="443" t="s">
        <v>216</v>
      </c>
      <c r="BK3" s="444" t="s">
        <v>218</v>
      </c>
      <c r="BL3" s="445" t="s">
        <v>218</v>
      </c>
      <c r="BM3" s="448" t="s">
        <v>225</v>
      </c>
      <c r="BN3" s="444" t="s">
        <v>230</v>
      </c>
      <c r="BO3" s="444" t="s">
        <v>219</v>
      </c>
      <c r="BP3" s="445" t="s">
        <v>220</v>
      </c>
    </row>
    <row r="4" spans="1:68" ht="15" thickBot="1" x14ac:dyDescent="0.4">
      <c r="A4" s="455"/>
      <c r="B4" s="456"/>
      <c r="C4" s="457"/>
      <c r="D4" s="495" t="s">
        <v>965</v>
      </c>
      <c r="E4" s="458"/>
      <c r="F4" s="459"/>
      <c r="G4" s="355"/>
      <c r="H4" s="355"/>
      <c r="I4" s="355"/>
      <c r="J4" s="355"/>
      <c r="K4" s="355"/>
      <c r="L4" s="355"/>
      <c r="M4" s="354"/>
      <c r="N4" s="354"/>
      <c r="O4" s="355"/>
      <c r="P4" s="356"/>
      <c r="Q4" s="371">
        <v>1154014.76</v>
      </c>
      <c r="R4" s="369">
        <v>1570550.05</v>
      </c>
      <c r="S4" s="369">
        <v>0</v>
      </c>
      <c r="T4" s="369">
        <v>2894815.27</v>
      </c>
      <c r="U4" s="460">
        <v>935774.0199999999</v>
      </c>
      <c r="V4" s="371">
        <v>2196076.96</v>
      </c>
      <c r="W4" s="369">
        <v>3189880.13</v>
      </c>
      <c r="X4" s="369">
        <v>0</v>
      </c>
      <c r="Y4" s="369">
        <v>3585697.09</v>
      </c>
      <c r="Z4" s="461">
        <v>2670456.54</v>
      </c>
      <c r="AA4" s="370">
        <v>0</v>
      </c>
      <c r="AB4" s="371">
        <v>0</v>
      </c>
      <c r="AC4" s="369">
        <v>0</v>
      </c>
      <c r="AD4" s="369">
        <v>2783562.54</v>
      </c>
      <c r="AE4" s="369">
        <v>2143550.31</v>
      </c>
      <c r="AF4" s="369">
        <v>247733.88</v>
      </c>
      <c r="AG4" s="461">
        <v>3518844.32</v>
      </c>
      <c r="AH4" s="371">
        <v>0</v>
      </c>
      <c r="AI4" s="369">
        <v>1027044.31</v>
      </c>
      <c r="AJ4" s="369">
        <v>1932778.0299999998</v>
      </c>
      <c r="AK4" s="461">
        <v>1660749.8299999998</v>
      </c>
      <c r="AL4" s="491">
        <v>1401151.38</v>
      </c>
      <c r="AM4" s="492">
        <v>1770505.51</v>
      </c>
      <c r="AN4" s="492">
        <v>0</v>
      </c>
      <c r="AO4" s="492">
        <v>3494822.76</v>
      </c>
      <c r="AP4" s="492">
        <v>3965664.5100000002</v>
      </c>
      <c r="AQ4" s="492">
        <v>314388.7</v>
      </c>
      <c r="AR4" s="492">
        <v>1960392.71</v>
      </c>
      <c r="AS4" s="492">
        <v>1525108.29</v>
      </c>
      <c r="AT4" s="493">
        <v>1775663.41</v>
      </c>
      <c r="AU4" s="371">
        <v>1832396.21</v>
      </c>
      <c r="AV4" s="369">
        <v>2173937.71</v>
      </c>
      <c r="AW4" s="369">
        <v>0</v>
      </c>
      <c r="AX4" s="369">
        <v>0</v>
      </c>
      <c r="AY4" s="369">
        <v>0</v>
      </c>
      <c r="AZ4" s="369">
        <v>0</v>
      </c>
      <c r="BA4" s="369">
        <v>4658895.82</v>
      </c>
      <c r="BB4" s="369">
        <v>227458.6</v>
      </c>
      <c r="BC4" s="369">
        <v>0</v>
      </c>
      <c r="BD4" s="461">
        <v>5366392.37</v>
      </c>
      <c r="BE4" s="491">
        <v>2040568.29</v>
      </c>
      <c r="BF4" s="492">
        <v>1530009.7399999998</v>
      </c>
      <c r="BG4" s="492">
        <v>0</v>
      </c>
      <c r="BH4" s="492">
        <v>2008776.6500000001</v>
      </c>
      <c r="BI4" s="494">
        <v>2004593.42</v>
      </c>
      <c r="BJ4" s="371">
        <v>1081739.6099999999</v>
      </c>
      <c r="BK4" s="369">
        <v>0</v>
      </c>
      <c r="BL4" s="461">
        <v>0</v>
      </c>
      <c r="BM4" s="462">
        <v>2548922.29</v>
      </c>
      <c r="BN4" s="369">
        <v>1182532.18</v>
      </c>
      <c r="BO4" s="369">
        <v>3740986.48</v>
      </c>
      <c r="BP4" s="461">
        <v>583075.65999999992</v>
      </c>
    </row>
    <row r="5" spans="1:68" x14ac:dyDescent="0.35">
      <c r="A5" s="449">
        <v>1</v>
      </c>
      <c r="B5" s="497" t="s">
        <v>140</v>
      </c>
      <c r="C5" s="450" t="s">
        <v>141</v>
      </c>
      <c r="D5" s="41" t="s">
        <v>268</v>
      </c>
      <c r="E5" s="487">
        <f t="shared" ref="E5:E12" si="0">SUM(Q5:BP5)</f>
        <v>8213130.0217999993</v>
      </c>
      <c r="F5" s="451">
        <f>[3]Report1!$Y$307+[3]Report1!$Z$307+[3]Report1!$AA$307+[3]Report1!$AB$307+[3]Report1!$AC$307+[3]Report1!$AD$307+[3]Report1!$AE$307+[3]Report1!$AF$307+[3]Report1!$AG$307</f>
        <v>23279536</v>
      </c>
      <c r="G5" s="452">
        <f>[3]Report1!$O$307+[3]Report1!$P$307+[3]Report1!$Q$307+[3]Report1!$R$307+[3]Report1!$S$307+[3]Report1!$T$307</f>
        <v>10902138</v>
      </c>
      <c r="H5" s="452">
        <f>SUM([3]Report1!$AH$307:$AQ$307)</f>
        <v>979579</v>
      </c>
      <c r="I5" s="452">
        <f>SUM([3]Report1!$I$307:$M$307)</f>
        <v>18239108</v>
      </c>
      <c r="J5" s="452">
        <f>SUM([3]Report1!$AW$307:$BC$307)</f>
        <v>230175</v>
      </c>
      <c r="K5" s="452">
        <f>[3]Report1!$U$307+[3]Report1!$V$307+[3]Report1!$W$307+[3]Report1!$X$307</f>
        <v>3090392</v>
      </c>
      <c r="L5" s="452">
        <f>[3]Report1!$D$307+[3]Report1!$E$307+[3]Report1!$F$307+[3]Report1!$G$307+[3]Report1!$H$307</f>
        <v>7895289</v>
      </c>
      <c r="M5" s="453"/>
      <c r="N5" s="453"/>
      <c r="O5" s="452">
        <f>SUM([3]Report1!$AR$307:$AV$307)</f>
        <v>11234303</v>
      </c>
      <c r="P5" s="454">
        <f>SUM(F5:O5)</f>
        <v>75850520</v>
      </c>
      <c r="Q5" s="335">
        <f>Q4*Q1</f>
        <v>126941.62360000001</v>
      </c>
      <c r="R5" s="154">
        <f t="shared" ref="R5:BP5" si="1">R4*R1</f>
        <v>172760.5055</v>
      </c>
      <c r="S5" s="154">
        <f t="shared" si="1"/>
        <v>0</v>
      </c>
      <c r="T5" s="154">
        <f t="shared" si="1"/>
        <v>318429.67969999998</v>
      </c>
      <c r="U5" s="357">
        <f t="shared" si="1"/>
        <v>102935.14219999999</v>
      </c>
      <c r="V5" s="335">
        <f t="shared" si="1"/>
        <v>241568.4656</v>
      </c>
      <c r="W5" s="154">
        <f t="shared" si="1"/>
        <v>350886.81429999997</v>
      </c>
      <c r="X5" s="154">
        <f t="shared" si="1"/>
        <v>0</v>
      </c>
      <c r="Y5" s="154">
        <f t="shared" si="1"/>
        <v>394426.67989999999</v>
      </c>
      <c r="Z5" s="351">
        <f t="shared" si="1"/>
        <v>293750.2194</v>
      </c>
      <c r="AA5" s="150">
        <f t="shared" si="1"/>
        <v>0</v>
      </c>
      <c r="AB5" s="335">
        <f t="shared" si="1"/>
        <v>0</v>
      </c>
      <c r="AC5" s="154">
        <f t="shared" si="1"/>
        <v>0</v>
      </c>
      <c r="AD5" s="154">
        <f t="shared" si="1"/>
        <v>306191.87940000003</v>
      </c>
      <c r="AE5" s="154">
        <f t="shared" si="1"/>
        <v>235790.53410000002</v>
      </c>
      <c r="AF5" s="154"/>
      <c r="AG5" s="351">
        <f t="shared" si="1"/>
        <v>387072.87520000001</v>
      </c>
      <c r="AH5" s="335">
        <f t="shared" si="1"/>
        <v>0</v>
      </c>
      <c r="AI5" s="154">
        <f t="shared" si="1"/>
        <v>92433.987900000007</v>
      </c>
      <c r="AJ5" s="154">
        <f t="shared" si="1"/>
        <v>173950.02269999997</v>
      </c>
      <c r="AK5" s="351">
        <f t="shared" si="1"/>
        <v>149467.48469999997</v>
      </c>
      <c r="AL5" s="335">
        <f t="shared" si="1"/>
        <v>126103.62419999999</v>
      </c>
      <c r="AM5" s="154">
        <f t="shared" si="1"/>
        <v>159345.49590000001</v>
      </c>
      <c r="AN5" s="154">
        <f t="shared" si="1"/>
        <v>0</v>
      </c>
      <c r="AO5" s="154">
        <f t="shared" si="1"/>
        <v>314534.04839999997</v>
      </c>
      <c r="AP5" s="154">
        <f t="shared" si="1"/>
        <v>356909.80590000004</v>
      </c>
      <c r="AQ5" s="154">
        <f t="shared" si="1"/>
        <v>28294.983</v>
      </c>
      <c r="AR5" s="154">
        <f t="shared" si="1"/>
        <v>176435.34389999998</v>
      </c>
      <c r="AS5" s="154">
        <f t="shared" si="1"/>
        <v>137259.74609999999</v>
      </c>
      <c r="AT5" s="351">
        <f t="shared" si="1"/>
        <v>159809.70689999999</v>
      </c>
      <c r="AU5" s="335">
        <f t="shared" si="1"/>
        <v>201563.58309999999</v>
      </c>
      <c r="AV5" s="154">
        <f t="shared" si="1"/>
        <v>239133.14809999999</v>
      </c>
      <c r="AW5" s="154">
        <f t="shared" si="1"/>
        <v>0</v>
      </c>
      <c r="AX5" s="154">
        <f t="shared" si="1"/>
        <v>0</v>
      </c>
      <c r="AY5" s="154">
        <f t="shared" si="1"/>
        <v>0</v>
      </c>
      <c r="AZ5" s="154">
        <f t="shared" si="1"/>
        <v>0</v>
      </c>
      <c r="BA5" s="154">
        <f t="shared" si="1"/>
        <v>512478.54020000005</v>
      </c>
      <c r="BB5" s="154">
        <f t="shared" si="1"/>
        <v>25020.446</v>
      </c>
      <c r="BC5" s="154">
        <f t="shared" si="1"/>
        <v>0</v>
      </c>
      <c r="BD5" s="351">
        <f t="shared" si="1"/>
        <v>590303.16070000001</v>
      </c>
      <c r="BE5" s="335">
        <f t="shared" si="1"/>
        <v>224462.51190000001</v>
      </c>
      <c r="BF5" s="154">
        <f t="shared" si="1"/>
        <v>168301.07139999999</v>
      </c>
      <c r="BG5" s="154">
        <f t="shared" si="1"/>
        <v>0</v>
      </c>
      <c r="BH5" s="154">
        <f t="shared" si="1"/>
        <v>220965.43150000001</v>
      </c>
      <c r="BI5" s="357">
        <f t="shared" si="1"/>
        <v>220505.27619999999</v>
      </c>
      <c r="BJ5" s="335">
        <f t="shared" si="1"/>
        <v>118991.35709999998</v>
      </c>
      <c r="BK5" s="154">
        <f t="shared" si="1"/>
        <v>0</v>
      </c>
      <c r="BL5" s="351">
        <f t="shared" si="1"/>
        <v>0</v>
      </c>
      <c r="BM5" s="151">
        <f t="shared" si="1"/>
        <v>280381.45189999999</v>
      </c>
      <c r="BN5" s="154">
        <f t="shared" si="1"/>
        <v>130078.5398</v>
      </c>
      <c r="BO5" s="154">
        <f t="shared" si="1"/>
        <v>411508.51280000003</v>
      </c>
      <c r="BP5" s="351">
        <f t="shared" si="1"/>
        <v>64138.322599999992</v>
      </c>
    </row>
    <row r="6" spans="1:68" x14ac:dyDescent="0.35">
      <c r="A6" s="57">
        <v>2</v>
      </c>
      <c r="B6" s="497" t="s">
        <v>142</v>
      </c>
      <c r="C6" s="428" t="s">
        <v>271</v>
      </c>
      <c r="D6" s="17" t="s">
        <v>269</v>
      </c>
      <c r="E6" s="481">
        <f t="shared" si="0"/>
        <v>3713958</v>
      </c>
      <c r="F6" s="430">
        <f>SUM([3]Report1!$Y$308:$AG$308)</f>
        <v>10539186</v>
      </c>
      <c r="G6" s="65">
        <f>SUM([3]Report1!$O$308:$T$308)</f>
        <v>7539661</v>
      </c>
      <c r="H6" s="65">
        <f>SUM([3]Report1!$AH$308:$AQ$308)</f>
        <v>810036</v>
      </c>
      <c r="I6" s="65">
        <f>SUM([3]Report1!$I$308:$M$308)</f>
        <v>4200092.1400000006</v>
      </c>
      <c r="J6" s="65">
        <f>SUM([3]Report1!$AW$308:$BC$308)</f>
        <v>1359303</v>
      </c>
      <c r="K6" s="65">
        <f>SUM([3]Report1!$U$308:$X$308)</f>
        <v>3098670</v>
      </c>
      <c r="L6" s="65">
        <f>SUM([3]Report1!$D$308:$H$308)</f>
        <v>4838235</v>
      </c>
      <c r="M6" s="58"/>
      <c r="N6" s="58"/>
      <c r="O6" s="65">
        <f>SUM([3]Report1!$AR$308:$AV$308)</f>
        <v>4788936</v>
      </c>
      <c r="P6" s="347">
        <f>SUM(F6:O6)</f>
        <v>37174119.140000001</v>
      </c>
      <c r="Q6" s="123">
        <f>'[4]SGH APRIL 2024'!$B$5</f>
        <v>84876</v>
      </c>
      <c r="R6" s="122">
        <f>'[4]SGH APRIL 2024'!$B$6</f>
        <v>108720</v>
      </c>
      <c r="S6" s="122"/>
      <c r="T6" s="122">
        <f>'[4]SGH APRIL 2024'!$B$7</f>
        <v>120444</v>
      </c>
      <c r="U6" s="358">
        <f>'[4]SGH APRIL 2024'!$B$8</f>
        <v>50806</v>
      </c>
      <c r="V6" s="123">
        <f>'[4]ISML APRIL 2024'!$C$5</f>
        <v>72886</v>
      </c>
      <c r="W6" s="122">
        <f>'[4]ISML APRIL 2024'!$C$6</f>
        <v>72886</v>
      </c>
      <c r="X6" s="122"/>
      <c r="Y6" s="122">
        <f>'[4]ISML APRIL 2024'!$C$7</f>
        <v>72886</v>
      </c>
      <c r="Z6" s="124">
        <f>'[4]ISML APRIL 2024'!$C$8</f>
        <v>72886</v>
      </c>
      <c r="AA6" s="119"/>
      <c r="AB6" s="123"/>
      <c r="AC6" s="122"/>
      <c r="AD6" s="122">
        <f>'[4]OFFBEAT APRIL 2024'!$B$5</f>
        <v>82044</v>
      </c>
      <c r="AE6" s="122">
        <f>'[4]OFFBEAT APRIL 2024'!$B$6</f>
        <v>299598</v>
      </c>
      <c r="AF6" s="122"/>
      <c r="AG6" s="124">
        <f>'[4]OFFBEAT APRIL 2024'!$B$7</f>
        <v>157066</v>
      </c>
      <c r="AH6" s="123"/>
      <c r="AI6" s="122">
        <f>'[4]DESTINY APRIL 2024'!$D$6/2</f>
        <v>116405</v>
      </c>
      <c r="AJ6" s="122">
        <f>'[4]DESTINY APRIL 2024'!$D$5</f>
        <v>150958</v>
      </c>
      <c r="AK6" s="122">
        <f>'[4]DESTINY APRIL 2024'!$D$6/2</f>
        <v>116405</v>
      </c>
      <c r="AL6" s="123">
        <f>'[4]PML APRIL 2024'!$C$5</f>
        <v>47380</v>
      </c>
      <c r="AM6" s="122">
        <f>'[4]PML APRIL 2024'!$C$6</f>
        <v>45942</v>
      </c>
      <c r="AN6" s="122"/>
      <c r="AO6" s="122">
        <f>'[4]PML APRIL 2024'!$F$7</f>
        <v>112062.10092261345</v>
      </c>
      <c r="AP6" s="122">
        <f>'[4]PML APRIL 2024'!$D$7</f>
        <v>127864.64131048767</v>
      </c>
      <c r="AQ6" s="122">
        <f>'[4]PML APRIL 2024'!$G$7</f>
        <v>69044.074311178061</v>
      </c>
      <c r="AR6" s="122">
        <f>'[4]PML APRIL 2024'!$E$7</f>
        <v>142251.18345572083</v>
      </c>
      <c r="AS6" s="122">
        <f>'[4]PML APRIL 2024'!$C$8</f>
        <v>52455</v>
      </c>
      <c r="AT6" s="124">
        <f>'[4]PML APRIL 2024'!$C$9</f>
        <v>59449</v>
      </c>
      <c r="AU6" s="123">
        <f>'[4]SPARKLE ONE NEW'!$B$5</f>
        <v>114354</v>
      </c>
      <c r="AV6" s="122">
        <f>'[4]SPARKLE ONE NEW'!$B$6</f>
        <v>69448</v>
      </c>
      <c r="AW6" s="122"/>
      <c r="AX6" s="122"/>
      <c r="AY6" s="122"/>
      <c r="AZ6" s="122"/>
      <c r="BA6" s="122">
        <f>'[4]SPARKLE ONE NEW'!$B$7</f>
        <v>156928</v>
      </c>
      <c r="BB6" s="122">
        <f>'[4]SPARKLE ONE NEW'!$B$8</f>
        <v>53123</v>
      </c>
      <c r="BC6" s="122"/>
      <c r="BD6" s="124">
        <f>'[4]SPARKLE ONE NEW'!$B$9</f>
        <v>165676</v>
      </c>
      <c r="BE6" s="123">
        <f>[4]VAMONA!$C$5</f>
        <v>159265</v>
      </c>
      <c r="BF6" s="122">
        <f>[4]VAMONA!$C$6</f>
        <v>101584</v>
      </c>
      <c r="BG6" s="122"/>
      <c r="BH6" s="122">
        <f>[4]VAMONA!$C$7</f>
        <v>83603</v>
      </c>
      <c r="BI6" s="358">
        <f>[4]VAMONA!$C$8</f>
        <v>83603</v>
      </c>
      <c r="BJ6" s="123">
        <f>'[4]ALYSSUM APRIL 2024'!$B$37/2</f>
        <v>102581</v>
      </c>
      <c r="BK6" s="122"/>
      <c r="BL6" s="124"/>
      <c r="BM6" s="121">
        <f>'[4]ALYSSUM APRIL 2024'!$B$37/2</f>
        <v>102581</v>
      </c>
      <c r="BN6" s="122">
        <f>'[4]ALYSSUM APRIL 2024'!$B$38</f>
        <v>62304</v>
      </c>
      <c r="BO6" s="122">
        <f>'[4]ALYSSUM APRIL 2024'!$B$39/2</f>
        <v>111797</v>
      </c>
      <c r="BP6" s="124">
        <f>'[4]ALYSSUM APRIL 2024'!$B$39/2</f>
        <v>111797</v>
      </c>
    </row>
    <row r="7" spans="1:68" s="765" customFormat="1" x14ac:dyDescent="0.35">
      <c r="A7" s="747">
        <v>3</v>
      </c>
      <c r="B7" s="748" t="s">
        <v>546</v>
      </c>
      <c r="C7" s="749" t="s">
        <v>959</v>
      </c>
      <c r="D7" s="750" t="s">
        <v>287</v>
      </c>
      <c r="E7" s="751">
        <f t="shared" si="0"/>
        <v>541144</v>
      </c>
      <c r="F7" s="752"/>
      <c r="G7" s="753"/>
      <c r="H7" s="753"/>
      <c r="I7" s="753"/>
      <c r="J7" s="753"/>
      <c r="K7" s="753"/>
      <c r="L7" s="753"/>
      <c r="M7" s="753"/>
      <c r="N7" s="753"/>
      <c r="O7" s="753"/>
      <c r="P7" s="754">
        <f t="shared" ref="P7:P15" si="2">SUM(F7:O7)</f>
        <v>0</v>
      </c>
      <c r="Q7" s="763">
        <f>'[4]SGH APRIL 2024'!$B$24</f>
        <v>10609</v>
      </c>
      <c r="R7" s="761">
        <f>'[4]SGH APRIL 2024'!$B$25</f>
        <v>13591</v>
      </c>
      <c r="S7" s="761"/>
      <c r="T7" s="761">
        <f>'[4]SGH APRIL 2024'!$B$26</f>
        <v>15055</v>
      </c>
      <c r="U7" s="764">
        <f>'[4]SGH APRIL 2024'!$B$27</f>
        <v>6350</v>
      </c>
      <c r="V7" s="763">
        <f>'[4]ISML APRIL 2024'!$C$39</f>
        <v>8282.5</v>
      </c>
      <c r="W7" s="761">
        <f>'[4]ISML APRIL 2024'!$C$40</f>
        <v>8282.5</v>
      </c>
      <c r="X7" s="761"/>
      <c r="Y7" s="761">
        <f>'[4]ISML APRIL 2024'!$C$41</f>
        <v>8282.5</v>
      </c>
      <c r="Z7" s="762">
        <f>'[4]ISML APRIL 2024'!$C$42</f>
        <v>8282.5</v>
      </c>
      <c r="AA7" s="769"/>
      <c r="AB7" s="763"/>
      <c r="AC7" s="761"/>
      <c r="AD7" s="761">
        <f>'[4]OFFBEAT APRIL 2024'!$B$23</f>
        <v>10255</v>
      </c>
      <c r="AE7" s="761">
        <f>'[4]OFFBEAT APRIL 2024'!$B$24</f>
        <v>37449</v>
      </c>
      <c r="AF7" s="761"/>
      <c r="AG7" s="762">
        <f>'[4]OFFBEAT APRIL 2024'!$B$25</f>
        <v>18698</v>
      </c>
      <c r="AH7" s="763"/>
      <c r="AI7" s="761">
        <f>'[4]DESTINY APRIL 2024'!$D$23/2</f>
        <v>15873</v>
      </c>
      <c r="AJ7" s="761">
        <f>'[4]DESTINY APRIL 2024'!$D$22</f>
        <v>20585</v>
      </c>
      <c r="AK7" s="761">
        <f>'[4]DESTINY APRIL 2024'!$D$23/2</f>
        <v>15873</v>
      </c>
      <c r="AL7" s="763">
        <f>'[4]PML APRIL 2024'!$B$25</f>
        <v>5282</v>
      </c>
      <c r="AM7" s="761">
        <f>'[4]PML APRIL 2024'!$B$26</f>
        <v>4877</v>
      </c>
      <c r="AN7" s="761"/>
      <c r="AO7" s="761">
        <f>'[4]PML APRIL 2024'!$F$27</f>
        <v>12490.391075127094</v>
      </c>
      <c r="AP7" s="761">
        <f>'[4]PML APRIL 2024'!$D$27</f>
        <v>14251.735078139709</v>
      </c>
      <c r="AQ7" s="761">
        <f>'[4]PML APRIL 2024'!$G$27</f>
        <v>7695.6212891483083</v>
      </c>
      <c r="AR7" s="761">
        <f>'[4]PML APRIL 2024'!$E$27</f>
        <v>15855.252557584887</v>
      </c>
      <c r="AS7" s="761">
        <f>'[4]PML APRIL 2024'!$B$28</f>
        <v>5569</v>
      </c>
      <c r="AT7" s="762">
        <f>'[4]PML APRIL 2024'!$B$29</f>
        <v>6885</v>
      </c>
      <c r="AU7" s="763">
        <f>'[4]SPARKLE ONE NEW'!$B$25</f>
        <v>12995</v>
      </c>
      <c r="AV7" s="761">
        <f>'[4]SPARKLE ONE NEW'!$B$26</f>
        <v>56673</v>
      </c>
      <c r="AW7" s="761"/>
      <c r="AX7" s="761"/>
      <c r="AY7" s="761"/>
      <c r="AZ7" s="761"/>
      <c r="BA7" s="761">
        <f>'[4]SPARKLE ONE NEW'!$B$27</f>
        <v>20780</v>
      </c>
      <c r="BB7" s="761">
        <f>'[4]SPARKLE ONE NEW'!$B$28</f>
        <v>39358</v>
      </c>
      <c r="BC7" s="761"/>
      <c r="BD7" s="762">
        <f>'[4]SPARKLE ONE NEW'!$B$29</f>
        <v>18827</v>
      </c>
      <c r="BE7" s="763">
        <f>[4]VAMONA!$C$25</f>
        <v>20287</v>
      </c>
      <c r="BF7" s="761">
        <f>[4]VAMONA!$C$26</f>
        <v>13586</v>
      </c>
      <c r="BG7" s="761"/>
      <c r="BH7" s="761">
        <f>[4]VAMONA!$C$27</f>
        <v>10650</v>
      </c>
      <c r="BI7" s="764">
        <f>[4]VAMONA!$C$28</f>
        <v>10650</v>
      </c>
      <c r="BJ7" s="763">
        <f>'[4]ALYSSUM APRIL 2024'!$B$56/2</f>
        <v>13988.5</v>
      </c>
      <c r="BK7" s="761"/>
      <c r="BL7" s="762"/>
      <c r="BM7" s="763">
        <f>'[4]ALYSSUM APRIL 2024'!$B$56/2</f>
        <v>13988.5</v>
      </c>
      <c r="BN7" s="761">
        <f>'[4]ALYSSUM APRIL 2024'!$B$57</f>
        <v>8496</v>
      </c>
      <c r="BO7" s="761">
        <f>'[4]ALYSSUM APRIL 2024'!$B$58/2</f>
        <v>15245.5</v>
      </c>
      <c r="BP7" s="762">
        <f>'[4]ALYSSUM APRIL 2024'!$B$58/2</f>
        <v>15245.5</v>
      </c>
    </row>
    <row r="8" spans="1:68" s="765" customFormat="1" x14ac:dyDescent="0.35">
      <c r="A8" s="747">
        <v>4</v>
      </c>
      <c r="B8" s="748" t="s">
        <v>144</v>
      </c>
      <c r="C8" s="749" t="s">
        <v>272</v>
      </c>
      <c r="D8" s="750" t="s">
        <v>287</v>
      </c>
      <c r="E8" s="751">
        <f t="shared" si="0"/>
        <v>1928844.97</v>
      </c>
      <c r="F8" s="752"/>
      <c r="G8" s="753"/>
      <c r="H8" s="753"/>
      <c r="I8" s="753"/>
      <c r="J8" s="753"/>
      <c r="K8" s="753"/>
      <c r="L8" s="753"/>
      <c r="M8" s="753"/>
      <c r="N8" s="753"/>
      <c r="O8" s="753"/>
      <c r="P8" s="754">
        <f t="shared" si="2"/>
        <v>0</v>
      </c>
      <c r="Q8" s="763">
        <f>'[4]SGH APRIL 2024'!$B$19</f>
        <v>42332</v>
      </c>
      <c r="R8" s="761">
        <f>'[4]SGH APRIL 2024'!$B$20</f>
        <v>54225</v>
      </c>
      <c r="S8" s="761"/>
      <c r="T8" s="761">
        <f>'[4]SGH APRIL 2024'!$B$21</f>
        <v>60072</v>
      </c>
      <c r="U8" s="764">
        <f>'[4]SGH APRIL 2024'!$B$22</f>
        <v>25340</v>
      </c>
      <c r="V8" s="763">
        <f>'[4]ISML APRIL 2024'!$C$11</f>
        <v>47144</v>
      </c>
      <c r="W8" s="761">
        <f>'[4]ISML APRIL 2024'!$C$12</f>
        <v>47144</v>
      </c>
      <c r="X8" s="761"/>
      <c r="Y8" s="761">
        <f>'[4]ISML APRIL 2024'!$C$13</f>
        <v>47144</v>
      </c>
      <c r="Z8" s="762">
        <f>'[4]ISML APRIL 2024'!$C$14</f>
        <v>47144</v>
      </c>
      <c r="AA8" s="769"/>
      <c r="AB8" s="763"/>
      <c r="AC8" s="761"/>
      <c r="AD8" s="761">
        <f>'[4]OFFBEAT APRIL 2024'!$B$19</f>
        <v>39312</v>
      </c>
      <c r="AE8" s="761">
        <f>'[4]OFFBEAT APRIL 2024'!$B$20</f>
        <v>143557</v>
      </c>
      <c r="AF8" s="761"/>
      <c r="AG8" s="762">
        <f>'[4]OFFBEAT APRIL 2024'!$B$21</f>
        <v>71677</v>
      </c>
      <c r="AH8" s="763"/>
      <c r="AI8" s="761">
        <f>'[4]DESTINY APRIL 2024'!$D$20/2</f>
        <v>23296.875</v>
      </c>
      <c r="AJ8" s="761">
        <f>'[4]DESTINY APRIL 2024'!$D$19</f>
        <v>30211.22</v>
      </c>
      <c r="AK8" s="761">
        <f>'[4]DESTINY APRIL 2024'!$D$20/2</f>
        <v>23296.875</v>
      </c>
      <c r="AL8" s="763">
        <f>'[4]PML APRIL 2024'!$C$45</f>
        <v>30797</v>
      </c>
      <c r="AM8" s="761">
        <f>'[4]PML APRIL 2024'!$C$46</f>
        <v>28440</v>
      </c>
      <c r="AN8" s="761"/>
      <c r="AO8" s="761">
        <f>'[4]PML APRIL 2024'!$F$49</f>
        <v>72840.53944643194</v>
      </c>
      <c r="AP8" s="761">
        <f>'[4]PML APRIL 2024'!$D$49</f>
        <v>83112.215213707401</v>
      </c>
      <c r="AQ8" s="761">
        <f>'[4]PML APRIL 2024'!$G$49</f>
        <v>44878.755413293162</v>
      </c>
      <c r="AR8" s="761">
        <f>'[4]PML APRIL 2024'!$E$49</f>
        <v>92463.489926567505</v>
      </c>
      <c r="AS8" s="761">
        <v>32472</v>
      </c>
      <c r="AT8" s="762">
        <v>40148</v>
      </c>
      <c r="AU8" s="763">
        <f>'[4]SPARKLE ONE NEW'!$B$21</f>
        <v>9266</v>
      </c>
      <c r="AV8" s="761">
        <v>0</v>
      </c>
      <c r="AW8" s="761"/>
      <c r="AX8" s="761"/>
      <c r="AY8" s="761"/>
      <c r="AZ8" s="761"/>
      <c r="BA8" s="761">
        <f>'[4]SPARKLE ONE NEW'!$B$22</f>
        <v>114307</v>
      </c>
      <c r="BB8" s="761">
        <v>0</v>
      </c>
      <c r="BC8" s="761"/>
      <c r="BD8" s="762">
        <f>'[4]SPARKLE ONE NEW'!$B$23</f>
        <v>138716</v>
      </c>
      <c r="BE8" s="763">
        <f>[4]VAMONA!$C$20</f>
        <v>117301</v>
      </c>
      <c r="BF8" s="761">
        <f>[4]VAMONA!$C$21</f>
        <v>78559</v>
      </c>
      <c r="BG8" s="761"/>
      <c r="BH8" s="761">
        <f>[4]VAMONA!$C$22</f>
        <v>61709.5</v>
      </c>
      <c r="BI8" s="764">
        <f>[4]VAMONA!$C$23</f>
        <v>61709.5</v>
      </c>
      <c r="BJ8" s="763">
        <f>'[4]ALYSSUM APRIL 2024'!$B$70/2</f>
        <v>47988.5</v>
      </c>
      <c r="BK8" s="761"/>
      <c r="BL8" s="762"/>
      <c r="BM8" s="770">
        <f>'[4]ALYSSUM APRIL 2024'!$B$70/2</f>
        <v>47988.5</v>
      </c>
      <c r="BN8" s="761">
        <f>'[4]ALYSSUM APRIL 2024'!$B$71</f>
        <v>7780</v>
      </c>
      <c r="BO8" s="761">
        <f>'[4]ALYSSUM APRIL 2024'!$B$72/2</f>
        <v>58236</v>
      </c>
      <c r="BP8" s="762">
        <f>'[4]ALYSSUM APRIL 2024'!$B$72/2</f>
        <v>58236</v>
      </c>
    </row>
    <row r="9" spans="1:68" x14ac:dyDescent="0.35">
      <c r="A9" s="57">
        <v>5</v>
      </c>
      <c r="B9" s="496" t="s">
        <v>150</v>
      </c>
      <c r="C9" s="428" t="s">
        <v>87</v>
      </c>
      <c r="D9" s="86" t="s">
        <v>288</v>
      </c>
      <c r="E9" s="481">
        <f t="shared" si="0"/>
        <v>1711243.1</v>
      </c>
      <c r="F9" s="74"/>
      <c r="G9" s="58"/>
      <c r="H9" s="58"/>
      <c r="I9" s="58"/>
      <c r="J9" s="58"/>
      <c r="K9" s="58"/>
      <c r="L9" s="58"/>
      <c r="M9" s="58"/>
      <c r="N9" s="58"/>
      <c r="O9" s="58"/>
      <c r="P9" s="347">
        <f t="shared" si="2"/>
        <v>0</v>
      </c>
      <c r="Q9" s="123">
        <v>0</v>
      </c>
      <c r="R9" s="122">
        <v>0</v>
      </c>
      <c r="S9" s="122"/>
      <c r="T9" s="122">
        <v>0</v>
      </c>
      <c r="U9" s="358">
        <v>0</v>
      </c>
      <c r="V9" s="123">
        <v>0</v>
      </c>
      <c r="W9" s="122">
        <f>'[4]ISML APRIL 2024'!$C$34</f>
        <v>47604</v>
      </c>
      <c r="X9" s="122"/>
      <c r="Y9" s="122">
        <f>'[4]ISML APRIL 2024'!$C$35</f>
        <v>61542.5</v>
      </c>
      <c r="Z9" s="124">
        <f>'[4]ISML APRIL 2024'!$C$36</f>
        <v>61542.5</v>
      </c>
      <c r="AA9" s="119"/>
      <c r="AB9" s="123"/>
      <c r="AC9" s="122"/>
      <c r="AD9" s="122">
        <f>'[4]OFFBEAT APRIL 2024'!$B$11</f>
        <v>90542</v>
      </c>
      <c r="AE9" s="122">
        <f>'[4]OFFBEAT APRIL 2024'!$B$12</f>
        <v>58416</v>
      </c>
      <c r="AF9" s="122"/>
      <c r="AG9" s="124">
        <f>'[4]OFFBEAT APRIL 2024'!$B$13</f>
        <v>97634</v>
      </c>
      <c r="AH9" s="123"/>
      <c r="AI9" s="122">
        <f>'[4]DESTINY APRIL 2024'!$D$14/2</f>
        <v>119232.8</v>
      </c>
      <c r="AJ9" s="122">
        <f>'[4]DESTINY APRIL 2024'!$D$13</f>
        <v>60119.5</v>
      </c>
      <c r="AK9" s="122">
        <f>'[4]DESTINY APRIL 2024'!$D$14/2</f>
        <v>119232.8</v>
      </c>
      <c r="AL9" s="123">
        <v>0</v>
      </c>
      <c r="AM9" s="122">
        <v>0</v>
      </c>
      <c r="AN9" s="122"/>
      <c r="AO9" s="122">
        <f>'[4]PML APRIL 2024'!$F$17</f>
        <v>54665.360195820002</v>
      </c>
      <c r="AP9" s="122">
        <f>'[4]PML APRIL 2024'!$D$17</f>
        <v>62374.046318960653</v>
      </c>
      <c r="AQ9" s="122">
        <f>'[4]PML APRIL 2024'!$G$17</f>
        <v>33680.603527270447</v>
      </c>
      <c r="AR9" s="122">
        <f>'[4]PML APRIL 2024'!$E$17</f>
        <v>69391.989957948914</v>
      </c>
      <c r="AS9" s="122">
        <f>'[4]PML APRIL 2024'!$B$18</f>
        <v>33089</v>
      </c>
      <c r="AT9" s="124">
        <f>'[4]PML APRIL 2024'!$B$19</f>
        <v>48219</v>
      </c>
      <c r="AU9" s="123">
        <v>0</v>
      </c>
      <c r="AV9" s="122">
        <v>0</v>
      </c>
      <c r="AW9" s="122"/>
      <c r="AX9" s="122"/>
      <c r="AY9" s="122"/>
      <c r="AZ9" s="122"/>
      <c r="BA9" s="122">
        <f>'[4]SPARKLE ONE NEW'!$B$15</f>
        <v>90902</v>
      </c>
      <c r="BB9" s="122">
        <v>0</v>
      </c>
      <c r="BC9" s="122"/>
      <c r="BD9" s="124">
        <f>'[4]SPARKLE ONE NEW'!$B$16</f>
        <v>210250</v>
      </c>
      <c r="BE9" s="123">
        <f>[4]VAMONA!$C$10</f>
        <v>24509</v>
      </c>
      <c r="BF9" s="122">
        <f>[4]VAMONA!$C$11</f>
        <v>55904</v>
      </c>
      <c r="BG9" s="122"/>
      <c r="BH9" s="122">
        <f>[4]VAMONA!$C$12</f>
        <v>41291</v>
      </c>
      <c r="BI9" s="358">
        <f>[4]VAMONA!$C$13</f>
        <v>41291</v>
      </c>
      <c r="BJ9" s="123">
        <f>'[4]ALYSSUM APRIL 2024'!$B$53/2</f>
        <v>38623</v>
      </c>
      <c r="BK9" s="122"/>
      <c r="BL9" s="124"/>
      <c r="BM9" s="123">
        <f>'[4]ALYSSUM APRIL 2024'!$B$53/2</f>
        <v>38623</v>
      </c>
      <c r="BN9" s="122">
        <v>0</v>
      </c>
      <c r="BO9" s="122">
        <f>'[4]ALYSSUM APRIL 2024'!$B$54/2</f>
        <v>76282</v>
      </c>
      <c r="BP9" s="122">
        <f>'[4]ALYSSUM APRIL 2024'!$B$54/2</f>
        <v>76282</v>
      </c>
    </row>
    <row r="10" spans="1:68" x14ac:dyDescent="0.35">
      <c r="A10" s="57">
        <v>6</v>
      </c>
      <c r="B10" s="496" t="s">
        <v>151</v>
      </c>
      <c r="C10" s="428" t="s">
        <v>960</v>
      </c>
      <c r="D10" s="86" t="s">
        <v>288</v>
      </c>
      <c r="E10" s="481">
        <f t="shared" si="0"/>
        <v>201440.37</v>
      </c>
      <c r="F10" s="74"/>
      <c r="G10" s="58"/>
      <c r="H10" s="58"/>
      <c r="I10" s="58"/>
      <c r="J10" s="58"/>
      <c r="K10" s="58"/>
      <c r="L10" s="58"/>
      <c r="M10" s="58"/>
      <c r="N10" s="58"/>
      <c r="O10" s="58"/>
      <c r="P10" s="347">
        <f t="shared" si="2"/>
        <v>0</v>
      </c>
      <c r="Q10" s="123">
        <v>0</v>
      </c>
      <c r="R10" s="122">
        <f>'[4]SGH APRIL 2024'!$B$15</f>
        <v>8885</v>
      </c>
      <c r="S10" s="122"/>
      <c r="T10" s="122">
        <f>'[4]SGH APRIL 2024'!$B$16</f>
        <v>11934</v>
      </c>
      <c r="U10" s="358">
        <f>'[4]SGH APRIL 2024'!$B$17</f>
        <v>2560</v>
      </c>
      <c r="V10" s="123">
        <v>0</v>
      </c>
      <c r="W10" s="122">
        <f>'[4]ISML APRIL 2024'!$C$29</f>
        <v>3751</v>
      </c>
      <c r="X10" s="122"/>
      <c r="Y10" s="122">
        <f>'[4]ISML APRIL 2024'!$C$30</f>
        <v>4116</v>
      </c>
      <c r="Z10" s="124">
        <f>'[4]ISML APRIL 2024'!$C$31</f>
        <v>4116</v>
      </c>
      <c r="AA10" s="119"/>
      <c r="AB10" s="123"/>
      <c r="AC10" s="122"/>
      <c r="AD10" s="122">
        <f>'[4]OFFBEAT APRIL 2024'!$B$15</f>
        <v>6769</v>
      </c>
      <c r="AE10" s="122">
        <f>'[4]OFFBEAT APRIL 2024'!$B$16</f>
        <v>4368</v>
      </c>
      <c r="AF10" s="122"/>
      <c r="AG10" s="124">
        <f>'[4]OFFBEAT APRIL 2024'!$B$17</f>
        <v>7301</v>
      </c>
      <c r="AH10" s="123"/>
      <c r="AI10" s="122">
        <f>'[4]DESTINY APRIL 2024'!$D$17/2</f>
        <v>3721.625</v>
      </c>
      <c r="AJ10" s="122">
        <f>'[4]DESTINY APRIL 2024'!$D$16</f>
        <v>1876.12</v>
      </c>
      <c r="AK10" s="122">
        <f>'[4]DESTINY APRIL 2024'!$D$17/2</f>
        <v>3721.625</v>
      </c>
      <c r="AL10" s="123">
        <v>0</v>
      </c>
      <c r="AM10" s="122">
        <v>0</v>
      </c>
      <c r="AN10" s="122"/>
      <c r="AO10" s="122">
        <f>'[4]PML APRIL 2024'!$F$21</f>
        <v>12240.300131801921</v>
      </c>
      <c r="AP10" s="122">
        <f>'[4]PML APRIL 2024'!$D$21</f>
        <v>13966.377330069667</v>
      </c>
      <c r="AQ10" s="122">
        <f>'[4]PML APRIL 2024'!$G$21</f>
        <v>7541.5344254063893</v>
      </c>
      <c r="AR10" s="122">
        <f>'[4]PML APRIL 2024'!$E$21</f>
        <v>15537.788112722024</v>
      </c>
      <c r="AS10" s="122">
        <f>'[4]PML APRIL 2024'!$B$22</f>
        <v>5456</v>
      </c>
      <c r="AT10" s="124">
        <f>'[4]PML APRIL 2024'!$B$23</f>
        <v>7220</v>
      </c>
      <c r="AU10" s="123">
        <v>0</v>
      </c>
      <c r="AV10" s="122">
        <v>0</v>
      </c>
      <c r="AW10" s="122"/>
      <c r="AX10" s="122"/>
      <c r="AY10" s="122"/>
      <c r="AZ10" s="122"/>
      <c r="BA10" s="122">
        <f>'[4]SPARKLE ONE NEW'!$B$18</f>
        <v>9876</v>
      </c>
      <c r="BB10" s="122">
        <v>0</v>
      </c>
      <c r="BC10" s="122"/>
      <c r="BD10" s="124">
        <f>'[4]SPARKLE ONE NEW'!$B$19</f>
        <v>22843</v>
      </c>
      <c r="BE10" s="123">
        <f>[4]VAMONA!$C$15</f>
        <v>2849</v>
      </c>
      <c r="BF10" s="122">
        <f>[4]VAMONA!$C$16</f>
        <v>6505</v>
      </c>
      <c r="BG10" s="122"/>
      <c r="BH10" s="122">
        <f>[4]VAMONA!$C$17</f>
        <v>4802.5</v>
      </c>
      <c r="BI10" s="358">
        <f>[4]VAMONA!$C$18</f>
        <v>4802.5</v>
      </c>
      <c r="BJ10" s="123">
        <f>'[4]ALYSSUM APRIL 2024'!$B$49/2</f>
        <v>3377.5</v>
      </c>
      <c r="BK10" s="122"/>
      <c r="BL10" s="124"/>
      <c r="BM10" s="121">
        <f>'[4]ALYSSUM APRIL 2024'!$B$49/2</f>
        <v>3377.5</v>
      </c>
      <c r="BN10" s="122">
        <v>0</v>
      </c>
      <c r="BO10" s="122">
        <f>'[4]ALYSSUM APRIL 2024'!$B$51/2</f>
        <v>8963</v>
      </c>
      <c r="BP10" s="124">
        <f>'[4]ALYSSUM APRIL 2024'!$B$51/2</f>
        <v>8963</v>
      </c>
    </row>
    <row r="11" spans="1:68" x14ac:dyDescent="0.35">
      <c r="A11" s="57">
        <v>7</v>
      </c>
      <c r="B11" s="496" t="s">
        <v>153</v>
      </c>
      <c r="C11" s="428" t="s">
        <v>958</v>
      </c>
      <c r="D11" s="86" t="s">
        <v>288</v>
      </c>
      <c r="E11" s="481">
        <f t="shared" si="0"/>
        <v>690174.72</v>
      </c>
      <c r="F11" s="74"/>
      <c r="G11" s="58"/>
      <c r="H11" s="58"/>
      <c r="I11" s="58"/>
      <c r="J11" s="58"/>
      <c r="K11" s="58"/>
      <c r="L11" s="58"/>
      <c r="M11" s="58"/>
      <c r="N11" s="58"/>
      <c r="O11" s="58"/>
      <c r="P11" s="347">
        <f t="shared" si="2"/>
        <v>0</v>
      </c>
      <c r="Q11" s="123">
        <f>'[4]SGH APRIL 2024'!$B$39</f>
        <v>4138</v>
      </c>
      <c r="R11" s="122">
        <f>'[4]SGH APRIL 2024'!$B$40</f>
        <v>12222</v>
      </c>
      <c r="S11" s="122"/>
      <c r="T11" s="122">
        <f>'[4]SGH APRIL 2024'!$B$41</f>
        <v>12346</v>
      </c>
      <c r="U11" s="358">
        <f>'[4]SGH APRIL 2024'!$B$42</f>
        <v>3996</v>
      </c>
      <c r="V11" s="123">
        <f>'[4]ISML APRIL 2024'!$C$48</f>
        <v>7769</v>
      </c>
      <c r="W11" s="122">
        <f>'[4]ISML APRIL 2024'!$C$49</f>
        <v>40548.160000000003</v>
      </c>
      <c r="X11" s="122"/>
      <c r="Y11" s="122">
        <f>'[4]ISML APRIL 2024'!$C$50</f>
        <v>11238.34</v>
      </c>
      <c r="Z11" s="124">
        <f>'[4]ISML APRIL 2024'!$C$51</f>
        <v>11236.34</v>
      </c>
      <c r="AA11" s="119"/>
      <c r="AB11" s="123"/>
      <c r="AC11" s="122"/>
      <c r="AD11" s="122">
        <f>'[4]OFFBEAT APRIL 2024'!$B$35</f>
        <v>17823</v>
      </c>
      <c r="AE11" s="122">
        <f>'[4]OFFBEAT APRIL 2024'!$B$36</f>
        <v>14021</v>
      </c>
      <c r="AF11" s="122"/>
      <c r="AG11" s="124">
        <f>'[4]OFFBEAT APRIL 2024'!$B$37</f>
        <v>20850</v>
      </c>
      <c r="AH11" s="123"/>
      <c r="AI11" s="122">
        <f>'[4]DESTINY APRIL 2024'!$D$29/2</f>
        <v>4980</v>
      </c>
      <c r="AJ11" s="122">
        <f>'[4]DESTINY APRIL 2024'!$D$28</f>
        <v>27284.880000000001</v>
      </c>
      <c r="AK11" s="122">
        <f>'[4]DESTINY APRIL 2024'!$D$29/2</f>
        <v>4980</v>
      </c>
      <c r="AL11" s="123">
        <f>'[4]PML APRIL 2024'!$B$37</f>
        <v>9123</v>
      </c>
      <c r="AM11" s="122">
        <f>'[4]PML APRIL 2024'!$B$38</f>
        <v>13960</v>
      </c>
      <c r="AN11" s="122"/>
      <c r="AO11" s="122">
        <f>'[4]PML APRIL 2024'!$F$39</f>
        <v>9302.5386932781021</v>
      </c>
      <c r="AP11" s="122">
        <f>'[4]PML APRIL 2024'!$D$39</f>
        <v>10614.344756166447</v>
      </c>
      <c r="AQ11" s="122">
        <f>'[4]PML APRIL 2024'!$G$39</f>
        <v>5731.5110776376077</v>
      </c>
      <c r="AR11" s="122">
        <f>'[4]PML APRIL 2024'!$E$39</f>
        <v>11808.605472917843</v>
      </c>
      <c r="AS11" s="122">
        <f>'[4]PML APRIL 2024'!$B$40</f>
        <v>18333</v>
      </c>
      <c r="AT11" s="124">
        <f>'[4]PML APRIL 2024'!$B$41</f>
        <v>11598</v>
      </c>
      <c r="AU11" s="123">
        <v>0</v>
      </c>
      <c r="AV11" s="122">
        <v>0</v>
      </c>
      <c r="AW11" s="122"/>
      <c r="AX11" s="122"/>
      <c r="AY11" s="122"/>
      <c r="AZ11" s="122"/>
      <c r="BA11" s="122">
        <f>'[4]SPARKLE ONE NEW'!$B$38</f>
        <v>139192</v>
      </c>
      <c r="BB11" s="122">
        <v>0</v>
      </c>
      <c r="BC11" s="122"/>
      <c r="BD11" s="124">
        <f>'[4]SPARKLE ONE NEW'!$B$39</f>
        <v>44714</v>
      </c>
      <c r="BE11" s="123">
        <f>[4]VAMONA!$C$35</f>
        <v>13062</v>
      </c>
      <c r="BF11" s="122">
        <f>[4]VAMONA!$C$36</f>
        <v>30668</v>
      </c>
      <c r="BG11" s="122"/>
      <c r="BH11" s="122">
        <f>[4]VAMONA!$C$37</f>
        <v>19712</v>
      </c>
      <c r="BI11" s="358">
        <f>[4]VAMONA!$C$38</f>
        <v>19712</v>
      </c>
      <c r="BJ11" s="123">
        <f>'[4]ALYSSUM APRIL 2024'!$B$64/2</f>
        <v>2716</v>
      </c>
      <c r="BK11" s="122"/>
      <c r="BL11" s="124"/>
      <c r="BM11" s="123">
        <f>'[4]ALYSSUM APRIL 2024'!$B$64/2</f>
        <v>2716</v>
      </c>
      <c r="BN11" s="122">
        <f>'[4]ALYSSUM APRIL 2024'!$B$65</f>
        <v>10225</v>
      </c>
      <c r="BO11" s="122">
        <f>'[4]ALYSSUM APRIL 2024'!$B$66/2</f>
        <v>61777</v>
      </c>
      <c r="BP11" s="124">
        <f>'[4]ALYSSUM APRIL 2024'!$B$66/2</f>
        <v>61777</v>
      </c>
    </row>
    <row r="12" spans="1:68" x14ac:dyDescent="0.35">
      <c r="A12" s="57">
        <v>8</v>
      </c>
      <c r="B12" s="496" t="s">
        <v>146</v>
      </c>
      <c r="C12" s="434" t="s">
        <v>274</v>
      </c>
      <c r="D12" s="86" t="s">
        <v>288</v>
      </c>
      <c r="E12" s="481">
        <f t="shared" si="0"/>
        <v>693609.49666666647</v>
      </c>
      <c r="F12" s="74"/>
      <c r="G12" s="58"/>
      <c r="H12" s="58"/>
      <c r="I12" s="58"/>
      <c r="J12" s="58"/>
      <c r="K12" s="58"/>
      <c r="L12" s="58"/>
      <c r="M12" s="58"/>
      <c r="N12" s="58"/>
      <c r="O12" s="58"/>
      <c r="P12" s="347">
        <f t="shared" si="2"/>
        <v>0</v>
      </c>
      <c r="Q12" s="482">
        <f>'[4]SGH APRIL 2024'!$B$29</f>
        <v>15273.1</v>
      </c>
      <c r="R12" s="483">
        <f>'[4]SGH APRIL 2024'!$B$30</f>
        <v>46797.99</v>
      </c>
      <c r="S12" s="483"/>
      <c r="T12" s="483">
        <f>'[4]SGH APRIL 2024'!$B$31</f>
        <v>23380.27</v>
      </c>
      <c r="U12" s="484">
        <f>'[4]SGH APRIL 2024'!$B$32</f>
        <v>14208.22</v>
      </c>
      <c r="V12" s="482">
        <f>'[4]ISML APRIL 2024'!$C$56</f>
        <v>18981.666666666668</v>
      </c>
      <c r="W12" s="483">
        <f>'[4]ISML APRIL 2024'!$C$57</f>
        <v>14708</v>
      </c>
      <c r="X12" s="483"/>
      <c r="Y12" s="483">
        <f>'[4]ISML APRIL 2024'!$C$58</f>
        <v>18981.666666666668</v>
      </c>
      <c r="Z12" s="485">
        <f>'[4]ISML APRIL 2024'!$C$59</f>
        <v>18981.666666666668</v>
      </c>
      <c r="AA12" s="486"/>
      <c r="AB12" s="482"/>
      <c r="AC12" s="483"/>
      <c r="AD12" s="488">
        <f>'[4]OFFBEAT APRIL 2024'!$B$27/12</f>
        <v>13217.25</v>
      </c>
      <c r="AE12" s="488">
        <f>'[4]OFFBEAT APRIL 2024'!$B$28/12</f>
        <v>48260.25</v>
      </c>
      <c r="AF12" s="488"/>
      <c r="AG12" s="489">
        <f>'[4]OFFBEAT APRIL 2024'!$B$29/12</f>
        <v>24095.916666666668</v>
      </c>
      <c r="AH12" s="482"/>
      <c r="AI12" s="483">
        <f>'[4]DESTINY APRIL 2024'!$D$34</f>
        <v>12578.333333333334</v>
      </c>
      <c r="AJ12" s="483">
        <f>'[4]DESTINY APRIL 2024'!$D$33</f>
        <v>16056.083333333334</v>
      </c>
      <c r="AK12" s="485">
        <f>'[4]DESTINY APRIL 2024'!$D$35</f>
        <v>12578.333333333334</v>
      </c>
      <c r="AL12" s="482">
        <f>'[4]PML APRIL 2024'!$C$51</f>
        <v>14699.75</v>
      </c>
      <c r="AM12" s="483">
        <f>'[4]PML APRIL 2024'!$C$52</f>
        <v>13570.083333333334</v>
      </c>
      <c r="AN12" s="483"/>
      <c r="AO12" s="483">
        <f>'[4]PML APRIL 2024'!$G$53</f>
        <v>33967.70623862424</v>
      </c>
      <c r="AP12" s="483">
        <f>'[4]PML APRIL 2024'!$E$53</f>
        <v>38757.693623297564</v>
      </c>
      <c r="AQ12" s="483">
        <f>'[4]PML APRIL 2024'!$H$53</f>
        <v>20928.296135902427</v>
      </c>
      <c r="AR12" s="483">
        <f>'[4]PML APRIL 2024'!$F$53</f>
        <v>43118.470668842449</v>
      </c>
      <c r="AS12" s="483">
        <f>'[4]PML APRIL 2024'!$C$54</f>
        <v>15491.916666666666</v>
      </c>
      <c r="AT12" s="485">
        <f>'[4]PML APRIL 2024'!$C$55</f>
        <v>19159.583333333332</v>
      </c>
      <c r="AU12" s="482">
        <v>0</v>
      </c>
      <c r="AV12" s="483">
        <f>'[4]SPARKLE ONE NEW'!$B$31</f>
        <v>69537</v>
      </c>
      <c r="AW12" s="483"/>
      <c r="AX12" s="483"/>
      <c r="AY12" s="483"/>
      <c r="AZ12" s="483"/>
      <c r="BA12" s="483">
        <v>0</v>
      </c>
      <c r="BB12" s="483">
        <f>'[4]SPARKLE ONE NEW'!$B$32</f>
        <v>54805</v>
      </c>
      <c r="BC12" s="483"/>
      <c r="BD12" s="485"/>
      <c r="BE12" s="482">
        <f>[4]VAMONA!$C$42</f>
        <v>23099.75</v>
      </c>
      <c r="BF12" s="483">
        <f>[4]VAMONA!$C$43</f>
        <v>10174.416666666666</v>
      </c>
      <c r="BG12" s="483"/>
      <c r="BH12" s="483">
        <f>[4]VAMONA!$C$44</f>
        <v>7320.541666666667</v>
      </c>
      <c r="BI12" s="484">
        <f>[4]VAMONA!$C$45</f>
        <v>7320.541666666667</v>
      </c>
      <c r="BJ12" s="482">
        <f>'[4]ALYSSUM APRIL 2024'!$B$60/2</f>
        <v>4569</v>
      </c>
      <c r="BK12" s="483"/>
      <c r="BL12" s="485"/>
      <c r="BM12" s="482">
        <f>'[4]ALYSSUM APRIL 2024'!$B$60/2</f>
        <v>4569</v>
      </c>
      <c r="BN12" s="483">
        <f>'[4]ALYSSUM APRIL 2024'!$B$61</f>
        <v>3730</v>
      </c>
      <c r="BO12" s="483">
        <f>'[4]ALYSSUM APRIL 2024'!$B$62/2</f>
        <v>5346</v>
      </c>
      <c r="BP12" s="483">
        <f>'[4]ALYSSUM APRIL 2024'!$B$62/2</f>
        <v>5346</v>
      </c>
    </row>
    <row r="13" spans="1:68" s="765" customFormat="1" x14ac:dyDescent="0.35">
      <c r="A13" s="747">
        <v>9</v>
      </c>
      <c r="B13" s="748" t="s">
        <v>148</v>
      </c>
      <c r="C13" s="749" t="s">
        <v>957</v>
      </c>
      <c r="D13" s="750" t="s">
        <v>287</v>
      </c>
      <c r="E13" s="751">
        <f>SUM(Q13:BP13)</f>
        <v>2460785.04</v>
      </c>
      <c r="F13" s="752"/>
      <c r="G13" s="753"/>
      <c r="H13" s="753"/>
      <c r="I13" s="753"/>
      <c r="J13" s="753"/>
      <c r="K13" s="753"/>
      <c r="L13" s="753"/>
      <c r="M13" s="753"/>
      <c r="N13" s="753"/>
      <c r="O13" s="753"/>
      <c r="P13" s="754">
        <f>SUM(F13:O13)</f>
        <v>0</v>
      </c>
      <c r="Q13" s="763">
        <f>'[4]SGH APRIL 2024'!$B$10</f>
        <v>74235</v>
      </c>
      <c r="R13" s="761">
        <f>'[4]SGH APRIL 2024'!$B$11</f>
        <v>79955</v>
      </c>
      <c r="S13" s="761"/>
      <c r="T13" s="761">
        <f>'[4]SGH APRIL 2024'!$B$12</f>
        <v>100583</v>
      </c>
      <c r="U13" s="764">
        <f>'[4]SGH APRIL 2024'!$B$13</f>
        <v>47253</v>
      </c>
      <c r="V13" s="763">
        <f>'[4]ISML APRIL 2024'!$C$23+'[4]ISML APRIL 2024'!$C$17</f>
        <v>59388.5</v>
      </c>
      <c r="W13" s="761">
        <f>'[4]ISML APRIL 2024'!$C$24+'[4]ISML APRIL 2024'!$C$18</f>
        <v>76841.5</v>
      </c>
      <c r="X13" s="761"/>
      <c r="Y13" s="761">
        <f>'[4]ISML APRIL 2024'!$C$25+'[4]ISML APRIL 2024'!$C$19</f>
        <v>53815.5</v>
      </c>
      <c r="Z13" s="762">
        <f>'[4]ISML APRIL 2024'!$C$26+'[4]ISML APRIL 2024'!$C$20</f>
        <v>53815.5</v>
      </c>
      <c r="AA13" s="769"/>
      <c r="AB13" s="763"/>
      <c r="AC13" s="761"/>
      <c r="AD13" s="761">
        <f>'[4]OFFBEAT APRIL 2024'!$B$9</f>
        <v>1932</v>
      </c>
      <c r="AE13" s="761">
        <v>0</v>
      </c>
      <c r="AF13" s="761"/>
      <c r="AG13" s="762">
        <v>0</v>
      </c>
      <c r="AH13" s="763"/>
      <c r="AI13" s="761">
        <f>'[4]DESTINY APRIL 2024'!$D$9/2</f>
        <v>75404.60500000001</v>
      </c>
      <c r="AJ13" s="761">
        <f>'[4]DESTINY APRIL 2024'!$D$8</f>
        <v>52620.62</v>
      </c>
      <c r="AK13" s="761">
        <f>'[4]DESTINY APRIL 2024'!$D$9/2</f>
        <v>75404.60500000001</v>
      </c>
      <c r="AL13" s="763">
        <f>'[4]PML APRIL 2024'!$B$11</f>
        <v>101248</v>
      </c>
      <c r="AM13" s="761">
        <f>'[4]PML APRIL 2024'!$B$12</f>
        <v>175956</v>
      </c>
      <c r="AN13" s="761"/>
      <c r="AO13" s="761">
        <f>'[4]PML APRIL 2024'!$F$13</f>
        <v>115178.67614385238</v>
      </c>
      <c r="AP13" s="761">
        <f>'[4]PML APRIL 2024'!$D$13</f>
        <v>131420.70325739033</v>
      </c>
      <c r="AQ13" s="761">
        <f>'[4]PML APRIL 2024'!$G$13</f>
        <v>70964.26900144355</v>
      </c>
      <c r="AR13" s="761">
        <f>'[4]PML APRIL 2024'!$E$13</f>
        <v>146207.35159731374</v>
      </c>
      <c r="AS13" s="761">
        <f>'[4]PML APRIL 2024'!$B$14</f>
        <v>72174</v>
      </c>
      <c r="AT13" s="762">
        <f>'[4]PML APRIL 2024'!$B$15</f>
        <v>172565</v>
      </c>
      <c r="AU13" s="763">
        <v>0</v>
      </c>
      <c r="AV13" s="761">
        <v>0</v>
      </c>
      <c r="AW13" s="761"/>
      <c r="AX13" s="761"/>
      <c r="AY13" s="761"/>
      <c r="AZ13" s="761"/>
      <c r="BA13" s="761">
        <f>'[4]SPARKLE ONE NEW'!$B$11</f>
        <v>232590</v>
      </c>
      <c r="BB13" s="761">
        <f>'[4]SPARKLE ONE NEW'!$B$12</f>
        <v>978</v>
      </c>
      <c r="BC13" s="761"/>
      <c r="BD13" s="762">
        <f>'[4]SPARKLE ONE NEW'!$B$13</f>
        <v>136150</v>
      </c>
      <c r="BE13" s="763"/>
      <c r="BF13" s="761"/>
      <c r="BG13" s="761"/>
      <c r="BH13" s="761"/>
      <c r="BI13" s="764"/>
      <c r="BJ13" s="763">
        <f>'[4]ALYSSUM APRIL 2024'!$B$41/2</f>
        <v>7288.1049999999996</v>
      </c>
      <c r="BK13" s="761"/>
      <c r="BL13" s="762"/>
      <c r="BM13" s="763">
        <f>'[4]ALYSSUM APRIL 2024'!$B$41/2</f>
        <v>7288.1049999999996</v>
      </c>
      <c r="BN13" s="761">
        <f>'[4]ALYSSUM APRIL 2024'!$B$42</f>
        <v>121995</v>
      </c>
      <c r="BO13" s="761">
        <f>'[4]ALYSSUM APRIL 2024'!$B$43/2</f>
        <v>108766.5</v>
      </c>
      <c r="BP13" s="762">
        <f>'[4]ALYSSUM APRIL 2024'!$B$43/2</f>
        <v>108766.5</v>
      </c>
    </row>
    <row r="14" spans="1:68" s="480" customFormat="1" ht="15" thickBot="1" x14ac:dyDescent="0.4">
      <c r="A14" s="469">
        <v>10</v>
      </c>
      <c r="B14" s="469"/>
      <c r="C14" s="490" t="s">
        <v>961</v>
      </c>
      <c r="D14" s="470" t="s">
        <v>287</v>
      </c>
      <c r="E14" s="471">
        <f>SUM(Q14:BP14)</f>
        <v>0</v>
      </c>
      <c r="F14" s="472"/>
      <c r="G14" s="473"/>
      <c r="H14" s="473"/>
      <c r="I14" s="473"/>
      <c r="J14" s="473"/>
      <c r="K14" s="473"/>
      <c r="L14" s="473"/>
      <c r="M14" s="473"/>
      <c r="N14" s="473"/>
      <c r="O14" s="473"/>
      <c r="P14" s="474">
        <f>SUM(F14:O14)</f>
        <v>0</v>
      </c>
      <c r="Q14" s="475"/>
      <c r="R14" s="476"/>
      <c r="S14" s="476"/>
      <c r="T14" s="476"/>
      <c r="U14" s="477"/>
      <c r="V14" s="475"/>
      <c r="W14" s="476"/>
      <c r="X14" s="476"/>
      <c r="Y14" s="476"/>
      <c r="Z14" s="478"/>
      <c r="AA14" s="479"/>
      <c r="AB14" s="475"/>
      <c r="AC14" s="476"/>
      <c r="AD14" s="476"/>
      <c r="AE14" s="476"/>
      <c r="AF14" s="476"/>
      <c r="AG14" s="478"/>
      <c r="AH14" s="475"/>
      <c r="AI14" s="476"/>
      <c r="AJ14" s="476"/>
      <c r="AK14" s="478">
        <v>0</v>
      </c>
      <c r="AL14" s="475"/>
      <c r="AM14" s="476"/>
      <c r="AN14" s="476"/>
      <c r="AO14" s="476"/>
      <c r="AP14" s="476"/>
      <c r="AQ14" s="476"/>
      <c r="AR14" s="476"/>
      <c r="AS14" s="476"/>
      <c r="AT14" s="478"/>
      <c r="AU14" s="475"/>
      <c r="AV14" s="476"/>
      <c r="AW14" s="476"/>
      <c r="AX14" s="476"/>
      <c r="AY14" s="476"/>
      <c r="AZ14" s="476"/>
      <c r="BA14" s="476"/>
      <c r="BB14" s="476"/>
      <c r="BC14" s="476"/>
      <c r="BD14" s="478"/>
      <c r="BE14" s="475"/>
      <c r="BF14" s="476"/>
      <c r="BG14" s="476"/>
      <c r="BH14" s="476"/>
      <c r="BI14" s="477"/>
      <c r="BJ14" s="475">
        <v>0</v>
      </c>
      <c r="BK14" s="476"/>
      <c r="BL14" s="478"/>
      <c r="BM14" s="475">
        <v>0</v>
      </c>
      <c r="BN14" s="476">
        <v>0</v>
      </c>
      <c r="BO14" s="476">
        <v>0</v>
      </c>
      <c r="BP14" s="478">
        <v>0</v>
      </c>
    </row>
    <row r="15" spans="1:68" ht="15" thickBot="1" x14ac:dyDescent="0.4">
      <c r="A15" s="353"/>
      <c r="B15" s="348"/>
      <c r="C15" s="429" t="s">
        <v>286</v>
      </c>
      <c r="D15" s="433"/>
      <c r="E15" s="431">
        <f>SUM(E5:E14)</f>
        <v>20154329.718466666</v>
      </c>
      <c r="F15" s="352">
        <f>SUM(F6:F14)</f>
        <v>10539186</v>
      </c>
      <c r="G15" s="349">
        <f t="shared" ref="G15:O15" si="3">SUM(G5:G14)</f>
        <v>18441799</v>
      </c>
      <c r="H15" s="349">
        <f t="shared" si="3"/>
        <v>1789615</v>
      </c>
      <c r="I15" s="349">
        <f t="shared" si="3"/>
        <v>22439200.140000001</v>
      </c>
      <c r="J15" s="349">
        <f t="shared" si="3"/>
        <v>1589478</v>
      </c>
      <c r="K15" s="349">
        <f t="shared" si="3"/>
        <v>6189062</v>
      </c>
      <c r="L15" s="349">
        <f t="shared" si="3"/>
        <v>12733524</v>
      </c>
      <c r="M15" s="349">
        <f t="shared" si="3"/>
        <v>0</v>
      </c>
      <c r="N15" s="349">
        <f t="shared" si="3"/>
        <v>0</v>
      </c>
      <c r="O15" s="349">
        <f t="shared" si="3"/>
        <v>16023239</v>
      </c>
      <c r="P15" s="350">
        <f t="shared" si="2"/>
        <v>89745103.140000001</v>
      </c>
      <c r="Q15" s="374">
        <f t="shared" ref="Q15:W15" si="4">SUM(Q5:Q14)</f>
        <v>358404.72359999997</v>
      </c>
      <c r="R15" s="374">
        <f t="shared" si="4"/>
        <v>497156.49549999996</v>
      </c>
      <c r="S15" s="147">
        <f t="shared" si="4"/>
        <v>0</v>
      </c>
      <c r="T15" s="374">
        <f t="shared" si="4"/>
        <v>662243.9497</v>
      </c>
      <c r="U15" s="375">
        <f t="shared" si="4"/>
        <v>253448.3622</v>
      </c>
      <c r="V15" s="375">
        <f t="shared" si="4"/>
        <v>456020.13226666668</v>
      </c>
      <c r="W15" s="375">
        <f t="shared" si="4"/>
        <v>662651.9743</v>
      </c>
      <c r="X15" s="377"/>
      <c r="Y15" s="378">
        <f>SUM(Y5:Y14)</f>
        <v>672433.18656666658</v>
      </c>
      <c r="Z15" s="379">
        <f>SUM(Z5:Z14)</f>
        <v>571754.72606666666</v>
      </c>
      <c r="AA15" s="370"/>
      <c r="AB15" s="371"/>
      <c r="AC15" s="369"/>
      <c r="AD15" s="141">
        <f>SUM(AD5:AD14)</f>
        <v>568086.12939999998</v>
      </c>
      <c r="AE15" s="141">
        <f>SUM(AE5:AE14)</f>
        <v>841459.78410000005</v>
      </c>
      <c r="AF15" s="141">
        <f>SUM(AF5:AF14)</f>
        <v>0</v>
      </c>
      <c r="AG15" s="141">
        <f>SUM(AG5:AG14)</f>
        <v>784394.79186666664</v>
      </c>
      <c r="AH15" s="371"/>
      <c r="AI15" s="141">
        <f t="shared" ref="AI15:BP15" si="5">SUM(AI5:AI14)</f>
        <v>463926.22623333335</v>
      </c>
      <c r="AJ15" s="141">
        <f t="shared" si="5"/>
        <v>533661.44603333331</v>
      </c>
      <c r="AK15" s="141">
        <f t="shared" si="5"/>
        <v>520959.72303333331</v>
      </c>
      <c r="AL15" s="379">
        <f t="shared" si="5"/>
        <v>334633.37419999996</v>
      </c>
      <c r="AM15" s="379">
        <f t="shared" si="5"/>
        <v>442090.57923333335</v>
      </c>
      <c r="AN15" s="379">
        <f t="shared" si="5"/>
        <v>0</v>
      </c>
      <c r="AO15" s="379">
        <f t="shared" si="5"/>
        <v>737281.66124754911</v>
      </c>
      <c r="AP15" s="379">
        <f t="shared" si="5"/>
        <v>839271.56278821942</v>
      </c>
      <c r="AQ15" s="379">
        <f t="shared" si="5"/>
        <v>288759.64818128</v>
      </c>
      <c r="AR15" s="379">
        <f t="shared" si="5"/>
        <v>713069.47564961819</v>
      </c>
      <c r="AS15" s="379">
        <f t="shared" si="5"/>
        <v>372299.66276666668</v>
      </c>
      <c r="AT15" s="379">
        <f t="shared" si="5"/>
        <v>525053.29023333336</v>
      </c>
      <c r="AU15" s="379">
        <f t="shared" si="5"/>
        <v>338178.58309999999</v>
      </c>
      <c r="AV15" s="379">
        <f t="shared" si="5"/>
        <v>434791.14809999999</v>
      </c>
      <c r="AW15" s="141">
        <f t="shared" si="5"/>
        <v>0</v>
      </c>
      <c r="AX15" s="141">
        <f t="shared" si="5"/>
        <v>0</v>
      </c>
      <c r="AY15" s="141">
        <f t="shared" si="5"/>
        <v>0</v>
      </c>
      <c r="AZ15" s="141">
        <f t="shared" si="5"/>
        <v>0</v>
      </c>
      <c r="BA15" s="379">
        <f t="shared" si="5"/>
        <v>1277053.5402000002</v>
      </c>
      <c r="BB15" s="379">
        <f t="shared" si="5"/>
        <v>173284.446</v>
      </c>
      <c r="BC15" s="379">
        <f t="shared" si="5"/>
        <v>0</v>
      </c>
      <c r="BD15" s="379">
        <f t="shared" si="5"/>
        <v>1327479.1606999999</v>
      </c>
      <c r="BE15" s="379">
        <f t="shared" si="5"/>
        <v>584835.26190000004</v>
      </c>
      <c r="BF15" s="379">
        <f t="shared" si="5"/>
        <v>465281.4880666667</v>
      </c>
      <c r="BG15" s="379">
        <f t="shared" si="5"/>
        <v>0</v>
      </c>
      <c r="BH15" s="379">
        <f t="shared" si="5"/>
        <v>450053.97316666669</v>
      </c>
      <c r="BI15" s="379">
        <f t="shared" si="5"/>
        <v>449593.81786666665</v>
      </c>
      <c r="BJ15" s="141">
        <f t="shared" si="5"/>
        <v>340122.96209999995</v>
      </c>
      <c r="BK15" s="141">
        <f t="shared" si="5"/>
        <v>0</v>
      </c>
      <c r="BL15" s="141">
        <f t="shared" si="5"/>
        <v>0</v>
      </c>
      <c r="BM15" s="141">
        <f t="shared" si="5"/>
        <v>501513.05689999997</v>
      </c>
      <c r="BN15" s="141">
        <f t="shared" si="5"/>
        <v>344608.53980000003</v>
      </c>
      <c r="BO15" s="141">
        <f t="shared" si="5"/>
        <v>857921.51280000003</v>
      </c>
      <c r="BP15" s="141">
        <f t="shared" si="5"/>
        <v>510551.32259999996</v>
      </c>
    </row>
    <row r="16" spans="1:68" x14ac:dyDescent="0.35">
      <c r="Q16" s="116" t="s">
        <v>964</v>
      </c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 t="s">
        <v>962</v>
      </c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</row>
    <row r="17" spans="3:4" ht="15" thickBot="1" x14ac:dyDescent="0.4">
      <c r="C17" s="46" t="s">
        <v>963</v>
      </c>
    </row>
    <row r="18" spans="3:4" x14ac:dyDescent="0.35">
      <c r="C18" s="463" t="s">
        <v>141</v>
      </c>
      <c r="D18" s="464" t="s">
        <v>268</v>
      </c>
    </row>
    <row r="19" spans="3:4" x14ac:dyDescent="0.35">
      <c r="C19" s="465" t="s">
        <v>271</v>
      </c>
      <c r="D19" s="17" t="s">
        <v>269</v>
      </c>
    </row>
    <row r="20" spans="3:4" x14ac:dyDescent="0.35">
      <c r="C20" s="465" t="s">
        <v>959</v>
      </c>
      <c r="D20" s="86" t="s">
        <v>288</v>
      </c>
    </row>
    <row r="21" spans="3:4" x14ac:dyDescent="0.35">
      <c r="C21" s="466" t="s">
        <v>272</v>
      </c>
      <c r="D21" s="435" t="s">
        <v>287</v>
      </c>
    </row>
    <row r="22" spans="3:4" x14ac:dyDescent="0.35">
      <c r="C22" s="465" t="s">
        <v>87</v>
      </c>
      <c r="D22" s="86" t="s">
        <v>288</v>
      </c>
    </row>
    <row r="23" spans="3:4" x14ac:dyDescent="0.35">
      <c r="C23" s="465" t="s">
        <v>960</v>
      </c>
      <c r="D23" s="86" t="s">
        <v>288</v>
      </c>
    </row>
    <row r="24" spans="3:4" x14ac:dyDescent="0.35">
      <c r="C24" s="465" t="s">
        <v>958</v>
      </c>
      <c r="D24" s="86" t="s">
        <v>288</v>
      </c>
    </row>
    <row r="25" spans="3:4" x14ac:dyDescent="0.35">
      <c r="C25" s="466" t="s">
        <v>274</v>
      </c>
      <c r="D25" s="435" t="s">
        <v>288</v>
      </c>
    </row>
    <row r="26" spans="3:4" x14ac:dyDescent="0.35">
      <c r="C26" s="465" t="s">
        <v>957</v>
      </c>
      <c r="D26" s="86" t="s">
        <v>287</v>
      </c>
    </row>
    <row r="27" spans="3:4" ht="15" thickBot="1" x14ac:dyDescent="0.4">
      <c r="C27" s="467" t="s">
        <v>961</v>
      </c>
      <c r="D27" s="468" t="s">
        <v>287</v>
      </c>
    </row>
  </sheetData>
  <mergeCells count="5">
    <mergeCell ref="C2:C3"/>
    <mergeCell ref="E2:E3"/>
    <mergeCell ref="B2:B3"/>
    <mergeCell ref="A2:A3"/>
    <mergeCell ref="D2:D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C174"/>
  <sheetViews>
    <sheetView workbookViewId="0">
      <pane xSplit="2" ySplit="3" topLeftCell="C95" activePane="bottomRight" state="frozen"/>
      <selection pane="topRight" activeCell="C1" sqref="C1"/>
      <selection pane="bottomLeft" activeCell="A4" sqref="A4"/>
      <selection pane="bottomRight" activeCell="B119" sqref="B119"/>
    </sheetView>
  </sheetViews>
  <sheetFormatPr defaultRowHeight="14.5" x14ac:dyDescent="0.35"/>
  <cols>
    <col min="1" max="1" width="16.453125" style="172" customWidth="1"/>
    <col min="2" max="2" width="19.81640625" style="160" bestFit="1" customWidth="1"/>
    <col min="3" max="3" width="11.54296875" style="160" bestFit="1" customWidth="1"/>
    <col min="4" max="4" width="11.26953125" style="160" bestFit="1" customWidth="1"/>
    <col min="5" max="5" width="9.7265625" style="160" bestFit="1" customWidth="1"/>
    <col min="6" max="6" width="11.1796875" style="160" bestFit="1" customWidth="1"/>
    <col min="7" max="7" width="9.81640625" style="160" bestFit="1" customWidth="1"/>
    <col min="8" max="8" width="8.90625" style="160" customWidth="1"/>
    <col min="9" max="9" width="11.26953125" style="160" bestFit="1" customWidth="1"/>
    <col min="10" max="10" width="10" style="160" bestFit="1" customWidth="1"/>
    <col min="11" max="11" width="9.81640625" style="160" bestFit="1" customWidth="1"/>
    <col min="12" max="12" width="11.54296875" style="160" bestFit="1" customWidth="1"/>
    <col min="13" max="13" width="11.26953125" style="160" bestFit="1" customWidth="1"/>
    <col min="14" max="17" width="9.81640625" style="160" bestFit="1" customWidth="1"/>
    <col min="18" max="18" width="11.26953125" style="160" bestFit="1" customWidth="1"/>
    <col min="19" max="19" width="12.26953125" style="160" bestFit="1" customWidth="1"/>
    <col min="20" max="20" width="14.08984375" style="317" bestFit="1" customWidth="1"/>
    <col min="21" max="21" width="12.26953125" style="160" bestFit="1" customWidth="1"/>
    <col min="22" max="22" width="11.26953125" style="160" bestFit="1" customWidth="1"/>
    <col min="23" max="23" width="12.26953125" style="160" bestFit="1" customWidth="1"/>
    <col min="24" max="24" width="11.26953125" style="160" bestFit="1" customWidth="1"/>
    <col min="25" max="25" width="9.81640625" style="160" bestFit="1" customWidth="1"/>
    <col min="26" max="27" width="11.26953125" style="160" bestFit="1" customWidth="1"/>
    <col min="28" max="29" width="9.81640625" style="160" bestFit="1" customWidth="1"/>
    <col min="30" max="31" width="11.26953125" style="160" bestFit="1" customWidth="1"/>
    <col min="32" max="33" width="9.81640625" style="160" bestFit="1" customWidth="1"/>
    <col min="34" max="35" width="11.26953125" style="160" bestFit="1" customWidth="1"/>
    <col min="36" max="36" width="9.81640625" style="160" bestFit="1" customWidth="1"/>
    <col min="37" max="37" width="11.1796875" style="160" bestFit="1" customWidth="1"/>
    <col min="38" max="38" width="9.81640625" style="160" bestFit="1" customWidth="1"/>
    <col min="39" max="39" width="11.26953125" style="160" bestFit="1" customWidth="1"/>
    <col min="40" max="40" width="9.81640625" style="160" bestFit="1" customWidth="1"/>
    <col min="41" max="41" width="11.81640625" style="160" customWidth="1"/>
    <col min="42" max="42" width="12.26953125" style="160" bestFit="1" customWidth="1"/>
    <col min="43" max="47" width="11.26953125" style="160" bestFit="1" customWidth="1"/>
    <col min="48" max="48" width="9.81640625" style="160" bestFit="1" customWidth="1"/>
    <col min="49" max="52" width="11.26953125" style="160" bestFit="1" customWidth="1"/>
    <col min="53" max="53" width="12.26953125" style="160" bestFit="1" customWidth="1"/>
    <col min="54" max="54" width="9.81640625" style="160" bestFit="1" customWidth="1"/>
    <col min="55" max="55" width="11.26953125" style="160" bestFit="1" customWidth="1"/>
    <col min="56" max="56" width="9.81640625" style="160" bestFit="1" customWidth="1"/>
    <col min="57" max="60" width="11.26953125" style="160" bestFit="1" customWidth="1"/>
    <col min="61" max="62" width="9.81640625" style="160" bestFit="1" customWidth="1"/>
    <col min="63" max="65" width="11.26953125" style="160" bestFit="1" customWidth="1"/>
    <col min="66" max="67" width="9.81640625" style="160" bestFit="1" customWidth="1"/>
    <col min="68" max="68" width="11.26953125" style="160" bestFit="1" customWidth="1"/>
    <col min="69" max="69" width="9.81640625" style="160" bestFit="1" customWidth="1"/>
    <col min="70" max="70" width="10.90625" style="160" customWidth="1"/>
    <col min="71" max="71" width="11.26953125" style="160" bestFit="1" customWidth="1"/>
    <col min="72" max="72" width="12.26953125" style="160" bestFit="1" customWidth="1"/>
    <col min="73" max="73" width="9.81640625" style="160" bestFit="1" customWidth="1"/>
    <col min="74" max="74" width="11.26953125" style="160" bestFit="1" customWidth="1"/>
    <col min="75" max="75" width="12.26953125" style="160" bestFit="1" customWidth="1"/>
    <col min="76" max="76" width="11.54296875" style="160" customWidth="1"/>
    <col min="77" max="77" width="11.26953125" style="160" bestFit="1" customWidth="1"/>
    <col min="78" max="78" width="9.81640625" style="160" bestFit="1" customWidth="1"/>
    <col min="79" max="79" width="14" style="160" bestFit="1" customWidth="1"/>
    <col min="80" max="80" width="8.7265625" style="160"/>
    <col min="81" max="81" width="10.26953125" style="160" bestFit="1" customWidth="1"/>
    <col min="82" max="16384" width="8.7265625" style="160"/>
  </cols>
  <sheetData>
    <row r="1" spans="1:21" ht="15" thickBot="1" x14ac:dyDescent="0.4">
      <c r="A1" s="833" t="s">
        <v>338</v>
      </c>
      <c r="B1" s="834"/>
      <c r="C1" s="834"/>
      <c r="D1" s="834"/>
      <c r="E1" s="834"/>
      <c r="F1" s="834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5"/>
    </row>
    <row r="2" spans="1:21" ht="15" thickBot="1" x14ac:dyDescent="0.4"/>
    <row r="3" spans="1:21" ht="15" thickBot="1" x14ac:dyDescent="0.4">
      <c r="A3" s="321" t="s">
        <v>339</v>
      </c>
      <c r="B3" s="161" t="s">
        <v>340</v>
      </c>
      <c r="C3" s="161" t="s">
        <v>341</v>
      </c>
      <c r="D3" s="161" t="s">
        <v>342</v>
      </c>
      <c r="E3" s="161" t="s">
        <v>343</v>
      </c>
      <c r="F3" s="161" t="s">
        <v>344</v>
      </c>
      <c r="G3" s="161" t="s">
        <v>345</v>
      </c>
      <c r="H3" s="161" t="s">
        <v>346</v>
      </c>
      <c r="I3" s="161" t="s">
        <v>347</v>
      </c>
      <c r="J3" s="161" t="s">
        <v>348</v>
      </c>
      <c r="K3" s="161" t="s">
        <v>349</v>
      </c>
      <c r="L3" s="161" t="s">
        <v>350</v>
      </c>
      <c r="M3" s="161" t="s">
        <v>351</v>
      </c>
      <c r="N3" s="161" t="s">
        <v>352</v>
      </c>
      <c r="O3" s="161" t="s">
        <v>353</v>
      </c>
      <c r="P3" s="161" t="s">
        <v>354</v>
      </c>
      <c r="Q3" s="161" t="s">
        <v>355</v>
      </c>
      <c r="R3" s="161" t="s">
        <v>356</v>
      </c>
      <c r="S3" s="162" t="s">
        <v>357</v>
      </c>
    </row>
    <row r="4" spans="1:21" x14ac:dyDescent="0.35">
      <c r="A4" s="322" t="s">
        <v>358</v>
      </c>
      <c r="B4" s="163" t="s">
        <v>216</v>
      </c>
      <c r="C4" s="164">
        <v>281815</v>
      </c>
      <c r="D4" s="164">
        <v>64460</v>
      </c>
      <c r="E4" s="164">
        <v>12412</v>
      </c>
      <c r="F4" s="164">
        <v>46903</v>
      </c>
      <c r="G4" s="164">
        <v>2651</v>
      </c>
      <c r="H4" s="164">
        <v>0</v>
      </c>
      <c r="I4" s="164">
        <v>13070</v>
      </c>
      <c r="J4" s="164">
        <v>72639</v>
      </c>
      <c r="K4" s="164">
        <v>0</v>
      </c>
      <c r="L4" s="165">
        <f t="shared" ref="L4:L35" si="0">SUM(C4:K4)</f>
        <v>493950</v>
      </c>
      <c r="M4" s="164">
        <v>34990</v>
      </c>
      <c r="N4" s="164">
        <v>0</v>
      </c>
      <c r="O4" s="164">
        <v>1502</v>
      </c>
      <c r="P4" s="164">
        <v>4200</v>
      </c>
      <c r="Q4" s="164">
        <v>0</v>
      </c>
      <c r="R4" s="165">
        <f>SUM(M4:Q4)</f>
        <v>40692</v>
      </c>
      <c r="S4" s="166">
        <f>L4-R4</f>
        <v>453258</v>
      </c>
      <c r="T4" s="317">
        <f t="shared" ref="T4:T35" si="1">L4-J4</f>
        <v>421311</v>
      </c>
      <c r="U4" s="160">
        <v>421311</v>
      </c>
    </row>
    <row r="5" spans="1:21" x14ac:dyDescent="0.35">
      <c r="A5" s="323" t="s">
        <v>358</v>
      </c>
      <c r="B5" s="167" t="s">
        <v>217</v>
      </c>
      <c r="C5" s="168">
        <v>339986</v>
      </c>
      <c r="D5" s="168">
        <v>64871</v>
      </c>
      <c r="E5" s="168">
        <v>12934</v>
      </c>
      <c r="F5" s="168">
        <v>37017</v>
      </c>
      <c r="G5" s="168">
        <v>2366</v>
      </c>
      <c r="H5" s="168">
        <v>0</v>
      </c>
      <c r="I5" s="168">
        <v>16942</v>
      </c>
      <c r="J5" s="168">
        <v>81860</v>
      </c>
      <c r="K5" s="168">
        <v>0</v>
      </c>
      <c r="L5" s="165">
        <f t="shared" si="0"/>
        <v>555976</v>
      </c>
      <c r="M5" s="168">
        <v>41552</v>
      </c>
      <c r="N5" s="168">
        <v>0</v>
      </c>
      <c r="O5" s="168">
        <v>2042</v>
      </c>
      <c r="P5" s="168">
        <v>4800</v>
      </c>
      <c r="Q5" s="168">
        <v>0</v>
      </c>
      <c r="R5" s="165">
        <f t="shared" ref="R5:R68" si="2">SUM(M5:Q5)</f>
        <v>48394</v>
      </c>
      <c r="S5" s="166">
        <f t="shared" ref="S5:S68" si="3">L5-R5</f>
        <v>507582</v>
      </c>
      <c r="T5" s="317">
        <f t="shared" si="1"/>
        <v>474116</v>
      </c>
      <c r="U5" s="160">
        <v>474116</v>
      </c>
    </row>
    <row r="6" spans="1:21" x14ac:dyDescent="0.35">
      <c r="A6" s="323" t="s">
        <v>358</v>
      </c>
      <c r="B6" s="167" t="s">
        <v>359</v>
      </c>
      <c r="C6" s="168">
        <v>13000</v>
      </c>
      <c r="D6" s="168">
        <v>3000</v>
      </c>
      <c r="E6" s="168">
        <v>0</v>
      </c>
      <c r="F6" s="168">
        <v>0</v>
      </c>
      <c r="G6" s="168">
        <v>0</v>
      </c>
      <c r="H6" s="168">
        <v>0</v>
      </c>
      <c r="I6" s="168">
        <v>1000</v>
      </c>
      <c r="J6" s="168">
        <v>2299</v>
      </c>
      <c r="K6" s="168">
        <v>0</v>
      </c>
      <c r="L6" s="165">
        <f t="shared" si="0"/>
        <v>19299</v>
      </c>
      <c r="M6" s="168">
        <v>1680</v>
      </c>
      <c r="N6" s="168">
        <v>0</v>
      </c>
      <c r="O6" s="168">
        <v>128</v>
      </c>
      <c r="P6" s="168">
        <v>200</v>
      </c>
      <c r="Q6" s="168">
        <v>0</v>
      </c>
      <c r="R6" s="165">
        <f t="shared" si="2"/>
        <v>2008</v>
      </c>
      <c r="S6" s="166">
        <f t="shared" si="3"/>
        <v>17291</v>
      </c>
      <c r="T6" s="317">
        <f t="shared" si="1"/>
        <v>17000</v>
      </c>
      <c r="U6" s="160">
        <v>17000</v>
      </c>
    </row>
    <row r="7" spans="1:21" x14ac:dyDescent="0.35">
      <c r="A7" s="323" t="s">
        <v>358</v>
      </c>
      <c r="B7" s="167" t="s">
        <v>360</v>
      </c>
      <c r="C7" s="168">
        <v>13000</v>
      </c>
      <c r="D7" s="168">
        <v>5000</v>
      </c>
      <c r="E7" s="168">
        <v>1600</v>
      </c>
      <c r="F7" s="168">
        <v>5000</v>
      </c>
      <c r="G7" s="168">
        <v>400</v>
      </c>
      <c r="H7" s="168">
        <v>0</v>
      </c>
      <c r="I7" s="168">
        <v>1284</v>
      </c>
      <c r="J7" s="168">
        <v>2299</v>
      </c>
      <c r="K7" s="168">
        <v>0</v>
      </c>
      <c r="L7" s="165">
        <f t="shared" si="0"/>
        <v>28583</v>
      </c>
      <c r="M7" s="168">
        <v>1800</v>
      </c>
      <c r="N7" s="168">
        <v>0</v>
      </c>
      <c r="O7" s="168">
        <v>0</v>
      </c>
      <c r="P7" s="168">
        <v>200</v>
      </c>
      <c r="Q7" s="168">
        <v>0</v>
      </c>
      <c r="R7" s="165">
        <f t="shared" si="2"/>
        <v>2000</v>
      </c>
      <c r="S7" s="166">
        <f t="shared" si="3"/>
        <v>26583</v>
      </c>
      <c r="T7" s="317">
        <f t="shared" si="1"/>
        <v>26284</v>
      </c>
      <c r="U7" s="160">
        <v>26284</v>
      </c>
    </row>
    <row r="8" spans="1:21" x14ac:dyDescent="0.35">
      <c r="A8" s="323" t="s">
        <v>358</v>
      </c>
      <c r="B8" s="167" t="s">
        <v>219</v>
      </c>
      <c r="C8" s="168">
        <v>348100</v>
      </c>
      <c r="D8" s="168">
        <v>74079</v>
      </c>
      <c r="E8" s="168">
        <v>14780</v>
      </c>
      <c r="F8" s="168">
        <v>41900</v>
      </c>
      <c r="G8" s="168">
        <v>3560</v>
      </c>
      <c r="H8" s="168">
        <v>0</v>
      </c>
      <c r="I8" s="168">
        <v>11772</v>
      </c>
      <c r="J8" s="168">
        <v>171589</v>
      </c>
      <c r="K8" s="168">
        <v>3000</v>
      </c>
      <c r="L8" s="165">
        <f t="shared" si="0"/>
        <v>668780</v>
      </c>
      <c r="M8" s="168">
        <v>43555</v>
      </c>
      <c r="N8" s="168">
        <v>0</v>
      </c>
      <c r="O8" s="168">
        <v>1734</v>
      </c>
      <c r="P8" s="168">
        <v>4200</v>
      </c>
      <c r="Q8" s="168">
        <v>0</v>
      </c>
      <c r="R8" s="165">
        <f t="shared" si="2"/>
        <v>49489</v>
      </c>
      <c r="S8" s="166">
        <f t="shared" si="3"/>
        <v>619291</v>
      </c>
      <c r="T8" s="317">
        <f t="shared" si="1"/>
        <v>497191</v>
      </c>
      <c r="U8" s="160">
        <v>497191</v>
      </c>
    </row>
    <row r="9" spans="1:21" x14ac:dyDescent="0.35">
      <c r="A9" s="323" t="s">
        <v>358</v>
      </c>
      <c r="B9" s="167" t="s">
        <v>361</v>
      </c>
      <c r="C9" s="168">
        <v>15242</v>
      </c>
      <c r="D9" s="168">
        <v>4516</v>
      </c>
      <c r="E9" s="168">
        <v>1806</v>
      </c>
      <c r="F9" s="168">
        <v>4516</v>
      </c>
      <c r="G9" s="168">
        <v>226</v>
      </c>
      <c r="H9" s="168">
        <v>0</v>
      </c>
      <c r="I9" s="168">
        <v>790</v>
      </c>
      <c r="J9" s="168">
        <v>0</v>
      </c>
      <c r="K9" s="168">
        <v>0</v>
      </c>
      <c r="L9" s="165">
        <f t="shared" si="0"/>
        <v>27096</v>
      </c>
      <c r="M9" s="168">
        <v>2110</v>
      </c>
      <c r="N9" s="168">
        <v>0</v>
      </c>
      <c r="O9" s="168">
        <v>0</v>
      </c>
      <c r="P9" s="168">
        <v>200</v>
      </c>
      <c r="Q9" s="168">
        <v>0</v>
      </c>
      <c r="R9" s="165">
        <f t="shared" si="2"/>
        <v>2310</v>
      </c>
      <c r="S9" s="166">
        <f t="shared" si="3"/>
        <v>24786</v>
      </c>
      <c r="T9" s="317">
        <f t="shared" si="1"/>
        <v>27096</v>
      </c>
      <c r="U9" s="160">
        <v>27096</v>
      </c>
    </row>
    <row r="10" spans="1:21" x14ac:dyDescent="0.35">
      <c r="A10" s="323" t="s">
        <v>358</v>
      </c>
      <c r="B10" s="167" t="s">
        <v>220</v>
      </c>
      <c r="C10" s="168">
        <v>232348</v>
      </c>
      <c r="D10" s="168">
        <v>48909</v>
      </c>
      <c r="E10" s="168">
        <v>4800</v>
      </c>
      <c r="F10" s="168">
        <v>21050</v>
      </c>
      <c r="G10" s="168">
        <v>1440</v>
      </c>
      <c r="H10" s="168">
        <v>0</v>
      </c>
      <c r="I10" s="168">
        <v>10837</v>
      </c>
      <c r="J10" s="168">
        <v>53410</v>
      </c>
      <c r="K10" s="168">
        <v>0</v>
      </c>
      <c r="L10" s="165">
        <f t="shared" si="0"/>
        <v>372794</v>
      </c>
      <c r="M10" s="168">
        <v>29401</v>
      </c>
      <c r="N10" s="168">
        <v>0</v>
      </c>
      <c r="O10" s="168">
        <v>1616</v>
      </c>
      <c r="P10" s="168">
        <v>3200</v>
      </c>
      <c r="Q10" s="168">
        <v>0</v>
      </c>
      <c r="R10" s="165">
        <f t="shared" si="2"/>
        <v>34217</v>
      </c>
      <c r="S10" s="166">
        <f t="shared" si="3"/>
        <v>338577</v>
      </c>
      <c r="T10" s="317">
        <f t="shared" si="1"/>
        <v>319384</v>
      </c>
      <c r="U10" s="160">
        <v>319384</v>
      </c>
    </row>
    <row r="11" spans="1:21" x14ac:dyDescent="0.35">
      <c r="A11" s="323" t="s">
        <v>358</v>
      </c>
      <c r="B11" s="167" t="s">
        <v>362</v>
      </c>
      <c r="C11" s="168">
        <v>14000</v>
      </c>
      <c r="D11" s="168">
        <v>7000</v>
      </c>
      <c r="E11" s="168">
        <v>1600</v>
      </c>
      <c r="F11" s="168">
        <v>7000</v>
      </c>
      <c r="G11" s="168">
        <v>400</v>
      </c>
      <c r="H11" s="168">
        <v>0</v>
      </c>
      <c r="I11" s="168">
        <v>3834</v>
      </c>
      <c r="J11" s="168">
        <v>2299</v>
      </c>
      <c r="K11" s="168">
        <v>0</v>
      </c>
      <c r="L11" s="165">
        <f t="shared" si="0"/>
        <v>36133</v>
      </c>
      <c r="M11" s="168">
        <v>1800</v>
      </c>
      <c r="N11" s="168">
        <v>0</v>
      </c>
      <c r="O11" s="168">
        <v>0</v>
      </c>
      <c r="P11" s="168">
        <v>200</v>
      </c>
      <c r="Q11" s="168">
        <v>0</v>
      </c>
      <c r="R11" s="165">
        <f t="shared" si="2"/>
        <v>2000</v>
      </c>
      <c r="S11" s="166">
        <f t="shared" si="3"/>
        <v>34133</v>
      </c>
      <c r="T11" s="317">
        <f t="shared" si="1"/>
        <v>33834</v>
      </c>
      <c r="U11" s="160">
        <v>33834</v>
      </c>
    </row>
    <row r="12" spans="1:21" ht="29" x14ac:dyDescent="0.35">
      <c r="A12" s="323" t="s">
        <v>363</v>
      </c>
      <c r="B12" s="167" t="s">
        <v>216</v>
      </c>
      <c r="C12" s="168">
        <v>367317</v>
      </c>
      <c r="D12" s="168">
        <v>43650</v>
      </c>
      <c r="E12" s="168">
        <v>7000</v>
      </c>
      <c r="F12" s="168">
        <v>29500</v>
      </c>
      <c r="G12" s="168">
        <v>1600</v>
      </c>
      <c r="H12" s="168">
        <v>0</v>
      </c>
      <c r="I12" s="168">
        <v>11719</v>
      </c>
      <c r="J12" s="168">
        <v>131816</v>
      </c>
      <c r="K12" s="168">
        <v>3000</v>
      </c>
      <c r="L12" s="165">
        <f t="shared" si="0"/>
        <v>595602</v>
      </c>
      <c r="M12" s="168">
        <v>37042</v>
      </c>
      <c r="N12" s="168">
        <v>0</v>
      </c>
      <c r="O12" s="168">
        <v>2051</v>
      </c>
      <c r="P12" s="168">
        <v>1000</v>
      </c>
      <c r="Q12" s="168">
        <v>0</v>
      </c>
      <c r="R12" s="165">
        <f t="shared" si="2"/>
        <v>40093</v>
      </c>
      <c r="S12" s="166">
        <f t="shared" si="3"/>
        <v>555509</v>
      </c>
      <c r="T12" s="317">
        <f t="shared" si="1"/>
        <v>463786</v>
      </c>
      <c r="U12" s="160">
        <v>463786</v>
      </c>
    </row>
    <row r="13" spans="1:21" ht="29" x14ac:dyDescent="0.35">
      <c r="A13" s="323" t="s">
        <v>363</v>
      </c>
      <c r="B13" s="167" t="s">
        <v>364</v>
      </c>
      <c r="C13" s="168">
        <v>452150</v>
      </c>
      <c r="D13" s="168">
        <v>70500</v>
      </c>
      <c r="E13" s="168">
        <v>2000</v>
      </c>
      <c r="F13" s="168">
        <v>7000</v>
      </c>
      <c r="G13" s="168">
        <v>2000</v>
      </c>
      <c r="H13" s="168">
        <v>0</v>
      </c>
      <c r="I13" s="168">
        <v>2681</v>
      </c>
      <c r="J13" s="168">
        <v>155645</v>
      </c>
      <c r="K13" s="168">
        <v>0</v>
      </c>
      <c r="L13" s="165">
        <f t="shared" si="0"/>
        <v>691976</v>
      </c>
      <c r="M13" s="168">
        <v>46066</v>
      </c>
      <c r="N13" s="168">
        <v>0</v>
      </c>
      <c r="O13" s="168">
        <v>2037</v>
      </c>
      <c r="P13" s="168">
        <v>2000</v>
      </c>
      <c r="Q13" s="168">
        <v>0</v>
      </c>
      <c r="R13" s="165">
        <f t="shared" si="2"/>
        <v>50103</v>
      </c>
      <c r="S13" s="166">
        <f t="shared" si="3"/>
        <v>641873</v>
      </c>
      <c r="T13" s="317">
        <f t="shared" si="1"/>
        <v>536331</v>
      </c>
      <c r="U13" s="160">
        <v>536331</v>
      </c>
    </row>
    <row r="14" spans="1:21" ht="29" x14ac:dyDescent="0.35">
      <c r="A14" s="323" t="s">
        <v>363</v>
      </c>
      <c r="B14" s="167" t="s">
        <v>365</v>
      </c>
      <c r="C14" s="168">
        <v>441627</v>
      </c>
      <c r="D14" s="168">
        <v>39000</v>
      </c>
      <c r="E14" s="168">
        <v>1600</v>
      </c>
      <c r="F14" s="168">
        <v>4500</v>
      </c>
      <c r="G14" s="168">
        <v>800</v>
      </c>
      <c r="H14" s="168">
        <v>0</v>
      </c>
      <c r="I14" s="168">
        <v>7810</v>
      </c>
      <c r="J14" s="168">
        <v>165537</v>
      </c>
      <c r="K14" s="168">
        <v>0</v>
      </c>
      <c r="L14" s="165">
        <f t="shared" si="0"/>
        <v>660874</v>
      </c>
      <c r="M14" s="168">
        <v>45555</v>
      </c>
      <c r="N14" s="168">
        <v>0</v>
      </c>
      <c r="O14" s="168">
        <v>2733</v>
      </c>
      <c r="P14" s="168">
        <v>2600</v>
      </c>
      <c r="Q14" s="168">
        <v>0</v>
      </c>
      <c r="R14" s="165">
        <f t="shared" si="2"/>
        <v>50888</v>
      </c>
      <c r="S14" s="166">
        <f t="shared" si="3"/>
        <v>609986</v>
      </c>
      <c r="T14" s="317">
        <f t="shared" si="1"/>
        <v>495337</v>
      </c>
      <c r="U14" s="160">
        <v>495337</v>
      </c>
    </row>
    <row r="15" spans="1:21" ht="29" x14ac:dyDescent="0.35">
      <c r="A15" s="323" t="s">
        <v>363</v>
      </c>
      <c r="B15" s="167" t="s">
        <v>359</v>
      </c>
      <c r="C15" s="168">
        <v>19000</v>
      </c>
      <c r="D15" s="168">
        <v>8500</v>
      </c>
      <c r="E15" s="168">
        <v>0</v>
      </c>
      <c r="F15" s="168">
        <v>8500</v>
      </c>
      <c r="G15" s="168">
        <v>400</v>
      </c>
      <c r="H15" s="168">
        <v>0</v>
      </c>
      <c r="I15" s="168">
        <v>392</v>
      </c>
      <c r="J15" s="168">
        <v>4780</v>
      </c>
      <c r="K15" s="168">
        <v>0</v>
      </c>
      <c r="L15" s="165">
        <f t="shared" si="0"/>
        <v>41572</v>
      </c>
      <c r="M15" s="168">
        <v>1800</v>
      </c>
      <c r="N15" s="168">
        <v>0</v>
      </c>
      <c r="O15" s="168">
        <v>0</v>
      </c>
      <c r="P15" s="168">
        <v>200</v>
      </c>
      <c r="Q15" s="168">
        <v>0</v>
      </c>
      <c r="R15" s="165">
        <f t="shared" si="2"/>
        <v>2000</v>
      </c>
      <c r="S15" s="166">
        <f t="shared" si="3"/>
        <v>39572</v>
      </c>
      <c r="T15" s="317">
        <f t="shared" si="1"/>
        <v>36792</v>
      </c>
      <c r="U15" s="160">
        <v>36792</v>
      </c>
    </row>
    <row r="16" spans="1:21" ht="29" x14ac:dyDescent="0.35">
      <c r="A16" s="323" t="s">
        <v>363</v>
      </c>
      <c r="B16" s="167" t="s">
        <v>366</v>
      </c>
      <c r="C16" s="168">
        <v>35500</v>
      </c>
      <c r="D16" s="168">
        <v>6000</v>
      </c>
      <c r="E16" s="168">
        <v>0</v>
      </c>
      <c r="F16" s="168">
        <v>0</v>
      </c>
      <c r="G16" s="168">
        <v>0</v>
      </c>
      <c r="H16" s="168">
        <v>0</v>
      </c>
      <c r="I16" s="168">
        <v>0</v>
      </c>
      <c r="J16" s="168">
        <v>0</v>
      </c>
      <c r="K16" s="168">
        <v>0</v>
      </c>
      <c r="L16" s="165">
        <f t="shared" si="0"/>
        <v>41500</v>
      </c>
      <c r="M16" s="168">
        <v>3600</v>
      </c>
      <c r="N16" s="168">
        <v>0</v>
      </c>
      <c r="O16" s="168">
        <v>132</v>
      </c>
      <c r="P16" s="168">
        <v>0</v>
      </c>
      <c r="Q16" s="168">
        <v>0</v>
      </c>
      <c r="R16" s="165">
        <f t="shared" si="2"/>
        <v>3732</v>
      </c>
      <c r="S16" s="166">
        <f t="shared" si="3"/>
        <v>37768</v>
      </c>
      <c r="T16" s="317">
        <f t="shared" si="1"/>
        <v>41500</v>
      </c>
      <c r="U16" s="160">
        <v>41500</v>
      </c>
    </row>
    <row r="17" spans="1:21" ht="29" x14ac:dyDescent="0.35">
      <c r="A17" s="323" t="s">
        <v>363</v>
      </c>
      <c r="B17" s="167" t="s">
        <v>219</v>
      </c>
      <c r="C17" s="168">
        <v>478733</v>
      </c>
      <c r="D17" s="168">
        <v>65000</v>
      </c>
      <c r="E17" s="168">
        <v>4500</v>
      </c>
      <c r="F17" s="168">
        <v>21500</v>
      </c>
      <c r="G17" s="168">
        <v>2400</v>
      </c>
      <c r="H17" s="168">
        <v>0</v>
      </c>
      <c r="I17" s="168">
        <v>16271</v>
      </c>
      <c r="J17" s="168">
        <v>140591</v>
      </c>
      <c r="K17" s="168">
        <v>3000</v>
      </c>
      <c r="L17" s="165">
        <f t="shared" si="0"/>
        <v>731995</v>
      </c>
      <c r="M17" s="168">
        <v>48690</v>
      </c>
      <c r="N17" s="168">
        <v>0</v>
      </c>
      <c r="O17" s="168">
        <v>2368</v>
      </c>
      <c r="P17" s="168">
        <v>1800</v>
      </c>
      <c r="Q17" s="168">
        <v>0</v>
      </c>
      <c r="R17" s="165">
        <f t="shared" si="2"/>
        <v>52858</v>
      </c>
      <c r="S17" s="166">
        <f t="shared" si="3"/>
        <v>679137</v>
      </c>
      <c r="T17" s="317">
        <f t="shared" si="1"/>
        <v>591404</v>
      </c>
      <c r="U17" s="160">
        <v>591404</v>
      </c>
    </row>
    <row r="18" spans="1:21" ht="29" x14ac:dyDescent="0.35">
      <c r="A18" s="323" t="s">
        <v>363</v>
      </c>
      <c r="B18" s="167" t="s">
        <v>361</v>
      </c>
      <c r="C18" s="168">
        <v>130000</v>
      </c>
      <c r="D18" s="168">
        <v>60500</v>
      </c>
      <c r="E18" s="168">
        <v>3000</v>
      </c>
      <c r="F18" s="168">
        <v>56000</v>
      </c>
      <c r="G18" s="168">
        <v>1800</v>
      </c>
      <c r="H18" s="168">
        <v>15000</v>
      </c>
      <c r="I18" s="168">
        <v>30992</v>
      </c>
      <c r="J18" s="168">
        <v>31979</v>
      </c>
      <c r="K18" s="168">
        <v>0</v>
      </c>
      <c r="L18" s="165">
        <f t="shared" si="0"/>
        <v>329271</v>
      </c>
      <c r="M18" s="168">
        <v>10800</v>
      </c>
      <c r="N18" s="168">
        <v>27523</v>
      </c>
      <c r="O18" s="168">
        <v>0</v>
      </c>
      <c r="P18" s="168">
        <v>600</v>
      </c>
      <c r="Q18" s="168">
        <v>0</v>
      </c>
      <c r="R18" s="165">
        <f t="shared" si="2"/>
        <v>38923</v>
      </c>
      <c r="S18" s="166">
        <f t="shared" si="3"/>
        <v>290348</v>
      </c>
      <c r="T18" s="317">
        <f t="shared" si="1"/>
        <v>297292</v>
      </c>
      <c r="U18" s="160">
        <v>297292</v>
      </c>
    </row>
    <row r="19" spans="1:21" ht="29" x14ac:dyDescent="0.35">
      <c r="A19" s="323" t="s">
        <v>367</v>
      </c>
      <c r="B19" s="167" t="s">
        <v>216</v>
      </c>
      <c r="C19" s="168">
        <v>585791</v>
      </c>
      <c r="D19" s="168">
        <v>82519</v>
      </c>
      <c r="E19" s="168">
        <v>3040</v>
      </c>
      <c r="F19" s="168">
        <v>6300</v>
      </c>
      <c r="G19" s="168">
        <v>1560</v>
      </c>
      <c r="H19" s="168">
        <v>0</v>
      </c>
      <c r="I19" s="168">
        <v>2534</v>
      </c>
      <c r="J19" s="168">
        <v>24313</v>
      </c>
      <c r="K19" s="168">
        <v>0</v>
      </c>
      <c r="L19" s="165">
        <f t="shared" si="0"/>
        <v>706057</v>
      </c>
      <c r="M19" s="168">
        <v>60742</v>
      </c>
      <c r="N19" s="168">
        <v>0</v>
      </c>
      <c r="O19" s="168">
        <v>2873</v>
      </c>
      <c r="P19" s="168">
        <v>1400</v>
      </c>
      <c r="Q19" s="168">
        <v>0</v>
      </c>
      <c r="R19" s="165">
        <f t="shared" si="2"/>
        <v>65015</v>
      </c>
      <c r="S19" s="166">
        <f t="shared" si="3"/>
        <v>641042</v>
      </c>
      <c r="T19" s="317">
        <f t="shared" si="1"/>
        <v>681744</v>
      </c>
      <c r="U19" s="160">
        <v>681744</v>
      </c>
    </row>
    <row r="20" spans="1:21" ht="29" x14ac:dyDescent="0.35">
      <c r="A20" s="323" t="s">
        <v>367</v>
      </c>
      <c r="B20" s="167" t="s">
        <v>217</v>
      </c>
      <c r="C20" s="168">
        <v>784221</v>
      </c>
      <c r="D20" s="168">
        <v>135656</v>
      </c>
      <c r="E20" s="168">
        <v>12270</v>
      </c>
      <c r="F20" s="168">
        <v>46725</v>
      </c>
      <c r="G20" s="168">
        <v>2744</v>
      </c>
      <c r="H20" s="168">
        <v>0</v>
      </c>
      <c r="I20" s="168">
        <v>31152</v>
      </c>
      <c r="J20" s="168">
        <v>15958</v>
      </c>
      <c r="K20" s="168">
        <v>0</v>
      </c>
      <c r="L20" s="165">
        <f t="shared" si="0"/>
        <v>1028726</v>
      </c>
      <c r="M20" s="168">
        <v>83407</v>
      </c>
      <c r="N20" s="168">
        <v>4320</v>
      </c>
      <c r="O20" s="168">
        <v>3610</v>
      </c>
      <c r="P20" s="168">
        <v>2000</v>
      </c>
      <c r="Q20" s="168">
        <v>0</v>
      </c>
      <c r="R20" s="165">
        <f t="shared" si="2"/>
        <v>93337</v>
      </c>
      <c r="S20" s="166">
        <f t="shared" si="3"/>
        <v>935389</v>
      </c>
      <c r="T20" s="317">
        <f t="shared" si="1"/>
        <v>1012768</v>
      </c>
      <c r="U20" s="160">
        <v>1012768</v>
      </c>
    </row>
    <row r="21" spans="1:21" s="510" customFormat="1" ht="29" x14ac:dyDescent="0.35">
      <c r="A21" s="505" t="s">
        <v>367</v>
      </c>
      <c r="B21" s="506" t="s">
        <v>365</v>
      </c>
      <c r="C21" s="507">
        <v>561684</v>
      </c>
      <c r="D21" s="507">
        <v>129093</v>
      </c>
      <c r="E21" s="507">
        <v>8279</v>
      </c>
      <c r="F21" s="507">
        <v>34033</v>
      </c>
      <c r="G21" s="507">
        <v>2661</v>
      </c>
      <c r="H21" s="507">
        <v>0</v>
      </c>
      <c r="I21" s="507">
        <v>15662</v>
      </c>
      <c r="J21" s="507">
        <v>6619</v>
      </c>
      <c r="K21" s="507">
        <v>0</v>
      </c>
      <c r="L21" s="508">
        <f t="shared" si="0"/>
        <v>758031</v>
      </c>
      <c r="M21" s="507">
        <v>60290</v>
      </c>
      <c r="N21" s="507">
        <v>0</v>
      </c>
      <c r="O21" s="507">
        <v>1695</v>
      </c>
      <c r="P21" s="507">
        <v>1800</v>
      </c>
      <c r="Q21" s="507">
        <v>0</v>
      </c>
      <c r="R21" s="508">
        <f t="shared" si="2"/>
        <v>63785</v>
      </c>
      <c r="S21" s="509">
        <f t="shared" si="3"/>
        <v>694246</v>
      </c>
      <c r="T21" s="511">
        <f t="shared" si="1"/>
        <v>751412</v>
      </c>
      <c r="U21" s="510">
        <v>751412</v>
      </c>
    </row>
    <row r="22" spans="1:21" ht="29" x14ac:dyDescent="0.35">
      <c r="A22" s="323" t="s">
        <v>367</v>
      </c>
      <c r="B22" s="167" t="s">
        <v>225</v>
      </c>
      <c r="C22" s="168">
        <v>1094442</v>
      </c>
      <c r="D22" s="168">
        <v>217178</v>
      </c>
      <c r="E22" s="168">
        <v>20953</v>
      </c>
      <c r="F22" s="168">
        <v>108317</v>
      </c>
      <c r="G22" s="168">
        <v>5707</v>
      </c>
      <c r="H22" s="168">
        <v>0</v>
      </c>
      <c r="I22" s="168">
        <v>77116</v>
      </c>
      <c r="J22" s="168">
        <v>235528</v>
      </c>
      <c r="K22" s="168">
        <v>11000</v>
      </c>
      <c r="L22" s="165">
        <f t="shared" si="0"/>
        <v>1770241</v>
      </c>
      <c r="M22" s="168">
        <v>114893</v>
      </c>
      <c r="N22" s="168">
        <v>56304</v>
      </c>
      <c r="O22" s="168">
        <v>4160</v>
      </c>
      <c r="P22" s="168">
        <v>4800</v>
      </c>
      <c r="Q22" s="168">
        <v>0</v>
      </c>
      <c r="R22" s="165">
        <f t="shared" si="2"/>
        <v>180157</v>
      </c>
      <c r="S22" s="166">
        <f t="shared" si="3"/>
        <v>1590084</v>
      </c>
      <c r="T22" s="317">
        <f t="shared" si="1"/>
        <v>1534713</v>
      </c>
      <c r="U22" s="160">
        <v>1534713</v>
      </c>
    </row>
    <row r="23" spans="1:21" ht="29" x14ac:dyDescent="0.35">
      <c r="A23" s="323" t="s">
        <v>367</v>
      </c>
      <c r="B23" s="167" t="s">
        <v>366</v>
      </c>
      <c r="C23" s="168">
        <v>390137</v>
      </c>
      <c r="D23" s="168">
        <v>50598</v>
      </c>
      <c r="E23" s="168">
        <v>0</v>
      </c>
      <c r="F23" s="168">
        <v>0</v>
      </c>
      <c r="G23" s="168">
        <v>400</v>
      </c>
      <c r="H23" s="168">
        <v>0</v>
      </c>
      <c r="I23" s="168">
        <v>265</v>
      </c>
      <c r="J23" s="168">
        <v>4748</v>
      </c>
      <c r="K23" s="168">
        <v>0</v>
      </c>
      <c r="L23" s="165">
        <f t="shared" si="0"/>
        <v>446148</v>
      </c>
      <c r="M23" s="168">
        <v>41852</v>
      </c>
      <c r="N23" s="168">
        <v>0</v>
      </c>
      <c r="O23" s="168">
        <v>2157</v>
      </c>
      <c r="P23" s="168">
        <v>800</v>
      </c>
      <c r="Q23" s="168">
        <v>0</v>
      </c>
      <c r="R23" s="165">
        <f t="shared" si="2"/>
        <v>44809</v>
      </c>
      <c r="S23" s="166">
        <f t="shared" si="3"/>
        <v>401339</v>
      </c>
      <c r="T23" s="317">
        <f t="shared" si="1"/>
        <v>441400</v>
      </c>
      <c r="U23" s="160">
        <v>441400</v>
      </c>
    </row>
    <row r="24" spans="1:21" ht="29" x14ac:dyDescent="0.35">
      <c r="A24" s="323" t="s">
        <v>367</v>
      </c>
      <c r="B24" s="167" t="s">
        <v>219</v>
      </c>
      <c r="C24" s="168">
        <v>711034</v>
      </c>
      <c r="D24" s="168">
        <v>108099</v>
      </c>
      <c r="E24" s="168">
        <v>6740</v>
      </c>
      <c r="F24" s="168">
        <v>21783</v>
      </c>
      <c r="G24" s="168">
        <v>2160</v>
      </c>
      <c r="H24" s="168">
        <v>0</v>
      </c>
      <c r="I24" s="168">
        <v>27845</v>
      </c>
      <c r="J24" s="168">
        <v>179820</v>
      </c>
      <c r="K24" s="168">
        <v>0</v>
      </c>
      <c r="L24" s="165">
        <f t="shared" si="0"/>
        <v>1057481</v>
      </c>
      <c r="M24" s="168">
        <v>73740</v>
      </c>
      <c r="N24" s="168">
        <v>3834</v>
      </c>
      <c r="O24" s="168">
        <v>3143</v>
      </c>
      <c r="P24" s="168">
        <v>2200</v>
      </c>
      <c r="Q24" s="168">
        <v>0</v>
      </c>
      <c r="R24" s="165">
        <f t="shared" si="2"/>
        <v>82917</v>
      </c>
      <c r="S24" s="166">
        <f t="shared" si="3"/>
        <v>974564</v>
      </c>
      <c r="T24" s="317">
        <f t="shared" si="1"/>
        <v>877661</v>
      </c>
      <c r="U24" s="160">
        <v>877661</v>
      </c>
    </row>
    <row r="25" spans="1:21" ht="29" x14ac:dyDescent="0.35">
      <c r="A25" s="323" t="s">
        <v>367</v>
      </c>
      <c r="B25" s="167" t="s">
        <v>361</v>
      </c>
      <c r="C25" s="168">
        <v>193710</v>
      </c>
      <c r="D25" s="168">
        <v>96855</v>
      </c>
      <c r="E25" s="168">
        <v>6500</v>
      </c>
      <c r="F25" s="168">
        <v>96855</v>
      </c>
      <c r="G25" s="168">
        <v>2871</v>
      </c>
      <c r="H25" s="168">
        <v>15000</v>
      </c>
      <c r="I25" s="168">
        <v>59199</v>
      </c>
      <c r="J25" s="168">
        <v>27669</v>
      </c>
      <c r="K25" s="168">
        <v>0</v>
      </c>
      <c r="L25" s="165">
        <f t="shared" si="0"/>
        <v>498659</v>
      </c>
      <c r="M25" s="168">
        <v>8390</v>
      </c>
      <c r="N25" s="168">
        <v>58666</v>
      </c>
      <c r="O25" s="168">
        <v>0</v>
      </c>
      <c r="P25" s="168">
        <v>800</v>
      </c>
      <c r="Q25" s="168">
        <v>0</v>
      </c>
      <c r="R25" s="165">
        <f t="shared" si="2"/>
        <v>67856</v>
      </c>
      <c r="S25" s="166">
        <f t="shared" si="3"/>
        <v>430803</v>
      </c>
      <c r="T25" s="317">
        <f t="shared" si="1"/>
        <v>470990</v>
      </c>
      <c r="U25" s="160">
        <v>470990</v>
      </c>
    </row>
    <row r="26" spans="1:21" ht="29" x14ac:dyDescent="0.35">
      <c r="A26" s="323" t="s">
        <v>367</v>
      </c>
      <c r="B26" s="167" t="s">
        <v>362</v>
      </c>
      <c r="C26" s="168">
        <v>17100</v>
      </c>
      <c r="D26" s="168">
        <v>8550</v>
      </c>
      <c r="E26" s="168">
        <v>1440</v>
      </c>
      <c r="F26" s="168">
        <v>2700</v>
      </c>
      <c r="G26" s="168">
        <v>360</v>
      </c>
      <c r="H26" s="168">
        <v>0</v>
      </c>
      <c r="I26" s="168">
        <v>1350</v>
      </c>
      <c r="J26" s="168">
        <v>0</v>
      </c>
      <c r="K26" s="168">
        <v>0</v>
      </c>
      <c r="L26" s="165">
        <f t="shared" si="0"/>
        <v>31500</v>
      </c>
      <c r="M26" s="168">
        <v>1800</v>
      </c>
      <c r="N26" s="168">
        <v>0</v>
      </c>
      <c r="O26" s="168">
        <v>0</v>
      </c>
      <c r="P26" s="168">
        <v>200</v>
      </c>
      <c r="Q26" s="168">
        <v>0</v>
      </c>
      <c r="R26" s="165">
        <f t="shared" si="2"/>
        <v>2000</v>
      </c>
      <c r="S26" s="166">
        <f t="shared" si="3"/>
        <v>29500</v>
      </c>
      <c r="T26" s="317">
        <f t="shared" si="1"/>
        <v>31500</v>
      </c>
      <c r="U26" s="160">
        <v>31500</v>
      </c>
    </row>
    <row r="27" spans="1:21" x14ac:dyDescent="0.35">
      <c r="A27" s="323" t="s">
        <v>368</v>
      </c>
      <c r="B27" s="167" t="s">
        <v>365</v>
      </c>
      <c r="C27" s="168">
        <v>367129</v>
      </c>
      <c r="D27" s="168">
        <v>89196</v>
      </c>
      <c r="E27" s="168">
        <v>20240</v>
      </c>
      <c r="F27" s="168">
        <v>57400</v>
      </c>
      <c r="G27" s="168">
        <v>5324</v>
      </c>
      <c r="H27" s="168">
        <v>0</v>
      </c>
      <c r="I27" s="168">
        <v>16752</v>
      </c>
      <c r="J27" s="168">
        <v>56121</v>
      </c>
      <c r="K27" s="168">
        <v>0</v>
      </c>
      <c r="L27" s="165">
        <f t="shared" si="0"/>
        <v>612162</v>
      </c>
      <c r="M27" s="168">
        <v>46067</v>
      </c>
      <c r="N27" s="168">
        <v>0</v>
      </c>
      <c r="O27" s="168">
        <v>1878</v>
      </c>
      <c r="P27" s="168">
        <v>0</v>
      </c>
      <c r="Q27" s="168">
        <v>0</v>
      </c>
      <c r="R27" s="165">
        <f t="shared" si="2"/>
        <v>47945</v>
      </c>
      <c r="S27" s="166">
        <f t="shared" si="3"/>
        <v>564217</v>
      </c>
      <c r="T27" s="317">
        <f t="shared" si="1"/>
        <v>556041</v>
      </c>
      <c r="U27" s="160">
        <v>556041</v>
      </c>
    </row>
    <row r="28" spans="1:21" x14ac:dyDescent="0.35">
      <c r="A28" s="323" t="s">
        <v>368</v>
      </c>
      <c r="B28" s="167" t="s">
        <v>225</v>
      </c>
      <c r="C28" s="168">
        <v>557846</v>
      </c>
      <c r="D28" s="168">
        <v>131010</v>
      </c>
      <c r="E28" s="168">
        <v>32928</v>
      </c>
      <c r="F28" s="168">
        <v>70150</v>
      </c>
      <c r="G28" s="168">
        <v>6933</v>
      </c>
      <c r="H28" s="168">
        <v>0</v>
      </c>
      <c r="I28" s="168">
        <v>27882</v>
      </c>
      <c r="J28" s="168">
        <v>119377</v>
      </c>
      <c r="K28" s="168">
        <v>0</v>
      </c>
      <c r="L28" s="165">
        <f t="shared" si="0"/>
        <v>946126</v>
      </c>
      <c r="M28" s="168">
        <v>69801</v>
      </c>
      <c r="N28" s="168">
        <v>0</v>
      </c>
      <c r="O28" s="168">
        <v>3297</v>
      </c>
      <c r="P28" s="168">
        <v>0</v>
      </c>
      <c r="Q28" s="168">
        <v>0</v>
      </c>
      <c r="R28" s="165">
        <f t="shared" si="2"/>
        <v>73098</v>
      </c>
      <c r="S28" s="166">
        <f t="shared" si="3"/>
        <v>873028</v>
      </c>
      <c r="T28" s="317">
        <f t="shared" si="1"/>
        <v>826749</v>
      </c>
      <c r="U28" s="160">
        <v>826749</v>
      </c>
    </row>
    <row r="29" spans="1:21" x14ac:dyDescent="0.35">
      <c r="A29" s="323" t="s">
        <v>368</v>
      </c>
      <c r="B29" s="167" t="s">
        <v>359</v>
      </c>
      <c r="C29" s="168">
        <v>28000</v>
      </c>
      <c r="D29" s="168">
        <v>10000</v>
      </c>
      <c r="E29" s="168">
        <v>3200</v>
      </c>
      <c r="F29" s="168">
        <v>10000</v>
      </c>
      <c r="G29" s="168">
        <v>800</v>
      </c>
      <c r="H29" s="168">
        <v>0</v>
      </c>
      <c r="I29" s="168">
        <v>1367</v>
      </c>
      <c r="J29" s="168">
        <v>1227</v>
      </c>
      <c r="K29" s="168">
        <v>0</v>
      </c>
      <c r="L29" s="165">
        <f t="shared" si="0"/>
        <v>54594</v>
      </c>
      <c r="M29" s="168">
        <v>3600</v>
      </c>
      <c r="N29" s="168">
        <v>0</v>
      </c>
      <c r="O29" s="168">
        <v>0</v>
      </c>
      <c r="P29" s="168">
        <v>0</v>
      </c>
      <c r="Q29" s="168">
        <v>0</v>
      </c>
      <c r="R29" s="165">
        <f t="shared" si="2"/>
        <v>3600</v>
      </c>
      <c r="S29" s="166">
        <f t="shared" si="3"/>
        <v>50994</v>
      </c>
      <c r="T29" s="317">
        <f t="shared" si="1"/>
        <v>53367</v>
      </c>
      <c r="U29" s="160">
        <v>53367</v>
      </c>
    </row>
    <row r="30" spans="1:21" x14ac:dyDescent="0.35">
      <c r="A30" s="323" t="s">
        <v>368</v>
      </c>
      <c r="B30" s="167" t="s">
        <v>360</v>
      </c>
      <c r="C30" s="168">
        <v>15000</v>
      </c>
      <c r="D30" s="168">
        <v>7500</v>
      </c>
      <c r="E30" s="168">
        <v>1600</v>
      </c>
      <c r="F30" s="168">
        <v>7500</v>
      </c>
      <c r="G30" s="168">
        <v>400</v>
      </c>
      <c r="H30" s="168">
        <v>0</v>
      </c>
      <c r="I30" s="168">
        <v>3000</v>
      </c>
      <c r="J30" s="168">
        <v>2278</v>
      </c>
      <c r="K30" s="168">
        <v>0</v>
      </c>
      <c r="L30" s="165">
        <f t="shared" si="0"/>
        <v>37278</v>
      </c>
      <c r="M30" s="168">
        <v>1800</v>
      </c>
      <c r="N30" s="168">
        <v>0</v>
      </c>
      <c r="O30" s="168">
        <v>0</v>
      </c>
      <c r="P30" s="168">
        <v>0</v>
      </c>
      <c r="Q30" s="168">
        <v>0</v>
      </c>
      <c r="R30" s="165">
        <f t="shared" si="2"/>
        <v>1800</v>
      </c>
      <c r="S30" s="166">
        <f t="shared" si="3"/>
        <v>35478</v>
      </c>
      <c r="T30" s="317">
        <f t="shared" si="1"/>
        <v>35000</v>
      </c>
      <c r="U30" s="160">
        <v>35000</v>
      </c>
    </row>
    <row r="31" spans="1:21" x14ac:dyDescent="0.35">
      <c r="A31" s="323" t="s">
        <v>368</v>
      </c>
      <c r="B31" s="167" t="s">
        <v>219</v>
      </c>
      <c r="C31" s="168">
        <v>420434</v>
      </c>
      <c r="D31" s="168">
        <v>79435</v>
      </c>
      <c r="E31" s="168">
        <v>19833</v>
      </c>
      <c r="F31" s="168">
        <v>48817</v>
      </c>
      <c r="G31" s="168">
        <v>4346</v>
      </c>
      <c r="H31" s="168">
        <v>0</v>
      </c>
      <c r="I31" s="168">
        <v>12064</v>
      </c>
      <c r="J31" s="168">
        <v>91965</v>
      </c>
      <c r="K31" s="168">
        <v>0</v>
      </c>
      <c r="L31" s="165">
        <f t="shared" si="0"/>
        <v>676894</v>
      </c>
      <c r="M31" s="168">
        <v>53060</v>
      </c>
      <c r="N31" s="168">
        <v>0</v>
      </c>
      <c r="O31" s="168">
        <v>2517</v>
      </c>
      <c r="P31" s="168">
        <v>0</v>
      </c>
      <c r="Q31" s="168">
        <v>0</v>
      </c>
      <c r="R31" s="165">
        <f t="shared" si="2"/>
        <v>55577</v>
      </c>
      <c r="S31" s="166">
        <f t="shared" si="3"/>
        <v>621317</v>
      </c>
      <c r="T31" s="317">
        <f t="shared" si="1"/>
        <v>584929</v>
      </c>
      <c r="U31" s="160">
        <v>584929</v>
      </c>
    </row>
    <row r="32" spans="1:21" x14ac:dyDescent="0.35">
      <c r="A32" s="323" t="s">
        <v>368</v>
      </c>
      <c r="B32" s="167" t="s">
        <v>361</v>
      </c>
      <c r="C32" s="168">
        <v>78000</v>
      </c>
      <c r="D32" s="168">
        <v>33000</v>
      </c>
      <c r="E32" s="168">
        <v>6700</v>
      </c>
      <c r="F32" s="168">
        <v>33000</v>
      </c>
      <c r="G32" s="168">
        <v>1800</v>
      </c>
      <c r="H32" s="168">
        <v>0</v>
      </c>
      <c r="I32" s="168">
        <v>18700</v>
      </c>
      <c r="J32" s="168">
        <v>13699</v>
      </c>
      <c r="K32" s="168">
        <v>0</v>
      </c>
      <c r="L32" s="165">
        <f t="shared" si="0"/>
        <v>184899</v>
      </c>
      <c r="M32" s="168">
        <v>5400</v>
      </c>
      <c r="N32" s="168">
        <v>13952</v>
      </c>
      <c r="O32" s="168">
        <v>0</v>
      </c>
      <c r="P32" s="168">
        <v>0</v>
      </c>
      <c r="Q32" s="168">
        <v>0</v>
      </c>
      <c r="R32" s="165">
        <f t="shared" si="2"/>
        <v>19352</v>
      </c>
      <c r="S32" s="166">
        <f t="shared" si="3"/>
        <v>165547</v>
      </c>
      <c r="T32" s="317">
        <f t="shared" si="1"/>
        <v>171200</v>
      </c>
      <c r="U32" s="160">
        <v>171200</v>
      </c>
    </row>
    <row r="33" spans="1:21" x14ac:dyDescent="0.35">
      <c r="A33" s="323" t="s">
        <v>368</v>
      </c>
      <c r="B33" s="167" t="s">
        <v>362</v>
      </c>
      <c r="C33" s="168">
        <v>28000</v>
      </c>
      <c r="D33" s="168">
        <v>13000</v>
      </c>
      <c r="E33" s="168">
        <v>1600</v>
      </c>
      <c r="F33" s="168">
        <v>6500</v>
      </c>
      <c r="G33" s="168">
        <v>800</v>
      </c>
      <c r="H33" s="168">
        <v>0</v>
      </c>
      <c r="I33" s="168">
        <v>436</v>
      </c>
      <c r="J33" s="168">
        <v>2104</v>
      </c>
      <c r="K33" s="168">
        <v>0</v>
      </c>
      <c r="L33" s="165">
        <f t="shared" si="0"/>
        <v>52440</v>
      </c>
      <c r="M33" s="168">
        <v>3460</v>
      </c>
      <c r="N33" s="168">
        <v>0</v>
      </c>
      <c r="O33" s="168">
        <v>153</v>
      </c>
      <c r="P33" s="168">
        <v>0</v>
      </c>
      <c r="Q33" s="168">
        <v>0</v>
      </c>
      <c r="R33" s="165">
        <f t="shared" si="2"/>
        <v>3613</v>
      </c>
      <c r="S33" s="166">
        <f t="shared" si="3"/>
        <v>48827</v>
      </c>
      <c r="T33" s="317">
        <f t="shared" si="1"/>
        <v>50336</v>
      </c>
      <c r="U33" s="160">
        <v>50336</v>
      </c>
    </row>
    <row r="34" spans="1:21" x14ac:dyDescent="0.35">
      <c r="A34" s="323" t="s">
        <v>368</v>
      </c>
      <c r="B34" s="167" t="s">
        <v>369</v>
      </c>
      <c r="C34" s="168">
        <v>23000</v>
      </c>
      <c r="D34" s="168">
        <v>11500</v>
      </c>
      <c r="E34" s="168">
        <v>2500</v>
      </c>
      <c r="F34" s="168">
        <v>11500</v>
      </c>
      <c r="G34" s="168">
        <v>600</v>
      </c>
      <c r="H34" s="168">
        <v>0</v>
      </c>
      <c r="I34" s="168">
        <v>7434</v>
      </c>
      <c r="J34" s="168">
        <v>0</v>
      </c>
      <c r="K34" s="168">
        <v>0</v>
      </c>
      <c r="L34" s="165">
        <f t="shared" si="0"/>
        <v>56534</v>
      </c>
      <c r="M34" s="168">
        <v>1800</v>
      </c>
      <c r="N34" s="168">
        <v>0</v>
      </c>
      <c r="O34" s="168">
        <v>0</v>
      </c>
      <c r="P34" s="168">
        <v>0</v>
      </c>
      <c r="Q34" s="168">
        <v>0</v>
      </c>
      <c r="R34" s="165">
        <f t="shared" si="2"/>
        <v>1800</v>
      </c>
      <c r="S34" s="166">
        <f t="shared" si="3"/>
        <v>54734</v>
      </c>
      <c r="T34" s="317">
        <f t="shared" si="1"/>
        <v>56534</v>
      </c>
      <c r="U34" s="160">
        <v>56534</v>
      </c>
    </row>
    <row r="35" spans="1:21" ht="29" x14ac:dyDescent="0.35">
      <c r="A35" s="323" t="s">
        <v>370</v>
      </c>
      <c r="B35" s="167" t="s">
        <v>224</v>
      </c>
      <c r="C35" s="168">
        <v>448500</v>
      </c>
      <c r="D35" s="168">
        <v>88300</v>
      </c>
      <c r="E35" s="168">
        <v>12500</v>
      </c>
      <c r="F35" s="168">
        <v>24500</v>
      </c>
      <c r="G35" s="168">
        <v>3380</v>
      </c>
      <c r="H35" s="168">
        <v>0</v>
      </c>
      <c r="I35" s="168">
        <v>16535</v>
      </c>
      <c r="J35" s="168">
        <v>122095</v>
      </c>
      <c r="K35" s="168">
        <v>0</v>
      </c>
      <c r="L35" s="165">
        <f t="shared" si="0"/>
        <v>715810</v>
      </c>
      <c r="M35" s="168">
        <v>53506</v>
      </c>
      <c r="N35" s="168">
        <v>0</v>
      </c>
      <c r="O35" s="168">
        <v>2588</v>
      </c>
      <c r="P35" s="168">
        <v>5800</v>
      </c>
      <c r="Q35" s="168">
        <v>0</v>
      </c>
      <c r="R35" s="165">
        <f t="shared" si="2"/>
        <v>61894</v>
      </c>
      <c r="S35" s="166">
        <f t="shared" si="3"/>
        <v>653916</v>
      </c>
      <c r="T35" s="317">
        <f t="shared" si="1"/>
        <v>593715</v>
      </c>
      <c r="U35" s="160">
        <v>593715</v>
      </c>
    </row>
    <row r="36" spans="1:21" ht="29" x14ac:dyDescent="0.35">
      <c r="A36" s="323" t="s">
        <v>370</v>
      </c>
      <c r="B36" s="167" t="s">
        <v>365</v>
      </c>
      <c r="C36" s="168">
        <v>313000</v>
      </c>
      <c r="D36" s="168">
        <v>68300</v>
      </c>
      <c r="E36" s="168">
        <v>12747</v>
      </c>
      <c r="F36" s="168">
        <v>29900</v>
      </c>
      <c r="G36" s="168">
        <v>4186</v>
      </c>
      <c r="H36" s="168">
        <v>0</v>
      </c>
      <c r="I36" s="168">
        <v>14893</v>
      </c>
      <c r="J36" s="168">
        <v>141014</v>
      </c>
      <c r="K36" s="168">
        <v>0</v>
      </c>
      <c r="L36" s="165">
        <f t="shared" ref="L36:L67" si="4">SUM(C36:K36)</f>
        <v>584040</v>
      </c>
      <c r="M36" s="168">
        <v>37560</v>
      </c>
      <c r="N36" s="168">
        <v>0</v>
      </c>
      <c r="O36" s="168">
        <v>1427</v>
      </c>
      <c r="P36" s="168">
        <v>4200</v>
      </c>
      <c r="Q36" s="168">
        <v>0</v>
      </c>
      <c r="R36" s="165">
        <f t="shared" si="2"/>
        <v>43187</v>
      </c>
      <c r="S36" s="166">
        <f t="shared" si="3"/>
        <v>540853</v>
      </c>
      <c r="T36" s="317">
        <f t="shared" ref="T36:T67" si="5">L36-J36</f>
        <v>443026</v>
      </c>
      <c r="U36" s="160">
        <v>443026</v>
      </c>
    </row>
    <row r="37" spans="1:21" ht="29" x14ac:dyDescent="0.35">
      <c r="A37" s="323" t="s">
        <v>370</v>
      </c>
      <c r="B37" s="167" t="s">
        <v>359</v>
      </c>
      <c r="C37" s="168">
        <v>15000</v>
      </c>
      <c r="D37" s="168">
        <v>7000</v>
      </c>
      <c r="E37" s="168">
        <v>1600</v>
      </c>
      <c r="F37" s="168">
        <v>0</v>
      </c>
      <c r="G37" s="168">
        <v>400</v>
      </c>
      <c r="H37" s="168">
        <v>0</v>
      </c>
      <c r="I37" s="168">
        <v>917</v>
      </c>
      <c r="J37" s="168">
        <v>2020</v>
      </c>
      <c r="K37" s="168">
        <v>0</v>
      </c>
      <c r="L37" s="165">
        <f t="shared" si="4"/>
        <v>26937</v>
      </c>
      <c r="M37" s="168">
        <v>1800</v>
      </c>
      <c r="N37" s="168">
        <v>0</v>
      </c>
      <c r="O37" s="168">
        <v>0</v>
      </c>
      <c r="P37" s="168">
        <v>200</v>
      </c>
      <c r="Q37" s="168">
        <v>0</v>
      </c>
      <c r="R37" s="165">
        <f t="shared" si="2"/>
        <v>2000</v>
      </c>
      <c r="S37" s="166">
        <f t="shared" si="3"/>
        <v>24937</v>
      </c>
      <c r="T37" s="317">
        <f t="shared" si="5"/>
        <v>24917</v>
      </c>
      <c r="U37" s="160">
        <v>24917</v>
      </c>
    </row>
    <row r="38" spans="1:21" ht="29" x14ac:dyDescent="0.35">
      <c r="A38" s="323" t="s">
        <v>370</v>
      </c>
      <c r="B38" s="167" t="s">
        <v>360</v>
      </c>
      <c r="C38" s="168">
        <v>16500</v>
      </c>
      <c r="D38" s="168">
        <v>8250</v>
      </c>
      <c r="E38" s="168">
        <v>1600</v>
      </c>
      <c r="F38" s="168">
        <v>8250</v>
      </c>
      <c r="G38" s="168">
        <v>400</v>
      </c>
      <c r="H38" s="168">
        <v>0</v>
      </c>
      <c r="I38" s="168">
        <v>3617</v>
      </c>
      <c r="J38" s="168">
        <v>1987</v>
      </c>
      <c r="K38" s="168">
        <v>0</v>
      </c>
      <c r="L38" s="165">
        <f t="shared" si="4"/>
        <v>40604</v>
      </c>
      <c r="M38" s="168">
        <v>1800</v>
      </c>
      <c r="N38" s="168">
        <v>0</v>
      </c>
      <c r="O38" s="168">
        <v>0</v>
      </c>
      <c r="P38" s="168">
        <v>200</v>
      </c>
      <c r="Q38" s="168">
        <v>0</v>
      </c>
      <c r="R38" s="165">
        <f t="shared" si="2"/>
        <v>2000</v>
      </c>
      <c r="S38" s="166">
        <f t="shared" si="3"/>
        <v>38604</v>
      </c>
      <c r="T38" s="317">
        <f t="shared" si="5"/>
        <v>38617</v>
      </c>
      <c r="U38" s="160">
        <v>38617</v>
      </c>
    </row>
    <row r="39" spans="1:21" ht="29" x14ac:dyDescent="0.35">
      <c r="A39" s="323" t="s">
        <v>370</v>
      </c>
      <c r="B39" s="167" t="s">
        <v>227</v>
      </c>
      <c r="C39" s="168">
        <v>30000</v>
      </c>
      <c r="D39" s="168">
        <v>5750</v>
      </c>
      <c r="E39" s="168">
        <v>0</v>
      </c>
      <c r="F39" s="168">
        <v>0</v>
      </c>
      <c r="G39" s="168">
        <v>200</v>
      </c>
      <c r="H39" s="168">
        <v>0</v>
      </c>
      <c r="I39" s="168">
        <v>1500</v>
      </c>
      <c r="J39" s="168">
        <v>0</v>
      </c>
      <c r="K39" s="168">
        <v>0</v>
      </c>
      <c r="L39" s="165">
        <f t="shared" si="4"/>
        <v>37450</v>
      </c>
      <c r="M39" s="168">
        <v>3600</v>
      </c>
      <c r="N39" s="168">
        <v>0</v>
      </c>
      <c r="O39" s="168">
        <v>119</v>
      </c>
      <c r="P39" s="168">
        <v>400</v>
      </c>
      <c r="Q39" s="168">
        <v>0</v>
      </c>
      <c r="R39" s="165">
        <f t="shared" si="2"/>
        <v>4119</v>
      </c>
      <c r="S39" s="166">
        <f t="shared" si="3"/>
        <v>33331</v>
      </c>
      <c r="T39" s="317">
        <f t="shared" si="5"/>
        <v>37450</v>
      </c>
      <c r="U39" s="160">
        <v>37450</v>
      </c>
    </row>
    <row r="40" spans="1:21" ht="29" x14ac:dyDescent="0.35">
      <c r="A40" s="323" t="s">
        <v>370</v>
      </c>
      <c r="B40" s="167" t="s">
        <v>219</v>
      </c>
      <c r="C40" s="168">
        <v>472833</v>
      </c>
      <c r="D40" s="168">
        <v>104375</v>
      </c>
      <c r="E40" s="168">
        <v>21040</v>
      </c>
      <c r="F40" s="168">
        <v>72300</v>
      </c>
      <c r="G40" s="168">
        <v>5487</v>
      </c>
      <c r="H40" s="168">
        <v>0</v>
      </c>
      <c r="I40" s="168">
        <v>38898</v>
      </c>
      <c r="J40" s="168">
        <v>169023</v>
      </c>
      <c r="K40" s="168">
        <v>0</v>
      </c>
      <c r="L40" s="165">
        <f t="shared" si="4"/>
        <v>883956</v>
      </c>
      <c r="M40" s="168">
        <v>54026</v>
      </c>
      <c r="N40" s="168">
        <v>8602</v>
      </c>
      <c r="O40" s="168">
        <v>2086</v>
      </c>
      <c r="P40" s="168">
        <v>5175</v>
      </c>
      <c r="Q40" s="168">
        <v>0</v>
      </c>
      <c r="R40" s="165">
        <f t="shared" si="2"/>
        <v>69889</v>
      </c>
      <c r="S40" s="166">
        <f t="shared" si="3"/>
        <v>814067</v>
      </c>
      <c r="T40" s="317">
        <f t="shared" si="5"/>
        <v>714933</v>
      </c>
      <c r="U40" s="160">
        <v>714933</v>
      </c>
    </row>
    <row r="41" spans="1:21" ht="29" x14ac:dyDescent="0.35">
      <c r="A41" s="323" t="s">
        <v>370</v>
      </c>
      <c r="B41" s="167" t="s">
        <v>362</v>
      </c>
      <c r="C41" s="168">
        <v>15000</v>
      </c>
      <c r="D41" s="168">
        <v>7500</v>
      </c>
      <c r="E41" s="168">
        <v>1600</v>
      </c>
      <c r="F41" s="168">
        <v>7500</v>
      </c>
      <c r="G41" s="168">
        <v>400</v>
      </c>
      <c r="H41" s="168">
        <v>0</v>
      </c>
      <c r="I41" s="168">
        <v>0</v>
      </c>
      <c r="J41" s="168">
        <v>2983</v>
      </c>
      <c r="K41" s="168">
        <v>0</v>
      </c>
      <c r="L41" s="165">
        <f t="shared" si="4"/>
        <v>34983</v>
      </c>
      <c r="M41" s="168">
        <v>1800</v>
      </c>
      <c r="N41" s="168">
        <v>0</v>
      </c>
      <c r="O41" s="168">
        <v>0</v>
      </c>
      <c r="P41" s="168">
        <v>200</v>
      </c>
      <c r="Q41" s="168">
        <v>0</v>
      </c>
      <c r="R41" s="165">
        <f t="shared" si="2"/>
        <v>2000</v>
      </c>
      <c r="S41" s="166">
        <f t="shared" si="3"/>
        <v>32983</v>
      </c>
      <c r="T41" s="317">
        <f t="shared" si="5"/>
        <v>32000</v>
      </c>
      <c r="U41" s="160">
        <v>32000</v>
      </c>
    </row>
    <row r="42" spans="1:21" ht="43.5" x14ac:dyDescent="0.35">
      <c r="A42" s="323" t="s">
        <v>371</v>
      </c>
      <c r="B42" s="167" t="s">
        <v>372</v>
      </c>
      <c r="C42" s="168">
        <v>57500</v>
      </c>
      <c r="D42" s="168">
        <v>28750</v>
      </c>
      <c r="E42" s="168">
        <v>5000</v>
      </c>
      <c r="F42" s="168">
        <v>28750</v>
      </c>
      <c r="G42" s="168">
        <v>1000</v>
      </c>
      <c r="H42" s="168">
        <v>0</v>
      </c>
      <c r="I42" s="168">
        <v>21817</v>
      </c>
      <c r="J42" s="168">
        <v>73748</v>
      </c>
      <c r="K42" s="168">
        <v>0</v>
      </c>
      <c r="L42" s="165">
        <f t="shared" si="4"/>
        <v>216565</v>
      </c>
      <c r="M42" s="168">
        <v>3600</v>
      </c>
      <c r="N42" s="168">
        <v>13890</v>
      </c>
      <c r="O42" s="168">
        <v>0</v>
      </c>
      <c r="P42" s="168">
        <v>400</v>
      </c>
      <c r="Q42" s="168">
        <v>0</v>
      </c>
      <c r="R42" s="165">
        <f t="shared" si="2"/>
        <v>17890</v>
      </c>
      <c r="S42" s="166">
        <f t="shared" si="3"/>
        <v>198675</v>
      </c>
      <c r="T42" s="317">
        <f t="shared" si="5"/>
        <v>142817</v>
      </c>
      <c r="U42" s="160">
        <v>142817</v>
      </c>
    </row>
    <row r="43" spans="1:21" ht="43.5" x14ac:dyDescent="0.35">
      <c r="A43" s="323" t="s">
        <v>371</v>
      </c>
      <c r="B43" s="167" t="s">
        <v>359</v>
      </c>
      <c r="C43" s="168">
        <v>445000</v>
      </c>
      <c r="D43" s="168">
        <v>211750</v>
      </c>
      <c r="E43" s="168">
        <v>22700</v>
      </c>
      <c r="F43" s="168">
        <v>196000</v>
      </c>
      <c r="G43" s="168">
        <v>6200</v>
      </c>
      <c r="H43" s="168">
        <v>22500</v>
      </c>
      <c r="I43" s="168">
        <v>131120</v>
      </c>
      <c r="J43" s="168">
        <v>54528</v>
      </c>
      <c r="K43" s="168">
        <v>0</v>
      </c>
      <c r="L43" s="165">
        <f t="shared" si="4"/>
        <v>1089798</v>
      </c>
      <c r="M43" s="168">
        <v>21600</v>
      </c>
      <c r="N43" s="168">
        <v>126309</v>
      </c>
      <c r="O43" s="168">
        <v>0</v>
      </c>
      <c r="P43" s="168">
        <v>2400</v>
      </c>
      <c r="Q43" s="168">
        <v>0</v>
      </c>
      <c r="R43" s="165">
        <f t="shared" si="2"/>
        <v>150309</v>
      </c>
      <c r="S43" s="166">
        <f t="shared" si="3"/>
        <v>939489</v>
      </c>
      <c r="T43" s="317">
        <f t="shared" si="5"/>
        <v>1035270</v>
      </c>
      <c r="U43" s="160">
        <v>1035270</v>
      </c>
    </row>
    <row r="44" spans="1:21" ht="43.5" x14ac:dyDescent="0.35">
      <c r="A44" s="323" t="s">
        <v>371</v>
      </c>
      <c r="B44" s="167" t="s">
        <v>373</v>
      </c>
      <c r="C44" s="168">
        <v>90000</v>
      </c>
      <c r="D44" s="168">
        <v>45000</v>
      </c>
      <c r="E44" s="168">
        <v>0</v>
      </c>
      <c r="F44" s="168">
        <v>45000</v>
      </c>
      <c r="G44" s="168">
        <v>1000</v>
      </c>
      <c r="H44" s="168">
        <v>15000</v>
      </c>
      <c r="I44" s="168">
        <v>27200</v>
      </c>
      <c r="J44" s="168">
        <v>0</v>
      </c>
      <c r="K44" s="168">
        <v>0</v>
      </c>
      <c r="L44" s="165">
        <f t="shared" si="4"/>
        <v>223200</v>
      </c>
      <c r="M44" s="168">
        <v>1800</v>
      </c>
      <c r="N44" s="168">
        <v>34031</v>
      </c>
      <c r="O44" s="168">
        <v>0</v>
      </c>
      <c r="P44" s="168">
        <v>200</v>
      </c>
      <c r="Q44" s="168">
        <v>0</v>
      </c>
      <c r="R44" s="165">
        <f t="shared" si="2"/>
        <v>36031</v>
      </c>
      <c r="S44" s="166">
        <f t="shared" si="3"/>
        <v>187169</v>
      </c>
      <c r="T44" s="317">
        <f t="shared" si="5"/>
        <v>223200</v>
      </c>
      <c r="U44" s="160">
        <v>223200</v>
      </c>
    </row>
    <row r="45" spans="1:21" ht="43.5" x14ac:dyDescent="0.35">
      <c r="A45" s="323" t="s">
        <v>371</v>
      </c>
      <c r="B45" s="167" t="s">
        <v>366</v>
      </c>
      <c r="C45" s="168">
        <v>80000</v>
      </c>
      <c r="D45" s="168">
        <v>40000</v>
      </c>
      <c r="E45" s="168">
        <v>3500</v>
      </c>
      <c r="F45" s="168">
        <v>40000</v>
      </c>
      <c r="G45" s="168">
        <v>1000</v>
      </c>
      <c r="H45" s="168">
        <v>0</v>
      </c>
      <c r="I45" s="168">
        <v>33700</v>
      </c>
      <c r="J45" s="168">
        <v>1524</v>
      </c>
      <c r="K45" s="168">
        <v>0</v>
      </c>
      <c r="L45" s="165">
        <f t="shared" si="4"/>
        <v>199724</v>
      </c>
      <c r="M45" s="168">
        <v>1800</v>
      </c>
      <c r="N45" s="168">
        <v>35013</v>
      </c>
      <c r="O45" s="168">
        <v>0</v>
      </c>
      <c r="P45" s="168">
        <v>200</v>
      </c>
      <c r="Q45" s="168">
        <v>0</v>
      </c>
      <c r="R45" s="165">
        <f t="shared" si="2"/>
        <v>37013</v>
      </c>
      <c r="S45" s="166">
        <f t="shared" si="3"/>
        <v>162711</v>
      </c>
      <c r="T45" s="317">
        <f t="shared" si="5"/>
        <v>198200</v>
      </c>
      <c r="U45" s="160">
        <v>198200</v>
      </c>
    </row>
    <row r="46" spans="1:21" ht="43.5" x14ac:dyDescent="0.35">
      <c r="A46" s="323" t="s">
        <v>371</v>
      </c>
      <c r="B46" s="167" t="s">
        <v>360</v>
      </c>
      <c r="C46" s="168">
        <v>94667</v>
      </c>
      <c r="D46" s="168">
        <v>47333</v>
      </c>
      <c r="E46" s="168">
        <v>3000</v>
      </c>
      <c r="F46" s="168">
        <v>47333</v>
      </c>
      <c r="G46" s="168">
        <v>1133</v>
      </c>
      <c r="H46" s="168">
        <v>8000</v>
      </c>
      <c r="I46" s="168">
        <v>43809</v>
      </c>
      <c r="J46" s="168">
        <v>21990</v>
      </c>
      <c r="K46" s="168">
        <v>0</v>
      </c>
      <c r="L46" s="165">
        <f t="shared" si="4"/>
        <v>267265</v>
      </c>
      <c r="M46" s="168">
        <v>6120</v>
      </c>
      <c r="N46" s="168">
        <v>76497</v>
      </c>
      <c r="O46" s="168">
        <v>0</v>
      </c>
      <c r="P46" s="168">
        <v>400</v>
      </c>
      <c r="Q46" s="168">
        <v>0</v>
      </c>
      <c r="R46" s="165">
        <f t="shared" si="2"/>
        <v>83017</v>
      </c>
      <c r="S46" s="166">
        <f t="shared" si="3"/>
        <v>184248</v>
      </c>
      <c r="T46" s="317">
        <f t="shared" si="5"/>
        <v>245275</v>
      </c>
      <c r="U46" s="160">
        <v>245275</v>
      </c>
    </row>
    <row r="47" spans="1:21" ht="43.5" x14ac:dyDescent="0.35">
      <c r="A47" s="323" t="s">
        <v>371</v>
      </c>
      <c r="B47" s="167" t="s">
        <v>374</v>
      </c>
      <c r="C47" s="168">
        <v>60000</v>
      </c>
      <c r="D47" s="168">
        <v>30000</v>
      </c>
      <c r="E47" s="168">
        <v>3500</v>
      </c>
      <c r="F47" s="168">
        <v>30000</v>
      </c>
      <c r="G47" s="168">
        <v>1000</v>
      </c>
      <c r="H47" s="168">
        <v>0</v>
      </c>
      <c r="I47" s="168">
        <v>23700</v>
      </c>
      <c r="J47" s="168">
        <v>36874</v>
      </c>
      <c r="K47" s="168">
        <v>0</v>
      </c>
      <c r="L47" s="165">
        <f t="shared" si="4"/>
        <v>185074</v>
      </c>
      <c r="M47" s="168">
        <v>1800</v>
      </c>
      <c r="N47" s="168">
        <v>30442</v>
      </c>
      <c r="O47" s="168">
        <v>0</v>
      </c>
      <c r="P47" s="168">
        <v>200</v>
      </c>
      <c r="Q47" s="168">
        <v>0</v>
      </c>
      <c r="R47" s="165">
        <f t="shared" si="2"/>
        <v>32442</v>
      </c>
      <c r="S47" s="166">
        <f t="shared" si="3"/>
        <v>152632</v>
      </c>
      <c r="T47" s="317">
        <f t="shared" si="5"/>
        <v>148200</v>
      </c>
      <c r="U47" s="160">
        <v>148200</v>
      </c>
    </row>
    <row r="48" spans="1:21" ht="43.5" x14ac:dyDescent="0.35">
      <c r="A48" s="323" t="s">
        <v>371</v>
      </c>
      <c r="B48" s="167" t="s">
        <v>361</v>
      </c>
      <c r="C48" s="168">
        <v>320000</v>
      </c>
      <c r="D48" s="168">
        <v>160000</v>
      </c>
      <c r="E48" s="168">
        <v>7000</v>
      </c>
      <c r="F48" s="168">
        <v>160000</v>
      </c>
      <c r="G48" s="168">
        <v>3000</v>
      </c>
      <c r="H48" s="168">
        <v>22500</v>
      </c>
      <c r="I48" s="168">
        <v>122100</v>
      </c>
      <c r="J48" s="168">
        <v>23360</v>
      </c>
      <c r="K48" s="168">
        <v>0</v>
      </c>
      <c r="L48" s="165">
        <f t="shared" si="4"/>
        <v>817960</v>
      </c>
      <c r="M48" s="168">
        <v>5400</v>
      </c>
      <c r="N48" s="168">
        <v>168850</v>
      </c>
      <c r="O48" s="168">
        <v>0</v>
      </c>
      <c r="P48" s="168">
        <v>600</v>
      </c>
      <c r="Q48" s="168">
        <v>0</v>
      </c>
      <c r="R48" s="165">
        <f t="shared" si="2"/>
        <v>174850</v>
      </c>
      <c r="S48" s="166">
        <f t="shared" si="3"/>
        <v>643110</v>
      </c>
      <c r="T48" s="317">
        <f t="shared" si="5"/>
        <v>794600</v>
      </c>
      <c r="U48" s="160">
        <v>794600</v>
      </c>
    </row>
    <row r="49" spans="1:21" ht="43.5" x14ac:dyDescent="0.35">
      <c r="A49" s="323" t="s">
        <v>371</v>
      </c>
      <c r="B49" s="167" t="s">
        <v>362</v>
      </c>
      <c r="C49" s="168">
        <v>26000</v>
      </c>
      <c r="D49" s="168">
        <v>13000</v>
      </c>
      <c r="E49" s="168">
        <v>2500</v>
      </c>
      <c r="F49" s="168">
        <v>13000</v>
      </c>
      <c r="G49" s="168">
        <v>600</v>
      </c>
      <c r="H49" s="168">
        <v>0</v>
      </c>
      <c r="I49" s="168">
        <v>9767</v>
      </c>
      <c r="J49" s="168">
        <v>15853</v>
      </c>
      <c r="K49" s="168">
        <v>0</v>
      </c>
      <c r="L49" s="165">
        <f t="shared" si="4"/>
        <v>80720</v>
      </c>
      <c r="M49" s="168">
        <v>1800</v>
      </c>
      <c r="N49" s="168">
        <v>4061</v>
      </c>
      <c r="O49" s="168">
        <v>0</v>
      </c>
      <c r="P49" s="168">
        <v>200</v>
      </c>
      <c r="Q49" s="168">
        <v>0</v>
      </c>
      <c r="R49" s="165">
        <f t="shared" si="2"/>
        <v>6061</v>
      </c>
      <c r="S49" s="166">
        <f t="shared" si="3"/>
        <v>74659</v>
      </c>
      <c r="T49" s="317">
        <f t="shared" si="5"/>
        <v>64867</v>
      </c>
      <c r="U49" s="160">
        <v>64867</v>
      </c>
    </row>
    <row r="50" spans="1:21" ht="43.5" x14ac:dyDescent="0.35">
      <c r="A50" s="323" t="s">
        <v>371</v>
      </c>
      <c r="B50" s="167" t="s">
        <v>369</v>
      </c>
      <c r="C50" s="168">
        <v>80000</v>
      </c>
      <c r="D50" s="168">
        <v>40000</v>
      </c>
      <c r="E50" s="168">
        <v>0</v>
      </c>
      <c r="F50" s="168">
        <v>40000</v>
      </c>
      <c r="G50" s="168">
        <v>1000</v>
      </c>
      <c r="H50" s="168">
        <v>15000</v>
      </c>
      <c r="I50" s="168">
        <v>22200</v>
      </c>
      <c r="J50" s="168">
        <v>0</v>
      </c>
      <c r="K50" s="168">
        <v>0</v>
      </c>
      <c r="L50" s="165">
        <f t="shared" si="4"/>
        <v>198200</v>
      </c>
      <c r="M50" s="168">
        <v>1800</v>
      </c>
      <c r="N50" s="168">
        <v>34538</v>
      </c>
      <c r="O50" s="168">
        <v>0</v>
      </c>
      <c r="P50" s="168">
        <v>200</v>
      </c>
      <c r="Q50" s="168">
        <v>0</v>
      </c>
      <c r="R50" s="165">
        <f t="shared" si="2"/>
        <v>36538</v>
      </c>
      <c r="S50" s="166">
        <f t="shared" si="3"/>
        <v>161662</v>
      </c>
      <c r="T50" s="317">
        <f t="shared" si="5"/>
        <v>198200</v>
      </c>
      <c r="U50" s="160">
        <v>198200</v>
      </c>
    </row>
    <row r="51" spans="1:21" ht="29" x14ac:dyDescent="0.35">
      <c r="A51" s="323" t="s">
        <v>375</v>
      </c>
      <c r="B51" s="167" t="s">
        <v>216</v>
      </c>
      <c r="C51" s="168">
        <v>269879</v>
      </c>
      <c r="D51" s="168">
        <v>45419</v>
      </c>
      <c r="E51" s="168">
        <v>11654</v>
      </c>
      <c r="F51" s="168">
        <v>29799</v>
      </c>
      <c r="G51" s="168">
        <v>2877</v>
      </c>
      <c r="H51" s="168">
        <v>0</v>
      </c>
      <c r="I51" s="168">
        <v>13773</v>
      </c>
      <c r="J51" s="168">
        <v>67245</v>
      </c>
      <c r="K51" s="168">
        <v>0</v>
      </c>
      <c r="L51" s="165">
        <f t="shared" si="4"/>
        <v>440646</v>
      </c>
      <c r="M51" s="168">
        <v>31795</v>
      </c>
      <c r="N51" s="168">
        <v>0</v>
      </c>
      <c r="O51" s="168">
        <v>1283</v>
      </c>
      <c r="P51" s="168">
        <v>3400</v>
      </c>
      <c r="Q51" s="168">
        <v>0</v>
      </c>
      <c r="R51" s="165">
        <f t="shared" si="2"/>
        <v>36478</v>
      </c>
      <c r="S51" s="166">
        <f t="shared" si="3"/>
        <v>404168</v>
      </c>
      <c r="T51" s="317">
        <f t="shared" si="5"/>
        <v>373401</v>
      </c>
      <c r="U51" s="160">
        <v>373401</v>
      </c>
    </row>
    <row r="52" spans="1:21" ht="29" x14ac:dyDescent="0.35">
      <c r="A52" s="323" t="s">
        <v>375</v>
      </c>
      <c r="B52" s="167" t="s">
        <v>217</v>
      </c>
      <c r="C52" s="168">
        <v>279700</v>
      </c>
      <c r="D52" s="168">
        <v>58250</v>
      </c>
      <c r="E52" s="168">
        <v>11300</v>
      </c>
      <c r="F52" s="168">
        <v>42250</v>
      </c>
      <c r="G52" s="168">
        <v>2580</v>
      </c>
      <c r="H52" s="168">
        <v>0</v>
      </c>
      <c r="I52" s="168">
        <v>20627</v>
      </c>
      <c r="J52" s="168">
        <v>71502</v>
      </c>
      <c r="K52" s="168">
        <v>0</v>
      </c>
      <c r="L52" s="165">
        <f t="shared" si="4"/>
        <v>486209</v>
      </c>
      <c r="M52" s="168">
        <v>30360</v>
      </c>
      <c r="N52" s="168">
        <v>4678</v>
      </c>
      <c r="O52" s="168">
        <v>1209</v>
      </c>
      <c r="P52" s="168">
        <v>3400</v>
      </c>
      <c r="Q52" s="168">
        <v>0</v>
      </c>
      <c r="R52" s="165">
        <f t="shared" si="2"/>
        <v>39647</v>
      </c>
      <c r="S52" s="166">
        <f t="shared" si="3"/>
        <v>446562</v>
      </c>
      <c r="T52" s="317">
        <f t="shared" si="5"/>
        <v>414707</v>
      </c>
      <c r="U52" s="160">
        <v>414707</v>
      </c>
    </row>
    <row r="53" spans="1:21" ht="29" x14ac:dyDescent="0.35">
      <c r="A53" s="323" t="s">
        <v>375</v>
      </c>
      <c r="B53" s="167" t="s">
        <v>365</v>
      </c>
      <c r="C53" s="168">
        <v>468970</v>
      </c>
      <c r="D53" s="168">
        <v>97841</v>
      </c>
      <c r="E53" s="168">
        <v>24004</v>
      </c>
      <c r="F53" s="168">
        <v>56357</v>
      </c>
      <c r="G53" s="168">
        <v>4904</v>
      </c>
      <c r="H53" s="168">
        <v>0</v>
      </c>
      <c r="I53" s="168">
        <v>37499</v>
      </c>
      <c r="J53" s="168">
        <v>197560</v>
      </c>
      <c r="K53" s="168">
        <v>0</v>
      </c>
      <c r="L53" s="165">
        <f t="shared" si="4"/>
        <v>887135</v>
      </c>
      <c r="M53" s="168">
        <v>53730</v>
      </c>
      <c r="N53" s="168">
        <v>7834</v>
      </c>
      <c r="O53" s="168">
        <v>2140</v>
      </c>
      <c r="P53" s="168">
        <v>4975</v>
      </c>
      <c r="Q53" s="168">
        <v>0</v>
      </c>
      <c r="R53" s="165">
        <f t="shared" si="2"/>
        <v>68679</v>
      </c>
      <c r="S53" s="166">
        <f t="shared" si="3"/>
        <v>818456</v>
      </c>
      <c r="T53" s="317">
        <f t="shared" si="5"/>
        <v>689575</v>
      </c>
      <c r="U53" s="160">
        <v>689575</v>
      </c>
    </row>
    <row r="54" spans="1:21" ht="29" x14ac:dyDescent="0.35">
      <c r="A54" s="323" t="s">
        <v>375</v>
      </c>
      <c r="B54" s="167" t="s">
        <v>225</v>
      </c>
      <c r="C54" s="168">
        <v>626733</v>
      </c>
      <c r="D54" s="168">
        <v>149538</v>
      </c>
      <c r="E54" s="168">
        <v>23300</v>
      </c>
      <c r="F54" s="168">
        <v>122500</v>
      </c>
      <c r="G54" s="168">
        <v>8000</v>
      </c>
      <c r="H54" s="168">
        <v>0</v>
      </c>
      <c r="I54" s="168">
        <v>65968</v>
      </c>
      <c r="J54" s="168">
        <v>208440</v>
      </c>
      <c r="K54" s="168">
        <v>6000</v>
      </c>
      <c r="L54" s="165">
        <f t="shared" si="4"/>
        <v>1210479</v>
      </c>
      <c r="M54" s="168">
        <v>69689</v>
      </c>
      <c r="N54" s="168">
        <v>19525</v>
      </c>
      <c r="O54" s="168">
        <v>2607</v>
      </c>
      <c r="P54" s="168">
        <v>7775</v>
      </c>
      <c r="Q54" s="168">
        <v>0</v>
      </c>
      <c r="R54" s="165">
        <f t="shared" si="2"/>
        <v>99596</v>
      </c>
      <c r="S54" s="166">
        <f t="shared" si="3"/>
        <v>1110883</v>
      </c>
      <c r="T54" s="317">
        <f t="shared" si="5"/>
        <v>1002039</v>
      </c>
      <c r="U54" s="160">
        <v>1002039</v>
      </c>
    </row>
    <row r="55" spans="1:21" ht="29" x14ac:dyDescent="0.35">
      <c r="A55" s="323" t="s">
        <v>375</v>
      </c>
      <c r="B55" s="167" t="s">
        <v>359</v>
      </c>
      <c r="C55" s="168">
        <v>19000</v>
      </c>
      <c r="D55" s="168">
        <v>9500</v>
      </c>
      <c r="E55" s="168">
        <v>1600</v>
      </c>
      <c r="F55" s="168">
        <v>9500</v>
      </c>
      <c r="G55" s="168">
        <v>400</v>
      </c>
      <c r="H55" s="168">
        <v>0</v>
      </c>
      <c r="I55" s="168">
        <v>5000</v>
      </c>
      <c r="J55" s="168">
        <v>0</v>
      </c>
      <c r="K55" s="168">
        <v>0</v>
      </c>
      <c r="L55" s="165">
        <f t="shared" si="4"/>
        <v>45000</v>
      </c>
      <c r="M55" s="168">
        <v>1800</v>
      </c>
      <c r="N55" s="168">
        <v>0</v>
      </c>
      <c r="O55" s="168">
        <v>0</v>
      </c>
      <c r="P55" s="168">
        <v>200</v>
      </c>
      <c r="Q55" s="168">
        <v>0</v>
      </c>
      <c r="R55" s="165">
        <f t="shared" si="2"/>
        <v>2000</v>
      </c>
      <c r="S55" s="166">
        <f t="shared" si="3"/>
        <v>43000</v>
      </c>
      <c r="T55" s="317">
        <f t="shared" si="5"/>
        <v>45000</v>
      </c>
      <c r="U55" s="160">
        <v>45000</v>
      </c>
    </row>
    <row r="56" spans="1:21" ht="29" x14ac:dyDescent="0.35">
      <c r="A56" s="323" t="s">
        <v>375</v>
      </c>
      <c r="B56" s="167" t="s">
        <v>366</v>
      </c>
      <c r="C56" s="168">
        <v>203283</v>
      </c>
      <c r="D56" s="168">
        <v>31118</v>
      </c>
      <c r="E56" s="168">
        <v>7087</v>
      </c>
      <c r="F56" s="168">
        <v>25800</v>
      </c>
      <c r="G56" s="168">
        <v>1973</v>
      </c>
      <c r="H56" s="168">
        <v>0</v>
      </c>
      <c r="I56" s="168">
        <v>4323</v>
      </c>
      <c r="J56" s="168">
        <v>43922</v>
      </c>
      <c r="K56" s="168">
        <v>0</v>
      </c>
      <c r="L56" s="165">
        <f t="shared" si="4"/>
        <v>317506</v>
      </c>
      <c r="M56" s="168">
        <v>23674</v>
      </c>
      <c r="N56" s="168">
        <v>0</v>
      </c>
      <c r="O56" s="168">
        <v>1233</v>
      </c>
      <c r="P56" s="168">
        <v>2575</v>
      </c>
      <c r="Q56" s="168">
        <v>0</v>
      </c>
      <c r="R56" s="165">
        <f t="shared" si="2"/>
        <v>27482</v>
      </c>
      <c r="S56" s="166">
        <f t="shared" si="3"/>
        <v>290024</v>
      </c>
      <c r="T56" s="317">
        <f t="shared" si="5"/>
        <v>273584</v>
      </c>
      <c r="U56" s="160">
        <v>273584</v>
      </c>
    </row>
    <row r="57" spans="1:21" ht="29" x14ac:dyDescent="0.35">
      <c r="A57" s="323" t="s">
        <v>375</v>
      </c>
      <c r="B57" s="167" t="s">
        <v>360</v>
      </c>
      <c r="C57" s="168">
        <v>21500</v>
      </c>
      <c r="D57" s="168">
        <v>10750</v>
      </c>
      <c r="E57" s="168">
        <v>2000</v>
      </c>
      <c r="F57" s="168">
        <v>10750</v>
      </c>
      <c r="G57" s="168">
        <v>400</v>
      </c>
      <c r="H57" s="168">
        <v>0</v>
      </c>
      <c r="I57" s="168">
        <v>1600</v>
      </c>
      <c r="J57" s="168">
        <v>4576</v>
      </c>
      <c r="K57" s="168">
        <v>0</v>
      </c>
      <c r="L57" s="165">
        <f t="shared" si="4"/>
        <v>51576</v>
      </c>
      <c r="M57" s="168">
        <v>1800</v>
      </c>
      <c r="N57" s="168">
        <v>0</v>
      </c>
      <c r="O57" s="168">
        <v>0</v>
      </c>
      <c r="P57" s="168">
        <v>200</v>
      </c>
      <c r="Q57" s="168">
        <v>0</v>
      </c>
      <c r="R57" s="165">
        <f t="shared" si="2"/>
        <v>2000</v>
      </c>
      <c r="S57" s="166">
        <f t="shared" si="3"/>
        <v>49576</v>
      </c>
      <c r="T57" s="317">
        <f t="shared" si="5"/>
        <v>47000</v>
      </c>
      <c r="U57" s="160">
        <v>47000</v>
      </c>
    </row>
    <row r="58" spans="1:21" ht="29" x14ac:dyDescent="0.35">
      <c r="A58" s="323" t="s">
        <v>375</v>
      </c>
      <c r="B58" s="167" t="s">
        <v>231</v>
      </c>
      <c r="C58" s="168">
        <v>513150</v>
      </c>
      <c r="D58" s="168">
        <v>126520</v>
      </c>
      <c r="E58" s="168">
        <v>21553</v>
      </c>
      <c r="F58" s="168">
        <v>93800</v>
      </c>
      <c r="G58" s="168">
        <v>5430</v>
      </c>
      <c r="H58" s="168">
        <v>0</v>
      </c>
      <c r="I58" s="168">
        <v>65611</v>
      </c>
      <c r="J58" s="168">
        <v>127002</v>
      </c>
      <c r="K58" s="168">
        <v>0</v>
      </c>
      <c r="L58" s="165">
        <f t="shared" si="4"/>
        <v>953066</v>
      </c>
      <c r="M58" s="168">
        <v>51384</v>
      </c>
      <c r="N58" s="168">
        <v>50898</v>
      </c>
      <c r="O58" s="168">
        <v>2083</v>
      </c>
      <c r="P58" s="168">
        <v>5800</v>
      </c>
      <c r="Q58" s="168">
        <v>0</v>
      </c>
      <c r="R58" s="165">
        <f t="shared" si="2"/>
        <v>110165</v>
      </c>
      <c r="S58" s="166">
        <f t="shared" si="3"/>
        <v>842901</v>
      </c>
      <c r="T58" s="317">
        <f t="shared" si="5"/>
        <v>826064</v>
      </c>
      <c r="U58" s="160">
        <v>826064</v>
      </c>
    </row>
    <row r="59" spans="1:21" ht="29" x14ac:dyDescent="0.35">
      <c r="A59" s="323" t="s">
        <v>375</v>
      </c>
      <c r="B59" s="167" t="s">
        <v>232</v>
      </c>
      <c r="C59" s="168">
        <v>250000</v>
      </c>
      <c r="D59" s="168">
        <v>51858</v>
      </c>
      <c r="E59" s="168">
        <v>10154</v>
      </c>
      <c r="F59" s="168">
        <v>28250</v>
      </c>
      <c r="G59" s="168">
        <v>2460</v>
      </c>
      <c r="H59" s="168">
        <v>0</v>
      </c>
      <c r="I59" s="168">
        <v>12392</v>
      </c>
      <c r="J59" s="168">
        <v>70548</v>
      </c>
      <c r="K59" s="168">
        <v>0</v>
      </c>
      <c r="L59" s="165">
        <f t="shared" si="4"/>
        <v>425662</v>
      </c>
      <c r="M59" s="168">
        <v>29769</v>
      </c>
      <c r="N59" s="168">
        <v>0</v>
      </c>
      <c r="O59" s="168">
        <v>1309</v>
      </c>
      <c r="P59" s="168">
        <v>3400</v>
      </c>
      <c r="Q59" s="168">
        <v>0</v>
      </c>
      <c r="R59" s="165">
        <f t="shared" si="2"/>
        <v>34478</v>
      </c>
      <c r="S59" s="166">
        <f t="shared" si="3"/>
        <v>391184</v>
      </c>
      <c r="T59" s="317">
        <f t="shared" si="5"/>
        <v>355114</v>
      </c>
      <c r="U59" s="160">
        <v>355114</v>
      </c>
    </row>
    <row r="60" spans="1:21" ht="29" x14ac:dyDescent="0.35">
      <c r="A60" s="323" t="s">
        <v>375</v>
      </c>
      <c r="B60" s="167" t="s">
        <v>361</v>
      </c>
      <c r="C60" s="168">
        <v>120000</v>
      </c>
      <c r="D60" s="168">
        <v>59500</v>
      </c>
      <c r="E60" s="168">
        <v>6500</v>
      </c>
      <c r="F60" s="168">
        <v>52500</v>
      </c>
      <c r="G60" s="168">
        <v>1800</v>
      </c>
      <c r="H60" s="168">
        <v>0</v>
      </c>
      <c r="I60" s="168">
        <v>45684</v>
      </c>
      <c r="J60" s="168">
        <v>22635</v>
      </c>
      <c r="K60" s="168">
        <v>0</v>
      </c>
      <c r="L60" s="165">
        <f t="shared" si="4"/>
        <v>308619</v>
      </c>
      <c r="M60" s="168">
        <v>5400</v>
      </c>
      <c r="N60" s="168">
        <v>37343</v>
      </c>
      <c r="O60" s="168">
        <v>0</v>
      </c>
      <c r="P60" s="168">
        <v>600</v>
      </c>
      <c r="Q60" s="168">
        <v>0</v>
      </c>
      <c r="R60" s="165">
        <f t="shared" si="2"/>
        <v>43343</v>
      </c>
      <c r="S60" s="166">
        <f t="shared" si="3"/>
        <v>265276</v>
      </c>
      <c r="T60" s="317">
        <f t="shared" si="5"/>
        <v>285984</v>
      </c>
      <c r="U60" s="160">
        <v>285984</v>
      </c>
    </row>
    <row r="61" spans="1:21" ht="29" x14ac:dyDescent="0.35">
      <c r="A61" s="323" t="s">
        <v>375</v>
      </c>
      <c r="B61" s="167" t="s">
        <v>220</v>
      </c>
      <c r="C61" s="168">
        <v>277567</v>
      </c>
      <c r="D61" s="168">
        <v>54842</v>
      </c>
      <c r="E61" s="168">
        <v>12894</v>
      </c>
      <c r="F61" s="168">
        <v>14459</v>
      </c>
      <c r="G61" s="168">
        <v>2686</v>
      </c>
      <c r="H61" s="168">
        <v>0</v>
      </c>
      <c r="I61" s="168">
        <v>8259</v>
      </c>
      <c r="J61" s="168">
        <v>60386</v>
      </c>
      <c r="K61" s="168">
        <v>0</v>
      </c>
      <c r="L61" s="165">
        <f t="shared" si="4"/>
        <v>431093</v>
      </c>
      <c r="M61" s="168">
        <v>33883</v>
      </c>
      <c r="N61" s="168">
        <v>0</v>
      </c>
      <c r="O61" s="168">
        <v>1843</v>
      </c>
      <c r="P61" s="168">
        <v>3800</v>
      </c>
      <c r="Q61" s="168">
        <v>0</v>
      </c>
      <c r="R61" s="165">
        <f t="shared" si="2"/>
        <v>39526</v>
      </c>
      <c r="S61" s="166">
        <f t="shared" si="3"/>
        <v>391567</v>
      </c>
      <c r="T61" s="317">
        <f t="shared" si="5"/>
        <v>370707</v>
      </c>
      <c r="U61" s="160">
        <v>370707</v>
      </c>
    </row>
    <row r="62" spans="1:21" ht="29" x14ac:dyDescent="0.35">
      <c r="A62" s="323" t="s">
        <v>375</v>
      </c>
      <c r="B62" s="167" t="s">
        <v>362</v>
      </c>
      <c r="C62" s="168">
        <v>30000</v>
      </c>
      <c r="D62" s="168">
        <v>11250</v>
      </c>
      <c r="E62" s="168">
        <v>3200</v>
      </c>
      <c r="F62" s="168">
        <v>7000</v>
      </c>
      <c r="G62" s="168">
        <v>800</v>
      </c>
      <c r="H62" s="168">
        <v>0</v>
      </c>
      <c r="I62" s="168">
        <v>2450</v>
      </c>
      <c r="J62" s="168">
        <v>4920</v>
      </c>
      <c r="K62" s="168">
        <v>0</v>
      </c>
      <c r="L62" s="165">
        <f t="shared" si="4"/>
        <v>59620</v>
      </c>
      <c r="M62" s="168">
        <v>3600</v>
      </c>
      <c r="N62" s="168">
        <v>0</v>
      </c>
      <c r="O62" s="168">
        <v>0</v>
      </c>
      <c r="P62" s="168">
        <v>400</v>
      </c>
      <c r="Q62" s="168">
        <v>0</v>
      </c>
      <c r="R62" s="165">
        <f t="shared" si="2"/>
        <v>4000</v>
      </c>
      <c r="S62" s="166">
        <f t="shared" si="3"/>
        <v>55620</v>
      </c>
      <c r="T62" s="317">
        <f t="shared" si="5"/>
        <v>54700</v>
      </c>
      <c r="U62" s="160">
        <v>54700</v>
      </c>
    </row>
    <row r="63" spans="1:21" ht="29" x14ac:dyDescent="0.35">
      <c r="A63" s="323" t="s">
        <v>375</v>
      </c>
      <c r="B63" s="167" t="s">
        <v>369</v>
      </c>
      <c r="C63" s="168">
        <v>30000</v>
      </c>
      <c r="D63" s="168">
        <v>15000</v>
      </c>
      <c r="E63" s="168">
        <v>2500</v>
      </c>
      <c r="F63" s="168">
        <v>15000</v>
      </c>
      <c r="G63" s="168">
        <v>600</v>
      </c>
      <c r="H63" s="168">
        <v>0</v>
      </c>
      <c r="I63" s="168">
        <v>10100</v>
      </c>
      <c r="J63" s="168">
        <v>0</v>
      </c>
      <c r="K63" s="168">
        <v>0</v>
      </c>
      <c r="L63" s="165">
        <f t="shared" si="4"/>
        <v>73200</v>
      </c>
      <c r="M63" s="168">
        <v>1800</v>
      </c>
      <c r="N63" s="168">
        <v>0</v>
      </c>
      <c r="O63" s="168">
        <v>0</v>
      </c>
      <c r="P63" s="168">
        <v>200</v>
      </c>
      <c r="Q63" s="168">
        <v>0</v>
      </c>
      <c r="R63" s="165">
        <f t="shared" si="2"/>
        <v>2000</v>
      </c>
      <c r="S63" s="166">
        <f t="shared" si="3"/>
        <v>71200</v>
      </c>
      <c r="T63" s="317">
        <f t="shared" si="5"/>
        <v>73200</v>
      </c>
      <c r="U63" s="160">
        <v>73200</v>
      </c>
    </row>
    <row r="64" spans="1:21" ht="29" x14ac:dyDescent="0.35">
      <c r="A64" s="323" t="s">
        <v>376</v>
      </c>
      <c r="B64" s="167" t="s">
        <v>216</v>
      </c>
      <c r="C64" s="168">
        <v>369452</v>
      </c>
      <c r="D64" s="168">
        <v>56519</v>
      </c>
      <c r="E64" s="168">
        <v>16215</v>
      </c>
      <c r="F64" s="168">
        <v>21200</v>
      </c>
      <c r="G64" s="168">
        <v>3571</v>
      </c>
      <c r="H64" s="168">
        <v>0</v>
      </c>
      <c r="I64" s="168">
        <v>9522</v>
      </c>
      <c r="J64" s="168">
        <v>131122</v>
      </c>
      <c r="K64" s="168">
        <v>0</v>
      </c>
      <c r="L64" s="165">
        <f t="shared" si="4"/>
        <v>607601</v>
      </c>
      <c r="M64" s="168">
        <v>43777</v>
      </c>
      <c r="N64" s="168">
        <v>0</v>
      </c>
      <c r="O64" s="168">
        <v>2441</v>
      </c>
      <c r="P64" s="168">
        <v>4400</v>
      </c>
      <c r="Q64" s="168">
        <v>7000</v>
      </c>
      <c r="R64" s="165">
        <f t="shared" si="2"/>
        <v>57618</v>
      </c>
      <c r="S64" s="166">
        <f t="shared" si="3"/>
        <v>549983</v>
      </c>
      <c r="T64" s="317">
        <f t="shared" si="5"/>
        <v>476479</v>
      </c>
      <c r="U64" s="160">
        <v>476479</v>
      </c>
    </row>
    <row r="65" spans="1:21" ht="29" x14ac:dyDescent="0.35">
      <c r="A65" s="323" t="s">
        <v>376</v>
      </c>
      <c r="B65" s="167" t="s">
        <v>364</v>
      </c>
      <c r="C65" s="168">
        <v>439823</v>
      </c>
      <c r="D65" s="168">
        <v>72250</v>
      </c>
      <c r="E65" s="168">
        <v>16361</v>
      </c>
      <c r="F65" s="168">
        <v>42283</v>
      </c>
      <c r="G65" s="168">
        <v>4146</v>
      </c>
      <c r="H65" s="168">
        <v>0</v>
      </c>
      <c r="I65" s="168">
        <v>26543</v>
      </c>
      <c r="J65" s="168">
        <v>96090</v>
      </c>
      <c r="K65" s="168">
        <v>0</v>
      </c>
      <c r="L65" s="165">
        <f t="shared" si="4"/>
        <v>697496</v>
      </c>
      <c r="M65" s="168">
        <v>52341</v>
      </c>
      <c r="N65" s="168">
        <v>0</v>
      </c>
      <c r="O65" s="168">
        <v>2078</v>
      </c>
      <c r="P65" s="168">
        <v>5600</v>
      </c>
      <c r="Q65" s="168">
        <v>0</v>
      </c>
      <c r="R65" s="165">
        <f t="shared" si="2"/>
        <v>60019</v>
      </c>
      <c r="S65" s="166">
        <f t="shared" si="3"/>
        <v>637477</v>
      </c>
      <c r="T65" s="317">
        <f t="shared" si="5"/>
        <v>601406</v>
      </c>
      <c r="U65" s="160">
        <v>601406</v>
      </c>
    </row>
    <row r="66" spans="1:21" ht="29" x14ac:dyDescent="0.35">
      <c r="A66" s="323" t="s">
        <v>376</v>
      </c>
      <c r="B66" s="167" t="s">
        <v>365</v>
      </c>
      <c r="C66" s="168">
        <v>432000</v>
      </c>
      <c r="D66" s="168">
        <v>98350</v>
      </c>
      <c r="E66" s="168">
        <v>22100</v>
      </c>
      <c r="F66" s="168">
        <v>50500</v>
      </c>
      <c r="G66" s="168">
        <v>5400</v>
      </c>
      <c r="H66" s="168">
        <v>0</v>
      </c>
      <c r="I66" s="168">
        <v>30219</v>
      </c>
      <c r="J66" s="168">
        <v>129128</v>
      </c>
      <c r="K66" s="168">
        <v>0</v>
      </c>
      <c r="L66" s="165">
        <f t="shared" si="4"/>
        <v>767697</v>
      </c>
      <c r="M66" s="168">
        <v>50160</v>
      </c>
      <c r="N66" s="168">
        <v>0</v>
      </c>
      <c r="O66" s="168">
        <v>1943</v>
      </c>
      <c r="P66" s="168">
        <v>4200</v>
      </c>
      <c r="Q66" s="168">
        <v>0</v>
      </c>
      <c r="R66" s="165">
        <f t="shared" si="2"/>
        <v>56303</v>
      </c>
      <c r="S66" s="166">
        <f t="shared" si="3"/>
        <v>711394</v>
      </c>
      <c r="T66" s="317">
        <f t="shared" si="5"/>
        <v>638569</v>
      </c>
      <c r="U66" s="160">
        <v>638569</v>
      </c>
    </row>
    <row r="67" spans="1:21" ht="29" x14ac:dyDescent="0.35">
      <c r="A67" s="323" t="s">
        <v>376</v>
      </c>
      <c r="B67" s="167" t="s">
        <v>359</v>
      </c>
      <c r="C67" s="168">
        <v>30000</v>
      </c>
      <c r="D67" s="168">
        <v>14750</v>
      </c>
      <c r="E67" s="168">
        <v>3200</v>
      </c>
      <c r="F67" s="168">
        <v>14750</v>
      </c>
      <c r="G67" s="168">
        <v>800</v>
      </c>
      <c r="H67" s="168">
        <v>0</v>
      </c>
      <c r="I67" s="168">
        <v>3376</v>
      </c>
      <c r="J67" s="168">
        <v>2937</v>
      </c>
      <c r="K67" s="168">
        <v>0</v>
      </c>
      <c r="L67" s="165">
        <f t="shared" si="4"/>
        <v>69813</v>
      </c>
      <c r="M67" s="168">
        <v>3600</v>
      </c>
      <c r="N67" s="168">
        <v>0</v>
      </c>
      <c r="O67" s="168">
        <v>0</v>
      </c>
      <c r="P67" s="168">
        <v>400</v>
      </c>
      <c r="Q67" s="168">
        <v>0</v>
      </c>
      <c r="R67" s="165">
        <f t="shared" si="2"/>
        <v>4000</v>
      </c>
      <c r="S67" s="166">
        <f t="shared" si="3"/>
        <v>65813</v>
      </c>
      <c r="T67" s="317">
        <f t="shared" si="5"/>
        <v>66876</v>
      </c>
      <c r="U67" s="160">
        <v>66876</v>
      </c>
    </row>
    <row r="68" spans="1:21" ht="29" x14ac:dyDescent="0.35">
      <c r="A68" s="323" t="s">
        <v>376</v>
      </c>
      <c r="B68" s="167" t="s">
        <v>360</v>
      </c>
      <c r="C68" s="168">
        <v>16000</v>
      </c>
      <c r="D68" s="168">
        <v>8000</v>
      </c>
      <c r="E68" s="168">
        <v>1600</v>
      </c>
      <c r="F68" s="168">
        <v>8000</v>
      </c>
      <c r="G68" s="168">
        <v>400</v>
      </c>
      <c r="H68" s="168">
        <v>0</v>
      </c>
      <c r="I68" s="168">
        <v>2950</v>
      </c>
      <c r="J68" s="168">
        <v>3712</v>
      </c>
      <c r="K68" s="168">
        <v>0</v>
      </c>
      <c r="L68" s="165">
        <f t="shared" ref="L68:L79" si="6">SUM(C68:K68)</f>
        <v>40662</v>
      </c>
      <c r="M68" s="168">
        <v>1800</v>
      </c>
      <c r="N68" s="168">
        <v>0</v>
      </c>
      <c r="O68" s="168">
        <v>0</v>
      </c>
      <c r="P68" s="168">
        <v>200</v>
      </c>
      <c r="Q68" s="168">
        <v>0</v>
      </c>
      <c r="R68" s="165">
        <f t="shared" si="2"/>
        <v>2000</v>
      </c>
      <c r="S68" s="166">
        <f t="shared" si="3"/>
        <v>38662</v>
      </c>
      <c r="T68" s="317">
        <f t="shared" ref="T68:T79" si="7">L68-J68</f>
        <v>36950</v>
      </c>
      <c r="U68" s="160">
        <v>36950</v>
      </c>
    </row>
    <row r="69" spans="1:21" ht="29" x14ac:dyDescent="0.35">
      <c r="A69" s="323" t="s">
        <v>376</v>
      </c>
      <c r="B69" s="167" t="s">
        <v>219</v>
      </c>
      <c r="C69" s="168">
        <v>277323</v>
      </c>
      <c r="D69" s="168">
        <v>65482</v>
      </c>
      <c r="E69" s="168">
        <v>11975</v>
      </c>
      <c r="F69" s="168">
        <v>32032</v>
      </c>
      <c r="G69" s="168">
        <v>3957</v>
      </c>
      <c r="H69" s="168">
        <v>0</v>
      </c>
      <c r="I69" s="168">
        <v>15826</v>
      </c>
      <c r="J69" s="168">
        <v>74305</v>
      </c>
      <c r="K69" s="168">
        <v>0</v>
      </c>
      <c r="L69" s="165">
        <f t="shared" si="6"/>
        <v>480900</v>
      </c>
      <c r="M69" s="168">
        <v>33677</v>
      </c>
      <c r="N69" s="168">
        <v>0</v>
      </c>
      <c r="O69" s="168">
        <v>1655</v>
      </c>
      <c r="P69" s="168">
        <v>3400</v>
      </c>
      <c r="Q69" s="168">
        <v>0</v>
      </c>
      <c r="R69" s="165">
        <f t="shared" ref="R69:R79" si="8">SUM(M69:Q69)</f>
        <v>38732</v>
      </c>
      <c r="S69" s="166">
        <f t="shared" ref="S69:S79" si="9">L69-R69</f>
        <v>442168</v>
      </c>
      <c r="T69" s="317">
        <f t="shared" si="7"/>
        <v>406595</v>
      </c>
      <c r="U69" s="160">
        <v>406595</v>
      </c>
    </row>
    <row r="70" spans="1:21" ht="29" x14ac:dyDescent="0.35">
      <c r="A70" s="323" t="s">
        <v>376</v>
      </c>
      <c r="B70" s="167" t="s">
        <v>362</v>
      </c>
      <c r="C70" s="168">
        <v>15000</v>
      </c>
      <c r="D70" s="168">
        <v>5500</v>
      </c>
      <c r="E70" s="168">
        <v>1600</v>
      </c>
      <c r="F70" s="168">
        <v>0</v>
      </c>
      <c r="G70" s="168">
        <v>400</v>
      </c>
      <c r="H70" s="168">
        <v>0</v>
      </c>
      <c r="I70" s="168">
        <v>2459</v>
      </c>
      <c r="J70" s="168">
        <v>2518</v>
      </c>
      <c r="K70" s="168">
        <v>0</v>
      </c>
      <c r="L70" s="165">
        <f t="shared" si="6"/>
        <v>27477</v>
      </c>
      <c r="M70" s="168">
        <v>1800</v>
      </c>
      <c r="N70" s="168">
        <v>0</v>
      </c>
      <c r="O70" s="168">
        <v>0</v>
      </c>
      <c r="P70" s="168">
        <v>200</v>
      </c>
      <c r="Q70" s="168">
        <v>0</v>
      </c>
      <c r="R70" s="165">
        <f t="shared" si="8"/>
        <v>2000</v>
      </c>
      <c r="S70" s="166">
        <f t="shared" si="9"/>
        <v>25477</v>
      </c>
      <c r="T70" s="317">
        <f t="shared" si="7"/>
        <v>24959</v>
      </c>
      <c r="U70" s="160">
        <v>24959</v>
      </c>
    </row>
    <row r="71" spans="1:21" ht="29" x14ac:dyDescent="0.35">
      <c r="A71" s="323" t="s">
        <v>376</v>
      </c>
      <c r="B71" s="167" t="s">
        <v>369</v>
      </c>
      <c r="C71" s="168">
        <v>0</v>
      </c>
      <c r="D71" s="168">
        <v>0</v>
      </c>
      <c r="E71" s="168">
        <v>0</v>
      </c>
      <c r="F71" s="168">
        <v>0</v>
      </c>
      <c r="G71" s="168">
        <v>0</v>
      </c>
      <c r="H71" s="168">
        <v>0</v>
      </c>
      <c r="I71" s="168">
        <v>0</v>
      </c>
      <c r="J71" s="168">
        <v>0</v>
      </c>
      <c r="K71" s="168">
        <v>0</v>
      </c>
      <c r="L71" s="165">
        <f t="shared" si="6"/>
        <v>0</v>
      </c>
      <c r="M71" s="168">
        <v>0</v>
      </c>
      <c r="N71" s="168">
        <v>0</v>
      </c>
      <c r="O71" s="168">
        <v>0</v>
      </c>
      <c r="P71" s="168">
        <v>0</v>
      </c>
      <c r="Q71" s="168">
        <v>0</v>
      </c>
      <c r="R71" s="165">
        <f t="shared" si="8"/>
        <v>0</v>
      </c>
      <c r="S71" s="166">
        <f t="shared" si="9"/>
        <v>0</v>
      </c>
      <c r="T71" s="317">
        <f t="shared" si="7"/>
        <v>0</v>
      </c>
      <c r="U71" s="160">
        <v>0</v>
      </c>
    </row>
    <row r="72" spans="1:21" x14ac:dyDescent="0.35">
      <c r="A72" s="323" t="s">
        <v>377</v>
      </c>
      <c r="B72" s="167" t="s">
        <v>216</v>
      </c>
      <c r="C72" s="168">
        <v>406122</v>
      </c>
      <c r="D72" s="168">
        <v>54653</v>
      </c>
      <c r="E72" s="168">
        <v>20540</v>
      </c>
      <c r="F72" s="168">
        <v>31945</v>
      </c>
      <c r="G72" s="168">
        <v>4317</v>
      </c>
      <c r="H72" s="168">
        <v>0</v>
      </c>
      <c r="I72" s="168">
        <v>21926</v>
      </c>
      <c r="J72" s="168">
        <v>36247</v>
      </c>
      <c r="K72" s="168">
        <v>11000</v>
      </c>
      <c r="L72" s="165">
        <f t="shared" si="6"/>
        <v>586750</v>
      </c>
      <c r="M72" s="168">
        <v>49311</v>
      </c>
      <c r="N72" s="168">
        <v>0</v>
      </c>
      <c r="O72" s="168">
        <v>2146</v>
      </c>
      <c r="P72" s="168">
        <v>4800</v>
      </c>
      <c r="Q72" s="168">
        <v>0</v>
      </c>
      <c r="R72" s="165">
        <f t="shared" si="8"/>
        <v>56257</v>
      </c>
      <c r="S72" s="166">
        <f t="shared" si="9"/>
        <v>530493</v>
      </c>
      <c r="T72" s="317">
        <f t="shared" si="7"/>
        <v>550503</v>
      </c>
      <c r="U72" s="160">
        <v>550503</v>
      </c>
    </row>
    <row r="73" spans="1:21" x14ac:dyDescent="0.35">
      <c r="A73" s="323" t="s">
        <v>377</v>
      </c>
      <c r="B73" s="167" t="s">
        <v>225</v>
      </c>
      <c r="C73" s="168">
        <v>717223</v>
      </c>
      <c r="D73" s="168">
        <v>134172</v>
      </c>
      <c r="E73" s="168">
        <v>58075</v>
      </c>
      <c r="F73" s="168">
        <v>104483</v>
      </c>
      <c r="G73" s="168">
        <v>11104</v>
      </c>
      <c r="H73" s="168">
        <v>0</v>
      </c>
      <c r="I73" s="168">
        <v>63710</v>
      </c>
      <c r="J73" s="168">
        <v>52990</v>
      </c>
      <c r="K73" s="168">
        <v>3000</v>
      </c>
      <c r="L73" s="165">
        <f t="shared" si="6"/>
        <v>1144757</v>
      </c>
      <c r="M73" s="168">
        <v>84807</v>
      </c>
      <c r="N73" s="168">
        <v>3181</v>
      </c>
      <c r="O73" s="168">
        <v>2745</v>
      </c>
      <c r="P73" s="168">
        <v>9200</v>
      </c>
      <c r="Q73" s="168">
        <v>0</v>
      </c>
      <c r="R73" s="165">
        <f t="shared" si="8"/>
        <v>99933</v>
      </c>
      <c r="S73" s="166">
        <f t="shared" si="9"/>
        <v>1044824</v>
      </c>
      <c r="T73" s="317">
        <f t="shared" si="7"/>
        <v>1091767</v>
      </c>
      <c r="U73" s="160">
        <v>1091767</v>
      </c>
    </row>
    <row r="74" spans="1:21" x14ac:dyDescent="0.35">
      <c r="A74" s="323" t="s">
        <v>377</v>
      </c>
      <c r="B74" s="167" t="s">
        <v>359</v>
      </c>
      <c r="C74" s="168">
        <v>27650</v>
      </c>
      <c r="D74" s="168">
        <v>12133</v>
      </c>
      <c r="E74" s="168">
        <v>2827</v>
      </c>
      <c r="F74" s="168">
        <v>12133</v>
      </c>
      <c r="G74" s="168">
        <v>707</v>
      </c>
      <c r="H74" s="168">
        <v>0</v>
      </c>
      <c r="I74" s="168">
        <v>7217</v>
      </c>
      <c r="J74" s="168">
        <v>198</v>
      </c>
      <c r="K74" s="168">
        <v>0</v>
      </c>
      <c r="L74" s="165">
        <f t="shared" si="6"/>
        <v>62865</v>
      </c>
      <c r="M74" s="168">
        <v>3600</v>
      </c>
      <c r="N74" s="168">
        <v>0</v>
      </c>
      <c r="O74" s="168">
        <v>0</v>
      </c>
      <c r="P74" s="168">
        <v>400</v>
      </c>
      <c r="Q74" s="168">
        <v>0</v>
      </c>
      <c r="R74" s="165">
        <f t="shared" si="8"/>
        <v>4000</v>
      </c>
      <c r="S74" s="166">
        <f t="shared" si="9"/>
        <v>58865</v>
      </c>
      <c r="T74" s="317">
        <f t="shared" si="7"/>
        <v>62667</v>
      </c>
      <c r="U74" s="160">
        <v>62667</v>
      </c>
    </row>
    <row r="75" spans="1:21" x14ac:dyDescent="0.35">
      <c r="A75" s="323" t="s">
        <v>377</v>
      </c>
      <c r="B75" s="167" t="s">
        <v>366</v>
      </c>
      <c r="C75" s="168">
        <v>352390</v>
      </c>
      <c r="D75" s="168">
        <v>55683</v>
      </c>
      <c r="E75" s="168">
        <v>20988</v>
      </c>
      <c r="F75" s="168">
        <v>43000</v>
      </c>
      <c r="G75" s="168">
        <v>4611</v>
      </c>
      <c r="H75" s="168">
        <v>0</v>
      </c>
      <c r="I75" s="168">
        <v>20645</v>
      </c>
      <c r="J75" s="168">
        <v>61875</v>
      </c>
      <c r="K75" s="168">
        <v>0</v>
      </c>
      <c r="L75" s="165">
        <f t="shared" si="6"/>
        <v>559192</v>
      </c>
      <c r="M75" s="168">
        <v>41309</v>
      </c>
      <c r="N75" s="168">
        <v>0</v>
      </c>
      <c r="O75" s="168">
        <v>1571</v>
      </c>
      <c r="P75" s="168">
        <v>3600</v>
      </c>
      <c r="Q75" s="168">
        <v>0</v>
      </c>
      <c r="R75" s="165">
        <f t="shared" si="8"/>
        <v>46480</v>
      </c>
      <c r="S75" s="166">
        <f t="shared" si="9"/>
        <v>512712</v>
      </c>
      <c r="T75" s="317">
        <f t="shared" si="7"/>
        <v>497317</v>
      </c>
      <c r="U75" s="160">
        <v>497317</v>
      </c>
    </row>
    <row r="76" spans="1:21" x14ac:dyDescent="0.35">
      <c r="A76" s="323" t="s">
        <v>377</v>
      </c>
      <c r="B76" s="167" t="s">
        <v>219</v>
      </c>
      <c r="C76" s="168">
        <v>788759</v>
      </c>
      <c r="D76" s="168">
        <v>131356</v>
      </c>
      <c r="E76" s="168">
        <v>40816</v>
      </c>
      <c r="F76" s="168">
        <v>83743</v>
      </c>
      <c r="G76" s="168">
        <v>7963</v>
      </c>
      <c r="H76" s="168">
        <v>0</v>
      </c>
      <c r="I76" s="168">
        <v>52274</v>
      </c>
      <c r="J76" s="168">
        <v>106858</v>
      </c>
      <c r="K76" s="168">
        <v>0</v>
      </c>
      <c r="L76" s="165">
        <f t="shared" si="6"/>
        <v>1211769</v>
      </c>
      <c r="M76" s="168">
        <v>91184</v>
      </c>
      <c r="N76" s="168">
        <v>16451</v>
      </c>
      <c r="O76" s="168">
        <v>3892</v>
      </c>
      <c r="P76" s="168">
        <v>7800</v>
      </c>
      <c r="Q76" s="168">
        <v>0</v>
      </c>
      <c r="R76" s="165">
        <f t="shared" si="8"/>
        <v>119327</v>
      </c>
      <c r="S76" s="166">
        <f t="shared" si="9"/>
        <v>1092442</v>
      </c>
      <c r="T76" s="317">
        <f t="shared" si="7"/>
        <v>1104911</v>
      </c>
      <c r="U76" s="160">
        <v>1104911</v>
      </c>
    </row>
    <row r="77" spans="1:21" x14ac:dyDescent="0.35">
      <c r="A77" s="323" t="s">
        <v>377</v>
      </c>
      <c r="B77" s="167" t="s">
        <v>361</v>
      </c>
      <c r="C77" s="168">
        <v>26000</v>
      </c>
      <c r="D77" s="168">
        <v>13000</v>
      </c>
      <c r="E77" s="168">
        <v>2500</v>
      </c>
      <c r="F77" s="168">
        <v>13000</v>
      </c>
      <c r="G77" s="168">
        <v>600</v>
      </c>
      <c r="H77" s="168">
        <v>0</v>
      </c>
      <c r="I77" s="168">
        <v>8100</v>
      </c>
      <c r="J77" s="168">
        <v>10070</v>
      </c>
      <c r="K77" s="168">
        <v>0</v>
      </c>
      <c r="L77" s="165">
        <f t="shared" si="6"/>
        <v>73270</v>
      </c>
      <c r="M77" s="168">
        <v>1800</v>
      </c>
      <c r="N77" s="168">
        <v>2561</v>
      </c>
      <c r="O77" s="168">
        <v>0</v>
      </c>
      <c r="P77" s="168">
        <v>200</v>
      </c>
      <c r="Q77" s="168">
        <v>0</v>
      </c>
      <c r="R77" s="165">
        <f t="shared" si="8"/>
        <v>4561</v>
      </c>
      <c r="S77" s="166">
        <f t="shared" si="9"/>
        <v>68709</v>
      </c>
      <c r="T77" s="317">
        <f t="shared" si="7"/>
        <v>63200</v>
      </c>
      <c r="U77" s="160">
        <v>63200</v>
      </c>
    </row>
    <row r="78" spans="1:21" x14ac:dyDescent="0.35">
      <c r="A78" s="323" t="s">
        <v>377</v>
      </c>
      <c r="B78" s="167" t="s">
        <v>220</v>
      </c>
      <c r="C78" s="168">
        <v>381746</v>
      </c>
      <c r="D78" s="168">
        <v>43224</v>
      </c>
      <c r="E78" s="168">
        <v>20010</v>
      </c>
      <c r="F78" s="168">
        <v>24967</v>
      </c>
      <c r="G78" s="168">
        <v>3788</v>
      </c>
      <c r="H78" s="168">
        <v>0</v>
      </c>
      <c r="I78" s="168">
        <v>16862</v>
      </c>
      <c r="J78" s="168">
        <v>16658</v>
      </c>
      <c r="K78" s="168">
        <v>0</v>
      </c>
      <c r="L78" s="165">
        <f t="shared" si="6"/>
        <v>507255</v>
      </c>
      <c r="M78" s="168">
        <v>46788</v>
      </c>
      <c r="N78" s="168">
        <v>0</v>
      </c>
      <c r="O78" s="168">
        <v>2227</v>
      </c>
      <c r="P78" s="168">
        <v>4800</v>
      </c>
      <c r="Q78" s="168">
        <v>0</v>
      </c>
      <c r="R78" s="165">
        <f t="shared" si="8"/>
        <v>53815</v>
      </c>
      <c r="S78" s="166">
        <f t="shared" si="9"/>
        <v>453440</v>
      </c>
      <c r="T78" s="317">
        <f t="shared" si="7"/>
        <v>490597</v>
      </c>
      <c r="U78" s="160">
        <v>490597</v>
      </c>
    </row>
    <row r="79" spans="1:21" ht="15" thickBot="1" x14ac:dyDescent="0.4">
      <c r="A79" s="324" t="s">
        <v>377</v>
      </c>
      <c r="B79" s="169" t="s">
        <v>362</v>
      </c>
      <c r="C79" s="170">
        <v>15000</v>
      </c>
      <c r="D79" s="170">
        <v>7500</v>
      </c>
      <c r="E79" s="170">
        <v>1600</v>
      </c>
      <c r="F79" s="170">
        <v>2000</v>
      </c>
      <c r="G79" s="170">
        <v>400</v>
      </c>
      <c r="H79" s="170">
        <v>0</v>
      </c>
      <c r="I79" s="170">
        <v>459</v>
      </c>
      <c r="J79" s="170">
        <v>1194</v>
      </c>
      <c r="K79" s="170">
        <v>0</v>
      </c>
      <c r="L79" s="165">
        <f t="shared" si="6"/>
        <v>28153</v>
      </c>
      <c r="M79" s="170">
        <v>1800</v>
      </c>
      <c r="N79" s="170">
        <v>0</v>
      </c>
      <c r="O79" s="170">
        <v>0</v>
      </c>
      <c r="P79" s="170">
        <v>200</v>
      </c>
      <c r="Q79" s="170">
        <v>0</v>
      </c>
      <c r="R79" s="165">
        <f t="shared" si="8"/>
        <v>2000</v>
      </c>
      <c r="S79" s="166">
        <f t="shared" si="9"/>
        <v>26153</v>
      </c>
      <c r="T79" s="317">
        <f t="shared" si="7"/>
        <v>26959</v>
      </c>
      <c r="U79" s="160">
        <v>26959</v>
      </c>
    </row>
    <row r="80" spans="1:21" ht="15" thickBot="1" x14ac:dyDescent="0.4">
      <c r="A80" s="321" t="s">
        <v>378</v>
      </c>
      <c r="B80" s="161"/>
      <c r="C80" s="171">
        <f t="shared" ref="C80:T80" si="10">SUM(C4:C79)</f>
        <v>19005616</v>
      </c>
      <c r="D80" s="171">
        <f t="shared" si="10"/>
        <v>4167440</v>
      </c>
      <c r="E80" s="171">
        <f t="shared" si="10"/>
        <v>692295</v>
      </c>
      <c r="F80" s="171">
        <f t="shared" si="10"/>
        <v>2586500</v>
      </c>
      <c r="G80" s="171">
        <f t="shared" si="10"/>
        <v>176969</v>
      </c>
      <c r="H80" s="171">
        <f t="shared" si="10"/>
        <v>113000</v>
      </c>
      <c r="I80" s="171">
        <f t="shared" si="10"/>
        <v>1519299</v>
      </c>
      <c r="J80" s="171">
        <f t="shared" si="10"/>
        <v>4069806</v>
      </c>
      <c r="K80" s="171">
        <f t="shared" si="10"/>
        <v>40000</v>
      </c>
      <c r="L80" s="171">
        <f t="shared" si="10"/>
        <v>32370925</v>
      </c>
      <c r="M80" s="171">
        <f t="shared" si="10"/>
        <v>2026793</v>
      </c>
      <c r="N80" s="171">
        <f t="shared" si="10"/>
        <v>839303</v>
      </c>
      <c r="O80" s="171">
        <f t="shared" si="10"/>
        <v>82451</v>
      </c>
      <c r="P80" s="171">
        <f t="shared" si="10"/>
        <v>146500</v>
      </c>
      <c r="Q80" s="171">
        <f t="shared" si="10"/>
        <v>7000</v>
      </c>
      <c r="R80" s="171">
        <f t="shared" si="10"/>
        <v>3102047</v>
      </c>
      <c r="S80" s="171">
        <f t="shared" si="10"/>
        <v>29268878</v>
      </c>
      <c r="T80" s="171">
        <f t="shared" si="10"/>
        <v>28301119</v>
      </c>
      <c r="U80" s="160">
        <v>28301119</v>
      </c>
    </row>
    <row r="81" spans="1:81" x14ac:dyDescent="0.35">
      <c r="I81" s="316">
        <f>SUM(C80:I80)</f>
        <v>28261119</v>
      </c>
      <c r="L81" s="316"/>
    </row>
    <row r="82" spans="1:81" x14ac:dyDescent="0.35">
      <c r="I82" s="316">
        <f>I81+K80</f>
        <v>28301119</v>
      </c>
      <c r="J82" s="316"/>
      <c r="L82" s="316">
        <f>L80-J80</f>
        <v>28301119</v>
      </c>
    </row>
    <row r="84" spans="1:81" ht="15" thickBot="1" x14ac:dyDescent="0.4"/>
    <row r="85" spans="1:81" s="312" customFormat="1" ht="72.5" x14ac:dyDescent="0.35">
      <c r="A85" s="313"/>
      <c r="B85" s="380" t="s">
        <v>552</v>
      </c>
      <c r="C85" s="383" t="s">
        <v>358</v>
      </c>
      <c r="D85" s="384" t="s">
        <v>358</v>
      </c>
      <c r="E85" s="384" t="s">
        <v>358</v>
      </c>
      <c r="F85" s="384" t="s">
        <v>358</v>
      </c>
      <c r="G85" s="384" t="s">
        <v>358</v>
      </c>
      <c r="H85" s="384" t="s">
        <v>358</v>
      </c>
      <c r="I85" s="384" t="s">
        <v>358</v>
      </c>
      <c r="J85" s="385" t="s">
        <v>358</v>
      </c>
      <c r="K85" s="383" t="s">
        <v>363</v>
      </c>
      <c r="L85" s="384" t="s">
        <v>363</v>
      </c>
      <c r="M85" s="384" t="s">
        <v>363</v>
      </c>
      <c r="N85" s="384" t="s">
        <v>363</v>
      </c>
      <c r="O85" s="384" t="s">
        <v>367</v>
      </c>
      <c r="P85" s="384" t="s">
        <v>363</v>
      </c>
      <c r="Q85" s="385" t="s">
        <v>363</v>
      </c>
      <c r="R85" s="383" t="s">
        <v>367</v>
      </c>
      <c r="S85" s="384" t="s">
        <v>367</v>
      </c>
      <c r="T85" s="512" t="s">
        <v>367</v>
      </c>
      <c r="U85" s="384" t="s">
        <v>367</v>
      </c>
      <c r="V85" s="384" t="s">
        <v>367</v>
      </c>
      <c r="W85" s="384" t="s">
        <v>367</v>
      </c>
      <c r="X85" s="384" t="s">
        <v>367</v>
      </c>
      <c r="Y85" s="385" t="s">
        <v>367</v>
      </c>
      <c r="Z85" s="383" t="s">
        <v>368</v>
      </c>
      <c r="AA85" s="384" t="s">
        <v>368</v>
      </c>
      <c r="AB85" s="384" t="s">
        <v>368</v>
      </c>
      <c r="AC85" s="384" t="s">
        <v>368</v>
      </c>
      <c r="AD85" s="384" t="s">
        <v>368</v>
      </c>
      <c r="AE85" s="384" t="s">
        <v>368</v>
      </c>
      <c r="AF85" s="384" t="s">
        <v>368</v>
      </c>
      <c r="AG85" s="385" t="s">
        <v>368</v>
      </c>
      <c r="AH85" s="383" t="s">
        <v>370</v>
      </c>
      <c r="AI85" s="384" t="s">
        <v>370</v>
      </c>
      <c r="AJ85" s="384" t="s">
        <v>370</v>
      </c>
      <c r="AK85" s="384" t="s">
        <v>370</v>
      </c>
      <c r="AL85" s="384" t="s">
        <v>370</v>
      </c>
      <c r="AM85" s="384" t="s">
        <v>370</v>
      </c>
      <c r="AN85" s="397" t="s">
        <v>370</v>
      </c>
      <c r="AO85" s="383" t="s">
        <v>371</v>
      </c>
      <c r="AP85" s="384" t="s">
        <v>371</v>
      </c>
      <c r="AQ85" s="384" t="s">
        <v>371</v>
      </c>
      <c r="AR85" s="384" t="s">
        <v>371</v>
      </c>
      <c r="AS85" s="384" t="s">
        <v>371</v>
      </c>
      <c r="AT85" s="384" t="s">
        <v>371</v>
      </c>
      <c r="AU85" s="384" t="s">
        <v>371</v>
      </c>
      <c r="AV85" s="384" t="s">
        <v>371</v>
      </c>
      <c r="AW85" s="384" t="s">
        <v>371</v>
      </c>
      <c r="AX85" s="384" t="s">
        <v>375</v>
      </c>
      <c r="AY85" s="384" t="s">
        <v>375</v>
      </c>
      <c r="AZ85" s="384" t="s">
        <v>375</v>
      </c>
      <c r="BA85" s="384" t="s">
        <v>375</v>
      </c>
      <c r="BB85" s="384" t="s">
        <v>375</v>
      </c>
      <c r="BC85" s="384" t="s">
        <v>375</v>
      </c>
      <c r="BD85" s="384" t="s">
        <v>375</v>
      </c>
      <c r="BE85" s="384" t="s">
        <v>375</v>
      </c>
      <c r="BF85" s="384" t="s">
        <v>375</v>
      </c>
      <c r="BG85" s="384" t="s">
        <v>375</v>
      </c>
      <c r="BH85" s="384" t="s">
        <v>375</v>
      </c>
      <c r="BI85" s="384" t="s">
        <v>375</v>
      </c>
      <c r="BJ85" s="385" t="s">
        <v>375</v>
      </c>
      <c r="BK85" s="383" t="s">
        <v>376</v>
      </c>
      <c r="BL85" s="384" t="s">
        <v>376</v>
      </c>
      <c r="BM85" s="384" t="s">
        <v>376</v>
      </c>
      <c r="BN85" s="384" t="s">
        <v>376</v>
      </c>
      <c r="BO85" s="384" t="s">
        <v>376</v>
      </c>
      <c r="BP85" s="384" t="s">
        <v>376</v>
      </c>
      <c r="BQ85" s="384" t="s">
        <v>376</v>
      </c>
      <c r="BR85" s="385" t="s">
        <v>376</v>
      </c>
      <c r="BS85" s="383" t="s">
        <v>377</v>
      </c>
      <c r="BT85" s="384" t="s">
        <v>377</v>
      </c>
      <c r="BU85" s="384" t="s">
        <v>377</v>
      </c>
      <c r="BV85" s="384" t="s">
        <v>377</v>
      </c>
      <c r="BW85" s="384" t="s">
        <v>377</v>
      </c>
      <c r="BX85" s="384" t="s">
        <v>377</v>
      </c>
      <c r="BY85" s="384" t="s">
        <v>377</v>
      </c>
      <c r="BZ85" s="385" t="s">
        <v>377</v>
      </c>
      <c r="CA85" s="402" t="s">
        <v>286</v>
      </c>
    </row>
    <row r="86" spans="1:81" ht="43.5" x14ac:dyDescent="0.35">
      <c r="B86" s="380" t="s">
        <v>553</v>
      </c>
      <c r="C86" s="323" t="s">
        <v>216</v>
      </c>
      <c r="D86" s="318" t="s">
        <v>217</v>
      </c>
      <c r="E86" s="318" t="s">
        <v>359</v>
      </c>
      <c r="F86" s="318" t="s">
        <v>360</v>
      </c>
      <c r="G86" s="318" t="s">
        <v>219</v>
      </c>
      <c r="H86" s="318" t="s">
        <v>361</v>
      </c>
      <c r="I86" s="318" t="s">
        <v>220</v>
      </c>
      <c r="J86" s="386" t="s">
        <v>362</v>
      </c>
      <c r="K86" s="323" t="s">
        <v>216</v>
      </c>
      <c r="L86" s="318" t="s">
        <v>364</v>
      </c>
      <c r="M86" s="318" t="s">
        <v>365</v>
      </c>
      <c r="N86" s="318" t="s">
        <v>359</v>
      </c>
      <c r="O86" s="318" t="s">
        <v>366</v>
      </c>
      <c r="P86" s="318" t="s">
        <v>219</v>
      </c>
      <c r="Q86" s="386" t="s">
        <v>361</v>
      </c>
      <c r="R86" s="323" t="s">
        <v>216</v>
      </c>
      <c r="S86" s="318" t="s">
        <v>217</v>
      </c>
      <c r="T86" s="319" t="s">
        <v>365</v>
      </c>
      <c r="U86" s="318" t="s">
        <v>225</v>
      </c>
      <c r="V86" s="318" t="s">
        <v>366</v>
      </c>
      <c r="W86" s="318" t="s">
        <v>219</v>
      </c>
      <c r="X86" s="318" t="s">
        <v>361</v>
      </c>
      <c r="Y86" s="386" t="s">
        <v>362</v>
      </c>
      <c r="Z86" s="323" t="s">
        <v>365</v>
      </c>
      <c r="AA86" s="318" t="s">
        <v>225</v>
      </c>
      <c r="AB86" s="318" t="s">
        <v>359</v>
      </c>
      <c r="AC86" s="318" t="s">
        <v>360</v>
      </c>
      <c r="AD86" s="318" t="s">
        <v>219</v>
      </c>
      <c r="AE86" s="318" t="s">
        <v>361</v>
      </c>
      <c r="AF86" s="318" t="s">
        <v>362</v>
      </c>
      <c r="AG86" s="386" t="s">
        <v>369</v>
      </c>
      <c r="AH86" s="323" t="s">
        <v>224</v>
      </c>
      <c r="AI86" s="318" t="s">
        <v>365</v>
      </c>
      <c r="AJ86" s="318" t="s">
        <v>359</v>
      </c>
      <c r="AK86" s="318" t="s">
        <v>360</v>
      </c>
      <c r="AL86" s="318" t="s">
        <v>227</v>
      </c>
      <c r="AM86" s="318" t="s">
        <v>219</v>
      </c>
      <c r="AN86" s="398" t="s">
        <v>362</v>
      </c>
      <c r="AO86" s="323" t="s">
        <v>372</v>
      </c>
      <c r="AP86" s="318" t="s">
        <v>359</v>
      </c>
      <c r="AQ86" s="318" t="s">
        <v>373</v>
      </c>
      <c r="AR86" s="318" t="s">
        <v>366</v>
      </c>
      <c r="AS86" s="318" t="s">
        <v>360</v>
      </c>
      <c r="AT86" s="318" t="s">
        <v>374</v>
      </c>
      <c r="AU86" s="318" t="s">
        <v>361</v>
      </c>
      <c r="AV86" s="318" t="s">
        <v>362</v>
      </c>
      <c r="AW86" s="318" t="s">
        <v>369</v>
      </c>
      <c r="AX86" s="408" t="s">
        <v>216</v>
      </c>
      <c r="AY86" s="408" t="s">
        <v>217</v>
      </c>
      <c r="AZ86" s="408" t="s">
        <v>365</v>
      </c>
      <c r="BA86" s="408" t="s">
        <v>225</v>
      </c>
      <c r="BB86" s="318" t="s">
        <v>359</v>
      </c>
      <c r="BC86" s="408" t="s">
        <v>366</v>
      </c>
      <c r="BD86" s="318" t="s">
        <v>360</v>
      </c>
      <c r="BE86" s="408" t="s">
        <v>231</v>
      </c>
      <c r="BF86" s="408" t="s">
        <v>232</v>
      </c>
      <c r="BG86" s="318" t="s">
        <v>361</v>
      </c>
      <c r="BH86" s="408" t="s">
        <v>220</v>
      </c>
      <c r="BI86" s="318" t="s">
        <v>362</v>
      </c>
      <c r="BJ86" s="386" t="s">
        <v>369</v>
      </c>
      <c r="BK86" s="323" t="s">
        <v>216</v>
      </c>
      <c r="BL86" s="318" t="s">
        <v>364</v>
      </c>
      <c r="BM86" s="318" t="s">
        <v>365</v>
      </c>
      <c r="BN86" s="318" t="s">
        <v>359</v>
      </c>
      <c r="BO86" s="318" t="s">
        <v>360</v>
      </c>
      <c r="BP86" s="318" t="s">
        <v>219</v>
      </c>
      <c r="BQ86" s="318" t="s">
        <v>362</v>
      </c>
      <c r="BR86" s="386" t="s">
        <v>369</v>
      </c>
      <c r="BS86" s="323" t="s">
        <v>216</v>
      </c>
      <c r="BT86" s="318" t="s">
        <v>225</v>
      </c>
      <c r="BU86" s="318" t="s">
        <v>359</v>
      </c>
      <c r="BV86" s="318" t="s">
        <v>366</v>
      </c>
      <c r="BW86" s="318" t="s">
        <v>219</v>
      </c>
      <c r="BX86" s="318" t="s">
        <v>361</v>
      </c>
      <c r="BY86" s="318" t="s">
        <v>220</v>
      </c>
      <c r="BZ86" s="386" t="s">
        <v>362</v>
      </c>
      <c r="CA86" s="382"/>
    </row>
    <row r="87" spans="1:81" x14ac:dyDescent="0.35">
      <c r="B87" s="380" t="s">
        <v>560</v>
      </c>
      <c r="C87" s="395">
        <f>421311+$E$99</f>
        <v>447364.5</v>
      </c>
      <c r="D87" s="396">
        <f>474116+E99</f>
        <v>500169.5</v>
      </c>
      <c r="E87" s="517">
        <f>17000*0</f>
        <v>0</v>
      </c>
      <c r="F87" s="517">
        <f>26284*0</f>
        <v>0</v>
      </c>
      <c r="G87" s="396">
        <f>497191+E99</f>
        <v>523244.5</v>
      </c>
      <c r="H87" s="517">
        <f>27096*0</f>
        <v>0</v>
      </c>
      <c r="I87" s="396">
        <f>319384+E99</f>
        <v>345437.5</v>
      </c>
      <c r="J87" s="518">
        <f>33834*0</f>
        <v>0</v>
      </c>
      <c r="K87" s="405">
        <f>463786+N99</f>
        <v>547307</v>
      </c>
      <c r="L87" s="406">
        <f>536331+N99</f>
        <v>619852</v>
      </c>
      <c r="M87" s="406">
        <f>495337+N99</f>
        <v>578858</v>
      </c>
      <c r="N87" s="517">
        <f>36792*0</f>
        <v>0</v>
      </c>
      <c r="O87" s="517">
        <f>41500*0</f>
        <v>0</v>
      </c>
      <c r="P87" s="406">
        <f>591404+N99</f>
        <v>674925</v>
      </c>
      <c r="Q87" s="518">
        <f>297292*0</f>
        <v>0</v>
      </c>
      <c r="R87" s="405">
        <f>681744+X99</f>
        <v>782242</v>
      </c>
      <c r="S87" s="406">
        <f>1012768+X99</f>
        <v>1113266</v>
      </c>
      <c r="T87" s="517">
        <f>751412*0</f>
        <v>0</v>
      </c>
      <c r="U87" s="406">
        <f>1534713+X99</f>
        <v>1635211</v>
      </c>
      <c r="V87" s="406">
        <f>441400+X99</f>
        <v>541898</v>
      </c>
      <c r="W87" s="406">
        <f>877661+X99</f>
        <v>978159</v>
      </c>
      <c r="X87" s="517">
        <f>470990*0</f>
        <v>0</v>
      </c>
      <c r="Y87" s="518">
        <f>31500*0</f>
        <v>0</v>
      </c>
      <c r="Z87" s="395">
        <f>556041+AB99</f>
        <v>678186.66666666663</v>
      </c>
      <c r="AA87" s="396">
        <f>826749+AB99</f>
        <v>948894.66666666663</v>
      </c>
      <c r="AB87" s="517">
        <f>53367*0</f>
        <v>0</v>
      </c>
      <c r="AC87" s="517">
        <f>35000*0</f>
        <v>0</v>
      </c>
      <c r="AD87" s="396">
        <f>584929+AB99</f>
        <v>707074.66666666663</v>
      </c>
      <c r="AE87" s="517">
        <f>171200*0</f>
        <v>0</v>
      </c>
      <c r="AF87" s="517">
        <f>50336*0</f>
        <v>0</v>
      </c>
      <c r="AG87" s="518">
        <f>56534*0</f>
        <v>0</v>
      </c>
      <c r="AH87" s="395">
        <f>593715+AJ99</f>
        <v>625559.66666666663</v>
      </c>
      <c r="AI87" s="396">
        <f>443026+AJ99</f>
        <v>474870.66666666669</v>
      </c>
      <c r="AJ87" s="517">
        <f>24917*0</f>
        <v>0</v>
      </c>
      <c r="AK87" s="517">
        <f>38617*0</f>
        <v>0</v>
      </c>
      <c r="AL87" s="396">
        <v>37450</v>
      </c>
      <c r="AM87" s="396">
        <f>714933+AJ99</f>
        <v>746777.66666666663</v>
      </c>
      <c r="AN87" s="521">
        <f>32000*0</f>
        <v>0</v>
      </c>
      <c r="AO87" s="530">
        <v>142817</v>
      </c>
      <c r="AP87" s="517">
        <v>1035270</v>
      </c>
      <c r="AQ87" s="517">
        <v>223200</v>
      </c>
      <c r="AR87" s="407">
        <v>198200</v>
      </c>
      <c r="AS87" s="517">
        <v>245275</v>
      </c>
      <c r="AT87" s="517">
        <v>148200</v>
      </c>
      <c r="AU87" s="517">
        <v>794600</v>
      </c>
      <c r="AV87" s="517">
        <v>64867</v>
      </c>
      <c r="AW87" s="517">
        <v>198200</v>
      </c>
      <c r="AX87" s="406">
        <f>373401+BJ99</f>
        <v>436636.5</v>
      </c>
      <c r="AY87" s="406">
        <f>414707+BJ99</f>
        <v>477942.5</v>
      </c>
      <c r="AZ87" s="406">
        <f>689575+BJ99</f>
        <v>752810.5</v>
      </c>
      <c r="BA87" s="406">
        <f>1002039+BJ99</f>
        <v>1065274.5</v>
      </c>
      <c r="BB87" s="517">
        <f>45000*0</f>
        <v>0</v>
      </c>
      <c r="BC87" s="406">
        <f>273584+BJ99</f>
        <v>336819.5</v>
      </c>
      <c r="BD87" s="517">
        <f>47000*0</f>
        <v>0</v>
      </c>
      <c r="BE87" s="406">
        <f>826064+BJ99</f>
        <v>889299.5</v>
      </c>
      <c r="BF87" s="406">
        <f>355114+BJ99</f>
        <v>418349.5</v>
      </c>
      <c r="BG87" s="517">
        <f>285984*0</f>
        <v>0</v>
      </c>
      <c r="BH87" s="406">
        <f>370707+BJ99</f>
        <v>433942.5</v>
      </c>
      <c r="BI87" s="517">
        <f>54700*0</f>
        <v>0</v>
      </c>
      <c r="BJ87" s="518">
        <f>73200*0</f>
        <v>0</v>
      </c>
      <c r="BK87" s="405">
        <f>476479+BN99</f>
        <v>508675.25</v>
      </c>
      <c r="BL87" s="406">
        <f>601406+BN99</f>
        <v>633602.25</v>
      </c>
      <c r="BM87" s="406">
        <f>638569+BN99</f>
        <v>670765.25</v>
      </c>
      <c r="BN87" s="517">
        <f>66876*0</f>
        <v>0</v>
      </c>
      <c r="BO87" s="517">
        <f>36950*0</f>
        <v>0</v>
      </c>
      <c r="BP87" s="406">
        <f>406595+BN99</f>
        <v>438791.25</v>
      </c>
      <c r="BQ87" s="517">
        <f>24959*0</f>
        <v>0</v>
      </c>
      <c r="BR87" s="518">
        <v>0</v>
      </c>
      <c r="BS87" s="387">
        <f>550503+BU99</f>
        <v>581068.19999999995</v>
      </c>
      <c r="BT87" s="319">
        <f>1091767+BU99</f>
        <v>1122332.2</v>
      </c>
      <c r="BU87" s="517">
        <f>62667*0</f>
        <v>0</v>
      </c>
      <c r="BV87" s="319">
        <f>497317+BU99</f>
        <v>527882.19999999995</v>
      </c>
      <c r="BW87" s="319">
        <f>1104911+BU99</f>
        <v>1135476.2</v>
      </c>
      <c r="BX87" s="517">
        <f>63200*0</f>
        <v>0</v>
      </c>
      <c r="BY87" s="319">
        <f>490597+BU99</f>
        <v>521162.2</v>
      </c>
      <c r="BZ87" s="518">
        <f>26959*0</f>
        <v>0</v>
      </c>
      <c r="CA87" s="403">
        <f>SUM(C87:BZ87)</f>
        <v>27508206.999999993</v>
      </c>
      <c r="CB87" s="160">
        <v>27508206.999999996</v>
      </c>
      <c r="CC87" s="316">
        <f>CA87-CB87</f>
        <v>0</v>
      </c>
    </row>
    <row r="88" spans="1:81" x14ac:dyDescent="0.35">
      <c r="B88" s="381"/>
      <c r="C88" s="388"/>
      <c r="D88" s="167"/>
      <c r="E88" s="167"/>
      <c r="F88" s="167"/>
      <c r="G88" s="167"/>
      <c r="H88" s="167"/>
      <c r="I88" s="167"/>
      <c r="J88" s="389"/>
      <c r="K88" s="388"/>
      <c r="L88" s="167"/>
      <c r="M88" s="167"/>
      <c r="N88" s="167"/>
      <c r="O88" s="167"/>
      <c r="P88" s="167"/>
      <c r="Q88" s="389"/>
      <c r="R88" s="388"/>
      <c r="S88" s="167"/>
      <c r="T88" s="168"/>
      <c r="U88" s="167"/>
      <c r="V88" s="167"/>
      <c r="W88" s="167"/>
      <c r="X88" s="167"/>
      <c r="Y88" s="389"/>
      <c r="Z88" s="388"/>
      <c r="AA88" s="167"/>
      <c r="AB88" s="167"/>
      <c r="AC88" s="167"/>
      <c r="AD88" s="167"/>
      <c r="AE88" s="167"/>
      <c r="AF88" s="167"/>
      <c r="AG88" s="389"/>
      <c r="AH88" s="388"/>
      <c r="AI88" s="167"/>
      <c r="AJ88" s="167"/>
      <c r="AK88" s="167"/>
      <c r="AL88" s="167"/>
      <c r="AM88" s="167"/>
      <c r="AN88" s="399"/>
      <c r="AO88" s="388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389"/>
      <c r="BK88" s="388"/>
      <c r="BL88" s="167"/>
      <c r="BM88" s="167"/>
      <c r="BN88" s="167"/>
      <c r="BO88" s="167"/>
      <c r="BP88" s="167"/>
      <c r="BQ88" s="167"/>
      <c r="BR88" s="389"/>
      <c r="BS88" s="388"/>
      <c r="BT88" s="167"/>
      <c r="BU88" s="167"/>
      <c r="BV88" s="167"/>
      <c r="BW88" s="167"/>
      <c r="BX88" s="167"/>
      <c r="BY88" s="167"/>
      <c r="BZ88" s="389"/>
      <c r="CA88" s="404"/>
      <c r="CC88" s="316"/>
    </row>
    <row r="89" spans="1:81" x14ac:dyDescent="0.35">
      <c r="B89" s="380" t="s">
        <v>555</v>
      </c>
      <c r="C89" s="390">
        <v>40692</v>
      </c>
      <c r="D89" s="320">
        <v>48394</v>
      </c>
      <c r="E89" s="320">
        <v>2008</v>
      </c>
      <c r="F89" s="320">
        <v>2000</v>
      </c>
      <c r="G89" s="320">
        <v>49489</v>
      </c>
      <c r="H89" s="320">
        <v>2310</v>
      </c>
      <c r="I89" s="320">
        <v>34217</v>
      </c>
      <c r="J89" s="391">
        <v>2000</v>
      </c>
      <c r="K89" s="390">
        <v>40093</v>
      </c>
      <c r="L89" s="320">
        <v>50103</v>
      </c>
      <c r="M89" s="320">
        <v>50888</v>
      </c>
      <c r="N89" s="320">
        <v>2000</v>
      </c>
      <c r="O89" s="320">
        <v>3732</v>
      </c>
      <c r="P89" s="320">
        <v>52858</v>
      </c>
      <c r="Q89" s="391">
        <v>38923</v>
      </c>
      <c r="R89" s="390">
        <v>65015</v>
      </c>
      <c r="S89" s="320">
        <v>93337</v>
      </c>
      <c r="T89" s="168">
        <v>63785</v>
      </c>
      <c r="U89" s="320">
        <v>180157</v>
      </c>
      <c r="V89" s="320">
        <v>44809</v>
      </c>
      <c r="W89" s="320">
        <v>82917</v>
      </c>
      <c r="X89" s="320">
        <v>67856</v>
      </c>
      <c r="Y89" s="391">
        <v>2000</v>
      </c>
      <c r="Z89" s="390">
        <v>47945</v>
      </c>
      <c r="AA89" s="320">
        <v>73098</v>
      </c>
      <c r="AB89" s="320">
        <v>3600</v>
      </c>
      <c r="AC89" s="320">
        <v>1800</v>
      </c>
      <c r="AD89" s="320">
        <v>55577</v>
      </c>
      <c r="AE89" s="320">
        <v>19352</v>
      </c>
      <c r="AF89" s="320">
        <v>3613</v>
      </c>
      <c r="AG89" s="391">
        <v>1800</v>
      </c>
      <c r="AH89" s="390">
        <v>61894</v>
      </c>
      <c r="AI89" s="320">
        <v>43187</v>
      </c>
      <c r="AJ89" s="320">
        <v>2000</v>
      </c>
      <c r="AK89" s="320">
        <v>2000</v>
      </c>
      <c r="AL89" s="320">
        <v>4119</v>
      </c>
      <c r="AM89" s="320">
        <v>69889</v>
      </c>
      <c r="AN89" s="400">
        <v>2000</v>
      </c>
      <c r="AO89" s="390">
        <v>17890</v>
      </c>
      <c r="AP89" s="320">
        <v>150309</v>
      </c>
      <c r="AQ89" s="320">
        <v>36031</v>
      </c>
      <c r="AR89" s="320">
        <v>37013</v>
      </c>
      <c r="AS89" s="320">
        <v>83017</v>
      </c>
      <c r="AT89" s="320">
        <v>32442</v>
      </c>
      <c r="AU89" s="320">
        <v>174850</v>
      </c>
      <c r="AV89" s="320">
        <v>6061</v>
      </c>
      <c r="AW89" s="320">
        <v>36538</v>
      </c>
      <c r="AX89" s="320">
        <v>36478</v>
      </c>
      <c r="AY89" s="320">
        <v>39647</v>
      </c>
      <c r="AZ89" s="320">
        <v>68679</v>
      </c>
      <c r="BA89" s="320">
        <v>99596</v>
      </c>
      <c r="BB89" s="320">
        <v>2000</v>
      </c>
      <c r="BC89" s="320">
        <v>27482</v>
      </c>
      <c r="BD89" s="320">
        <v>2000</v>
      </c>
      <c r="BE89" s="320">
        <v>110165</v>
      </c>
      <c r="BF89" s="320">
        <v>34478</v>
      </c>
      <c r="BG89" s="320">
        <v>43343</v>
      </c>
      <c r="BH89" s="320">
        <v>39526</v>
      </c>
      <c r="BI89" s="320">
        <v>4000</v>
      </c>
      <c r="BJ89" s="391">
        <v>2000</v>
      </c>
      <c r="BK89" s="390">
        <v>57618</v>
      </c>
      <c r="BL89" s="320">
        <v>60019</v>
      </c>
      <c r="BM89" s="320">
        <v>56303</v>
      </c>
      <c r="BN89" s="320">
        <v>4000</v>
      </c>
      <c r="BO89" s="320">
        <v>2000</v>
      </c>
      <c r="BP89" s="320">
        <v>38732</v>
      </c>
      <c r="BQ89" s="320">
        <v>2000</v>
      </c>
      <c r="BR89" s="391">
        <v>0</v>
      </c>
      <c r="BS89" s="390">
        <v>56257</v>
      </c>
      <c r="BT89" s="320">
        <v>99933</v>
      </c>
      <c r="BU89" s="320">
        <v>4000</v>
      </c>
      <c r="BV89" s="320">
        <v>46480</v>
      </c>
      <c r="BW89" s="320">
        <v>119327</v>
      </c>
      <c r="BX89" s="320">
        <v>4561</v>
      </c>
      <c r="BY89" s="320">
        <v>53815</v>
      </c>
      <c r="BZ89" s="391">
        <v>2000</v>
      </c>
      <c r="CA89" s="403">
        <f>SUM(C89:BZ89)</f>
        <v>3102047</v>
      </c>
    </row>
    <row r="90" spans="1:81" x14ac:dyDescent="0.35">
      <c r="B90" s="381"/>
      <c r="C90" s="390"/>
      <c r="D90" s="167"/>
      <c r="E90" s="167"/>
      <c r="F90" s="167"/>
      <c r="G90" s="167"/>
      <c r="H90" s="167"/>
      <c r="I90" s="167"/>
      <c r="J90" s="389"/>
      <c r="K90" s="388"/>
      <c r="L90" s="167"/>
      <c r="M90" s="167"/>
      <c r="N90" s="167"/>
      <c r="O90" s="167"/>
      <c r="P90" s="167"/>
      <c r="Q90" s="389"/>
      <c r="R90" s="388"/>
      <c r="S90" s="167"/>
      <c r="T90" s="168"/>
      <c r="U90" s="167"/>
      <c r="V90" s="167"/>
      <c r="W90" s="167"/>
      <c r="X90" s="167"/>
      <c r="Y90" s="389"/>
      <c r="Z90" s="388"/>
      <c r="AA90" s="167"/>
      <c r="AB90" s="167"/>
      <c r="AC90" s="167"/>
      <c r="AD90" s="167"/>
      <c r="AE90" s="167"/>
      <c r="AF90" s="167"/>
      <c r="AG90" s="389"/>
      <c r="AH90" s="388"/>
      <c r="AI90" s="167"/>
      <c r="AJ90" s="167"/>
      <c r="AK90" s="167"/>
      <c r="AL90" s="167"/>
      <c r="AM90" s="167"/>
      <c r="AN90" s="399"/>
      <c r="AO90" s="388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389"/>
      <c r="BK90" s="388"/>
      <c r="BL90" s="167"/>
      <c r="BM90" s="167"/>
      <c r="BN90" s="167"/>
      <c r="BO90" s="167"/>
      <c r="BP90" s="167"/>
      <c r="BQ90" s="167"/>
      <c r="BR90" s="389"/>
      <c r="BS90" s="388"/>
      <c r="BT90" s="167"/>
      <c r="BU90" s="167"/>
      <c r="BV90" s="167"/>
      <c r="BW90" s="167"/>
      <c r="BX90" s="167"/>
      <c r="BY90" s="167"/>
      <c r="BZ90" s="389"/>
      <c r="CA90" s="404"/>
    </row>
    <row r="91" spans="1:81" ht="15" thickBot="1" x14ac:dyDescent="0.4">
      <c r="B91" s="380" t="s">
        <v>556</v>
      </c>
      <c r="C91" s="392">
        <f>C87-C89</f>
        <v>406672.5</v>
      </c>
      <c r="D91" s="393">
        <f t="shared" ref="D91:BO91" si="11">D87-D89</f>
        <v>451775.5</v>
      </c>
      <c r="E91" s="393">
        <f t="shared" si="11"/>
        <v>-2008</v>
      </c>
      <c r="F91" s="393">
        <f t="shared" si="11"/>
        <v>-2000</v>
      </c>
      <c r="G91" s="393">
        <f t="shared" si="11"/>
        <v>473755.5</v>
      </c>
      <c r="H91" s="393">
        <f t="shared" si="11"/>
        <v>-2310</v>
      </c>
      <c r="I91" s="393">
        <f t="shared" si="11"/>
        <v>311220.5</v>
      </c>
      <c r="J91" s="394">
        <f t="shared" si="11"/>
        <v>-2000</v>
      </c>
      <c r="K91" s="392">
        <f t="shared" si="11"/>
        <v>507214</v>
      </c>
      <c r="L91" s="393">
        <f t="shared" si="11"/>
        <v>569749</v>
      </c>
      <c r="M91" s="393">
        <f t="shared" si="11"/>
        <v>527970</v>
      </c>
      <c r="N91" s="393">
        <f t="shared" si="11"/>
        <v>-2000</v>
      </c>
      <c r="O91" s="393">
        <f t="shared" si="11"/>
        <v>-3732</v>
      </c>
      <c r="P91" s="393">
        <f t="shared" si="11"/>
        <v>622067</v>
      </c>
      <c r="Q91" s="394">
        <f t="shared" si="11"/>
        <v>-38923</v>
      </c>
      <c r="R91" s="392">
        <f t="shared" si="11"/>
        <v>717227</v>
      </c>
      <c r="S91" s="393">
        <f t="shared" si="11"/>
        <v>1019929</v>
      </c>
      <c r="T91" s="393">
        <f t="shared" si="11"/>
        <v>-63785</v>
      </c>
      <c r="U91" s="393">
        <f t="shared" si="11"/>
        <v>1455054</v>
      </c>
      <c r="V91" s="393">
        <f t="shared" si="11"/>
        <v>497089</v>
      </c>
      <c r="W91" s="393">
        <f t="shared" si="11"/>
        <v>895242</v>
      </c>
      <c r="X91" s="393">
        <f t="shared" si="11"/>
        <v>-67856</v>
      </c>
      <c r="Y91" s="394">
        <f t="shared" si="11"/>
        <v>-2000</v>
      </c>
      <c r="Z91" s="392">
        <f t="shared" si="11"/>
        <v>630241.66666666663</v>
      </c>
      <c r="AA91" s="393">
        <f t="shared" si="11"/>
        <v>875796.66666666663</v>
      </c>
      <c r="AB91" s="393">
        <f t="shared" si="11"/>
        <v>-3600</v>
      </c>
      <c r="AC91" s="393">
        <f t="shared" si="11"/>
        <v>-1800</v>
      </c>
      <c r="AD91" s="393">
        <f t="shared" si="11"/>
        <v>651497.66666666663</v>
      </c>
      <c r="AE91" s="393">
        <f t="shared" si="11"/>
        <v>-19352</v>
      </c>
      <c r="AF91" s="393">
        <f t="shared" si="11"/>
        <v>-3613</v>
      </c>
      <c r="AG91" s="394">
        <f t="shared" si="11"/>
        <v>-1800</v>
      </c>
      <c r="AH91" s="392">
        <f t="shared" si="11"/>
        <v>563665.66666666663</v>
      </c>
      <c r="AI91" s="393">
        <f t="shared" si="11"/>
        <v>431683.66666666669</v>
      </c>
      <c r="AJ91" s="393">
        <f t="shared" si="11"/>
        <v>-2000</v>
      </c>
      <c r="AK91" s="393">
        <f t="shared" si="11"/>
        <v>-2000</v>
      </c>
      <c r="AL91" s="393">
        <f t="shared" si="11"/>
        <v>33331</v>
      </c>
      <c r="AM91" s="393">
        <f t="shared" si="11"/>
        <v>676888.66666666663</v>
      </c>
      <c r="AN91" s="401">
        <f t="shared" si="11"/>
        <v>-2000</v>
      </c>
      <c r="AO91" s="392">
        <f t="shared" si="11"/>
        <v>124927</v>
      </c>
      <c r="AP91" s="393">
        <f t="shared" si="11"/>
        <v>884961</v>
      </c>
      <c r="AQ91" s="393">
        <f t="shared" si="11"/>
        <v>187169</v>
      </c>
      <c r="AR91" s="393">
        <f t="shared" si="11"/>
        <v>161187</v>
      </c>
      <c r="AS91" s="393">
        <f t="shared" si="11"/>
        <v>162258</v>
      </c>
      <c r="AT91" s="393">
        <f t="shared" si="11"/>
        <v>115758</v>
      </c>
      <c r="AU91" s="393">
        <f t="shared" si="11"/>
        <v>619750</v>
      </c>
      <c r="AV91" s="393">
        <f t="shared" si="11"/>
        <v>58806</v>
      </c>
      <c r="AW91" s="393">
        <f t="shared" si="11"/>
        <v>161662</v>
      </c>
      <c r="AX91" s="393">
        <f t="shared" si="11"/>
        <v>400158.5</v>
      </c>
      <c r="AY91" s="393">
        <f t="shared" si="11"/>
        <v>438295.5</v>
      </c>
      <c r="AZ91" s="393">
        <f t="shared" si="11"/>
        <v>684131.5</v>
      </c>
      <c r="BA91" s="393">
        <f t="shared" si="11"/>
        <v>965678.5</v>
      </c>
      <c r="BB91" s="393">
        <f t="shared" si="11"/>
        <v>-2000</v>
      </c>
      <c r="BC91" s="393">
        <f t="shared" si="11"/>
        <v>309337.5</v>
      </c>
      <c r="BD91" s="393">
        <f t="shared" si="11"/>
        <v>-2000</v>
      </c>
      <c r="BE91" s="393">
        <f t="shared" si="11"/>
        <v>779134.5</v>
      </c>
      <c r="BF91" s="393">
        <f t="shared" si="11"/>
        <v>383871.5</v>
      </c>
      <c r="BG91" s="393">
        <f t="shared" si="11"/>
        <v>-43343</v>
      </c>
      <c r="BH91" s="393">
        <f t="shared" si="11"/>
        <v>394416.5</v>
      </c>
      <c r="BI91" s="393">
        <f t="shared" si="11"/>
        <v>-4000</v>
      </c>
      <c r="BJ91" s="394">
        <f t="shared" si="11"/>
        <v>-2000</v>
      </c>
      <c r="BK91" s="392">
        <f t="shared" si="11"/>
        <v>451057.25</v>
      </c>
      <c r="BL91" s="393">
        <f t="shared" si="11"/>
        <v>573583.25</v>
      </c>
      <c r="BM91" s="393">
        <f t="shared" si="11"/>
        <v>614462.25</v>
      </c>
      <c r="BN91" s="393">
        <f t="shared" si="11"/>
        <v>-4000</v>
      </c>
      <c r="BO91" s="393">
        <f t="shared" si="11"/>
        <v>-2000</v>
      </c>
      <c r="BP91" s="393">
        <f t="shared" ref="BP91:BZ91" si="12">BP87-BP89</f>
        <v>400059.25</v>
      </c>
      <c r="BQ91" s="393">
        <f t="shared" si="12"/>
        <v>-2000</v>
      </c>
      <c r="BR91" s="394">
        <f t="shared" si="12"/>
        <v>0</v>
      </c>
      <c r="BS91" s="392">
        <f t="shared" si="12"/>
        <v>524811.19999999995</v>
      </c>
      <c r="BT91" s="393">
        <f t="shared" si="12"/>
        <v>1022399.2</v>
      </c>
      <c r="BU91" s="393">
        <f t="shared" si="12"/>
        <v>-4000</v>
      </c>
      <c r="BV91" s="393">
        <f t="shared" si="12"/>
        <v>481402.19999999995</v>
      </c>
      <c r="BW91" s="393">
        <f t="shared" si="12"/>
        <v>1016149.2</v>
      </c>
      <c r="BX91" s="393">
        <f t="shared" si="12"/>
        <v>-4561</v>
      </c>
      <c r="BY91" s="393">
        <f t="shared" si="12"/>
        <v>467347.20000000001</v>
      </c>
      <c r="BZ91" s="394">
        <f t="shared" si="12"/>
        <v>-2000</v>
      </c>
      <c r="CA91" s="403">
        <f>SUM(C91:BZ91)</f>
        <v>24406159.999999993</v>
      </c>
    </row>
    <row r="92" spans="1:81" x14ac:dyDescent="0.35">
      <c r="B92" s="312"/>
      <c r="C92" s="606"/>
      <c r="D92" s="606"/>
      <c r="E92" s="606"/>
      <c r="F92" s="606"/>
      <c r="G92" s="606"/>
      <c r="H92" s="606"/>
      <c r="I92" s="606"/>
      <c r="J92" s="606"/>
      <c r="K92" s="606"/>
      <c r="L92" s="606"/>
      <c r="M92" s="606"/>
      <c r="N92" s="606"/>
      <c r="O92" s="606"/>
      <c r="P92" s="606"/>
      <c r="Q92" s="606"/>
      <c r="R92" s="606"/>
      <c r="S92" s="606"/>
      <c r="T92" s="606"/>
      <c r="U92" s="606"/>
      <c r="V92" s="606"/>
      <c r="W92" s="606"/>
      <c r="X92" s="606"/>
      <c r="Y92" s="606"/>
      <c r="Z92" s="606"/>
      <c r="AA92" s="606"/>
      <c r="AB92" s="606"/>
      <c r="AC92" s="606"/>
      <c r="AD92" s="606"/>
      <c r="AE92" s="606"/>
      <c r="AF92" s="606"/>
      <c r="AG92" s="606"/>
      <c r="AH92" s="606"/>
      <c r="AI92" s="606"/>
      <c r="AJ92" s="606"/>
      <c r="AK92" s="606"/>
      <c r="AL92" s="606"/>
      <c r="AM92" s="606"/>
      <c r="AN92" s="606"/>
      <c r="AO92" s="606"/>
      <c r="AP92" s="606"/>
      <c r="AQ92" s="606"/>
      <c r="AR92" s="606"/>
      <c r="AS92" s="606"/>
      <c r="AT92" s="606"/>
      <c r="AU92" s="606"/>
      <c r="AV92" s="606"/>
      <c r="AW92" s="606"/>
      <c r="AX92" s="606"/>
      <c r="AY92" s="606"/>
      <c r="AZ92" s="606"/>
      <c r="BA92" s="606"/>
      <c r="BB92" s="606"/>
      <c r="BC92" s="606"/>
      <c r="BD92" s="606"/>
      <c r="BE92" s="606"/>
      <c r="BF92" s="606"/>
      <c r="BG92" s="606"/>
      <c r="BH92" s="606"/>
      <c r="BI92" s="606"/>
      <c r="BJ92" s="606"/>
      <c r="BK92" s="606"/>
      <c r="BL92" s="606"/>
      <c r="BM92" s="606"/>
      <c r="BN92" s="606"/>
      <c r="BO92" s="606"/>
      <c r="BP92" s="606"/>
      <c r="BQ92" s="606"/>
      <c r="BR92" s="606"/>
      <c r="BS92" s="606"/>
      <c r="BT92" s="606"/>
      <c r="BU92" s="606"/>
      <c r="BV92" s="606"/>
      <c r="BW92" s="606"/>
      <c r="BX92" s="606"/>
      <c r="BY92" s="606"/>
      <c r="BZ92" s="606"/>
      <c r="CA92" s="607"/>
    </row>
    <row r="93" spans="1:81" x14ac:dyDescent="0.35">
      <c r="B93" s="312" t="s">
        <v>1056</v>
      </c>
      <c r="C93" s="606">
        <v>34990</v>
      </c>
      <c r="D93" s="606">
        <v>41552</v>
      </c>
      <c r="E93" s="606">
        <v>1680</v>
      </c>
      <c r="F93" s="606">
        <v>1800</v>
      </c>
      <c r="G93" s="606">
        <v>43555</v>
      </c>
      <c r="H93" s="606">
        <v>2110</v>
      </c>
      <c r="I93" s="606">
        <v>29401</v>
      </c>
      <c r="J93" s="606">
        <v>1800</v>
      </c>
      <c r="K93" s="606">
        <v>37042</v>
      </c>
      <c r="L93" s="606">
        <v>46066</v>
      </c>
      <c r="M93" s="606">
        <v>45555</v>
      </c>
      <c r="N93" s="606">
        <v>1800</v>
      </c>
      <c r="O93" s="606">
        <v>3600</v>
      </c>
      <c r="P93" s="606">
        <v>48690</v>
      </c>
      <c r="Q93" s="606">
        <v>10800</v>
      </c>
      <c r="R93" s="606">
        <v>60742</v>
      </c>
      <c r="S93" s="606">
        <v>83407</v>
      </c>
      <c r="T93" s="606">
        <v>60290</v>
      </c>
      <c r="U93" s="606">
        <v>114893</v>
      </c>
      <c r="V93" s="606">
        <v>41852</v>
      </c>
      <c r="W93" s="606">
        <v>73740</v>
      </c>
      <c r="X93" s="606">
        <v>8390</v>
      </c>
      <c r="Y93" s="606">
        <v>1800</v>
      </c>
      <c r="Z93" s="606">
        <v>46067</v>
      </c>
      <c r="AA93" s="606">
        <v>69801</v>
      </c>
      <c r="AB93" s="606">
        <v>3600</v>
      </c>
      <c r="AC93" s="606">
        <v>1800</v>
      </c>
      <c r="AD93" s="606">
        <v>53060</v>
      </c>
      <c r="AE93" s="606">
        <v>5400</v>
      </c>
      <c r="AF93" s="606">
        <v>3460</v>
      </c>
      <c r="AG93" s="606">
        <v>1800</v>
      </c>
      <c r="AH93" s="606">
        <v>53506</v>
      </c>
      <c r="AI93" s="606">
        <v>37560</v>
      </c>
      <c r="AJ93" s="606">
        <v>1800</v>
      </c>
      <c r="AK93" s="606">
        <v>1800</v>
      </c>
      <c r="AL93" s="606">
        <v>3600</v>
      </c>
      <c r="AM93" s="606">
        <v>54026</v>
      </c>
      <c r="AN93" s="606">
        <v>1800</v>
      </c>
      <c r="AO93" s="606">
        <v>3600</v>
      </c>
      <c r="AP93" s="606">
        <v>21600</v>
      </c>
      <c r="AQ93" s="606">
        <v>1800</v>
      </c>
      <c r="AR93" s="606">
        <v>1800</v>
      </c>
      <c r="AS93" s="606">
        <v>6120</v>
      </c>
      <c r="AT93" s="606">
        <v>1800</v>
      </c>
      <c r="AU93" s="606">
        <v>5400</v>
      </c>
      <c r="AV93" s="606">
        <v>1800</v>
      </c>
      <c r="AW93" s="606">
        <v>1800</v>
      </c>
      <c r="AX93" s="606">
        <v>31795</v>
      </c>
      <c r="AY93" s="606">
        <v>30360</v>
      </c>
      <c r="AZ93" s="606">
        <v>53730</v>
      </c>
      <c r="BA93" s="606">
        <v>69689</v>
      </c>
      <c r="BB93" s="606">
        <v>1800</v>
      </c>
      <c r="BC93" s="606">
        <v>23674</v>
      </c>
      <c r="BD93" s="606">
        <v>1800</v>
      </c>
      <c r="BE93" s="606">
        <v>51384</v>
      </c>
      <c r="BF93" s="606">
        <v>29769</v>
      </c>
      <c r="BG93" s="606">
        <v>5400</v>
      </c>
      <c r="BH93" s="606">
        <v>33883</v>
      </c>
      <c r="BI93" s="606">
        <v>3600</v>
      </c>
      <c r="BJ93" s="606">
        <v>1800</v>
      </c>
      <c r="BK93" s="606">
        <v>43777</v>
      </c>
      <c r="BL93" s="606">
        <v>52341</v>
      </c>
      <c r="BM93" s="606">
        <v>50160</v>
      </c>
      <c r="BN93" s="606">
        <v>3600</v>
      </c>
      <c r="BO93" s="606">
        <v>1800</v>
      </c>
      <c r="BP93" s="606">
        <v>33677</v>
      </c>
      <c r="BQ93" s="606">
        <v>1800</v>
      </c>
      <c r="BR93" s="606">
        <v>0</v>
      </c>
      <c r="BS93" s="606">
        <v>49311</v>
      </c>
      <c r="BT93" s="606">
        <v>84807</v>
      </c>
      <c r="BU93" s="606">
        <v>3600</v>
      </c>
      <c r="BV93" s="606">
        <v>41309</v>
      </c>
      <c r="BW93" s="606">
        <v>91184</v>
      </c>
      <c r="BX93" s="606">
        <v>1800</v>
      </c>
      <c r="BY93" s="606">
        <v>46788</v>
      </c>
      <c r="BZ93" s="606">
        <v>1800</v>
      </c>
      <c r="CA93" s="607">
        <f>SUM(C93:BZ93)</f>
        <v>2026793</v>
      </c>
    </row>
    <row r="94" spans="1:81" x14ac:dyDescent="0.35">
      <c r="B94" s="312" t="s">
        <v>1057</v>
      </c>
      <c r="C94" s="611">
        <f>((C93/$CA$93)*$CA$94)+E96</f>
        <v>45062.152770411187</v>
      </c>
      <c r="D94" s="611">
        <f>((D93/$CA$93)*$CA$94)+E96</f>
        <v>53089.240560826882</v>
      </c>
      <c r="E94" s="609">
        <f>((E93/$CA$93)*$CA$94)*0</f>
        <v>0</v>
      </c>
      <c r="F94" s="609">
        <f>((F93/$CA$93)*$CA$94)*0</f>
        <v>0</v>
      </c>
      <c r="G94" s="611">
        <f>((G93/$CA$93)*$CA$94)+E96</f>
        <v>55539.447333792843</v>
      </c>
      <c r="H94" s="609">
        <f>((H93/$CA$93)*$CA$94)*0</f>
        <v>0</v>
      </c>
      <c r="I94" s="611">
        <f>((I93/$CA$93)*$CA$94)+E96</f>
        <v>38225.305214691391</v>
      </c>
      <c r="J94" s="609">
        <f>((J93/$CA$93)*$CA$94)*0</f>
        <v>0</v>
      </c>
      <c r="K94" s="611">
        <f>((K93/$CA$93)*$CA$94)+N96</f>
        <v>49165.606899175196</v>
      </c>
      <c r="L94" s="611">
        <f>((L93/$CA$93)*$CA$94)+N96</f>
        <v>60204.381696601486</v>
      </c>
      <c r="M94" s="611">
        <f>((M93/$CA$93)*$CA$94)+N96</f>
        <v>59579.29150140148</v>
      </c>
      <c r="N94" s="609">
        <f>((N93/$CA$93)*$CA$94)*0</f>
        <v>0</v>
      </c>
      <c r="O94" s="609">
        <f>((O93/$CA$93)*$CA$94)*0</f>
        <v>0</v>
      </c>
      <c r="P94" s="611">
        <f>((P93/$CA$93)*$CA$94)+N96</f>
        <v>63414.238197980761</v>
      </c>
      <c r="Q94" s="609">
        <f>((Q93/$CA$93)*$CA$94)*0</f>
        <v>0</v>
      </c>
      <c r="R94" s="611">
        <f>((R93/$CA$93)*$CA$94)+X96</f>
        <v>76796.795410286111</v>
      </c>
      <c r="S94" s="611">
        <f>((S93/$CA$93)*$CA$94)+X96</f>
        <v>104522.17559464634</v>
      </c>
      <c r="T94" s="609">
        <f>((T93/$CA$93)*$CA$94)*0</f>
        <v>0</v>
      </c>
      <c r="U94" s="611">
        <f>((U93/$CA$93)*$CA$94)+X96</f>
        <v>143038.00707423006</v>
      </c>
      <c r="V94" s="611">
        <f>((V93/$CA$93)*$CA$94)+X96</f>
        <v>53689.253752109857</v>
      </c>
      <c r="W94" s="611">
        <f>((W93/$CA$93)*$CA$94)+X96</f>
        <v>92696.839162164077</v>
      </c>
      <c r="X94" s="609">
        <f>((X93/$CA$93)*$CA$94)*0</f>
        <v>0</v>
      </c>
      <c r="Y94" s="609">
        <f>((Y93/$CA$93)*$CA$94)*0</f>
        <v>0</v>
      </c>
      <c r="Z94" s="611">
        <f>((Z93/$CA$93)*$CA$94)+AB96</f>
        <v>62900.873190963917</v>
      </c>
      <c r="AA94" s="611">
        <f>((AA93/$CA$93)*$CA$94)+AB96</f>
        <v>91933.927384460738</v>
      </c>
      <c r="AB94" s="609">
        <f>((AB93/$CA$93)*$CA$94)*0</f>
        <v>0</v>
      </c>
      <c r="AC94" s="609">
        <f>((AC93/$CA$93)*$CA$94)*0</f>
        <v>0</v>
      </c>
      <c r="AD94" s="611">
        <f>((AD93/$CA$93)*$CA$94)+AB96</f>
        <v>71455.189697879032</v>
      </c>
      <c r="AE94" s="609">
        <f>((AE93/$CA$93)*$CA$94)*0</f>
        <v>0</v>
      </c>
      <c r="AF94" s="609">
        <f>((AF93/$CA$93)*$CA$94)*0</f>
        <v>0</v>
      </c>
      <c r="AG94" s="609">
        <f>((AG93/$CA$93)*$CA$94)*0</f>
        <v>0</v>
      </c>
      <c r="AH94" s="611">
        <f>((AH93/$CA$93)*$CA$94)+AJ96</f>
        <v>67654.086762683713</v>
      </c>
      <c r="AI94" s="611">
        <f>((AI93/$CA$93)*$CA$94)+AJ96</f>
        <v>48147.847520689087</v>
      </c>
      <c r="AJ94" s="609">
        <f>((AJ93/$CA$93)*$CA$94)*0</f>
        <v>0</v>
      </c>
      <c r="AK94" s="609">
        <f>((AK93/$CA$93)*$CA$94)*0</f>
        <v>0</v>
      </c>
      <c r="AL94" s="611">
        <f t="shared" ref="AL94:AW94" si="13">(AL93/$CA$93)*$CA$94</f>
        <v>4403.766541526441</v>
      </c>
      <c r="AM94" s="611">
        <f>((AM93/$CA$93)*$CA$94)+AJ96</f>
        <v>68290.186374237528</v>
      </c>
      <c r="AN94" s="609">
        <f>((AN93/$CA$93)*$CA$94)*0</f>
        <v>0</v>
      </c>
      <c r="AO94" s="612">
        <f t="shared" si="13"/>
        <v>4403.766541526441</v>
      </c>
      <c r="AP94" s="612">
        <f t="shared" si="13"/>
        <v>26422.599249158648</v>
      </c>
      <c r="AQ94" s="612">
        <f t="shared" si="13"/>
        <v>2201.8832707632205</v>
      </c>
      <c r="AR94" s="612">
        <f t="shared" si="13"/>
        <v>2201.8832707632205</v>
      </c>
      <c r="AS94" s="612">
        <f t="shared" si="13"/>
        <v>7486.4031205949495</v>
      </c>
      <c r="AT94" s="612">
        <f t="shared" si="13"/>
        <v>2201.8832707632205</v>
      </c>
      <c r="AU94" s="612">
        <f t="shared" si="13"/>
        <v>6605.6498122896619</v>
      </c>
      <c r="AV94" s="612">
        <f t="shared" si="13"/>
        <v>2201.8832707632205</v>
      </c>
      <c r="AW94" s="612">
        <f t="shared" si="13"/>
        <v>2201.8832707632205</v>
      </c>
      <c r="AX94" s="611">
        <f>((AX93/$CA$93)*$CA$94)+BI96</f>
        <v>41095.704711827988</v>
      </c>
      <c r="AY94" s="611">
        <f>((AY93/$CA$93)*$CA$94)+BI96</f>
        <v>39340.314437636203</v>
      </c>
      <c r="AZ94" s="611">
        <f>((AZ93/$CA$93)*$CA$94)+BI96</f>
        <v>67928.098903045364</v>
      </c>
      <c r="BA94" s="611">
        <f>((BA93/$CA$93)*$CA$94)+BI96</f>
        <v>87450.24063532881</v>
      </c>
      <c r="BB94" s="609">
        <f>((BB93/$CA$93)*$CA$94)*0</f>
        <v>0</v>
      </c>
      <c r="BC94" s="611">
        <f>((BC93/$CA$93)*$CA$94)+BI96</f>
        <v>31161.5413552346</v>
      </c>
      <c r="BD94" s="609">
        <f>((BD93/$CA$93)*$CA$94)*0</f>
        <v>0</v>
      </c>
      <c r="BE94" s="611">
        <f>((BE93/$CA$93)*$CA$94)+BI96</f>
        <v>65058.311040150613</v>
      </c>
      <c r="BF94" s="611">
        <f>((BF93/$CA$93)*$CA$94)+BI96</f>
        <v>38617.362763735611</v>
      </c>
      <c r="BG94" s="609">
        <f>((BG93/$CA$93)*$CA$94)*0</f>
        <v>0</v>
      </c>
      <c r="BH94" s="611">
        <f>((BH93/$CA$93)*$CA$94)+BI96</f>
        <v>43649.889305913326</v>
      </c>
      <c r="BI94" s="609">
        <f>((BI93/$CA$93)*$CA$94)*0</f>
        <v>0</v>
      </c>
      <c r="BJ94" s="609">
        <f>((BJ93/$CA$93)*$CA$94)*0</f>
        <v>0</v>
      </c>
      <c r="BK94" s="611">
        <f>((BK93/$CA$93)*$CA$94)+BN96</f>
        <v>55752.907684208498</v>
      </c>
      <c r="BL94" s="611">
        <f>((BL93/$CA$93)*$CA$94)+BN96</f>
        <v>66228.978979106396</v>
      </c>
      <c r="BM94" s="611">
        <f>((BM93/$CA$93)*$CA$94)+BN96</f>
        <v>63561.03041603163</v>
      </c>
      <c r="BN94" s="609">
        <f>((BN93/$CA$93)*$CA$94)*0</f>
        <v>0</v>
      </c>
      <c r="BO94" s="609">
        <f>((BO93/$CA$93)*$CA$94)*0</f>
        <v>0</v>
      </c>
      <c r="BP94" s="611">
        <f>((BP93/$CA$93)*$CA$94)+BN96</f>
        <v>43397.895998259315</v>
      </c>
      <c r="BQ94" s="609">
        <f>((BQ93/$CA$93)*$CA$94)*0</f>
        <v>0</v>
      </c>
      <c r="BR94" s="609">
        <f>(BR93/$CA$93)*$CA$94</f>
        <v>0</v>
      </c>
      <c r="BS94" s="611">
        <f>((BS93/$CA$93)*$CA$94)+BU96</f>
        <v>62082.098819169005</v>
      </c>
      <c r="BT94" s="611">
        <f>((BT93/$CA$93)*$CA$94)+BU96</f>
        <v>105503.23691861972</v>
      </c>
      <c r="BU94" s="609">
        <f>((BU93/$CA$93)*$CA$94)*0</f>
        <v>0</v>
      </c>
      <c r="BV94" s="611">
        <f>((BV93/$CA$93)*$CA$94)+BU96</f>
        <v>52293.504412142735</v>
      </c>
      <c r="BW94" s="611">
        <f>((BW93/$CA$93)*$CA$94)+BU96</f>
        <v>113304.02003954031</v>
      </c>
      <c r="BX94" s="609">
        <f>((BX93/$CA$93)*$CA$94)*0</f>
        <v>0</v>
      </c>
      <c r="BY94" s="611">
        <f>((BY93/$CA$93)*$CA$94)+BU96</f>
        <v>58995.792434649215</v>
      </c>
      <c r="BZ94" s="609">
        <f>((BZ93/$CA$93)*$CA$94)*0</f>
        <v>0</v>
      </c>
      <c r="CA94" s="607">
        <v>2479312</v>
      </c>
    </row>
    <row r="95" spans="1:81" x14ac:dyDescent="0.35">
      <c r="B95" s="312"/>
      <c r="C95" s="608"/>
      <c r="D95" s="608"/>
      <c r="E95" s="610">
        <f>J94+H94+F94+E94</f>
        <v>0</v>
      </c>
      <c r="F95" s="610">
        <v>9039.9540949667808</v>
      </c>
      <c r="G95" s="610"/>
      <c r="H95" s="610"/>
      <c r="I95" s="610"/>
      <c r="K95" s="608"/>
      <c r="L95" s="608"/>
      <c r="M95" s="608"/>
      <c r="N95" s="608">
        <f>+N94+Q94</f>
        <v>0</v>
      </c>
      <c r="O95" s="608">
        <v>15413.182895342545</v>
      </c>
      <c r="P95" s="608"/>
      <c r="Q95" s="608"/>
      <c r="R95" s="608"/>
      <c r="S95" s="608"/>
      <c r="T95" s="608"/>
      <c r="U95" s="608"/>
      <c r="V95" s="608"/>
      <c r="W95" s="608"/>
      <c r="X95" s="608">
        <f>X94+Y94</f>
        <v>0</v>
      </c>
      <c r="Y95" s="608">
        <v>12465.105849487343</v>
      </c>
      <c r="Z95" s="608"/>
      <c r="AA95" s="608"/>
      <c r="AB95" s="608">
        <f>AB94+AC94+AE94+AF94+AG94</f>
        <v>0</v>
      </c>
      <c r="AC95" s="608">
        <v>19645.691849142957</v>
      </c>
      <c r="AD95" s="608"/>
      <c r="AE95" s="608"/>
      <c r="AF95" s="608"/>
      <c r="AG95" s="608"/>
      <c r="AH95" s="608"/>
      <c r="AI95" s="608"/>
      <c r="AJ95" s="608">
        <f>AJ94+AK94+AN94</f>
        <v>0</v>
      </c>
      <c r="AK95" s="608">
        <v>6605.649812289661</v>
      </c>
      <c r="AL95" s="608"/>
      <c r="AM95" s="608"/>
      <c r="AN95" s="608"/>
      <c r="AO95" s="608"/>
      <c r="AP95" s="608"/>
      <c r="AQ95" s="608"/>
      <c r="AR95" s="608"/>
      <c r="AS95" s="608"/>
      <c r="AT95" s="608"/>
      <c r="AU95" s="608"/>
      <c r="AV95" s="608"/>
      <c r="AW95" s="611">
        <f>AW94+AV94+AU94+AT94+AS94+AR94+AQ94+AP94+AO94+78154</f>
        <v>134081.8350773858</v>
      </c>
      <c r="AX95" s="608"/>
      <c r="AY95" s="608"/>
      <c r="AZ95" s="608"/>
      <c r="BA95" s="608"/>
      <c r="BB95" s="608"/>
      <c r="BC95" s="608"/>
      <c r="BD95" s="608"/>
      <c r="BE95" s="608"/>
      <c r="BF95" s="608"/>
      <c r="BG95" s="608"/>
      <c r="BH95" s="608"/>
      <c r="BI95" s="608">
        <v>17615.066166105764</v>
      </c>
      <c r="BJ95" s="608">
        <f>BJ94+BI94+BG94+BD94+BB94</f>
        <v>0</v>
      </c>
      <c r="BK95" s="608"/>
      <c r="BL95" s="608"/>
      <c r="BM95" s="608"/>
      <c r="BN95" s="608">
        <f>+BN94+BO94+BQ94+BR94</f>
        <v>0</v>
      </c>
      <c r="BO95" s="608">
        <v>8807.5330830528819</v>
      </c>
      <c r="BP95" s="608"/>
      <c r="BQ95" s="608"/>
      <c r="BR95" s="608"/>
      <c r="BS95" s="608"/>
      <c r="BT95" s="608"/>
      <c r="BU95" s="608">
        <f>BU94+BX94+BZ94</f>
        <v>0</v>
      </c>
      <c r="BV95" s="608">
        <v>8807.5330830528819</v>
      </c>
      <c r="BW95" s="608"/>
      <c r="BX95" s="608"/>
      <c r="BY95" s="608"/>
      <c r="BZ95" s="608"/>
      <c r="CA95" s="607"/>
    </row>
    <row r="96" spans="1:81" x14ac:dyDescent="0.35">
      <c r="B96" s="312"/>
      <c r="C96" s="608"/>
      <c r="D96" s="608"/>
      <c r="E96" s="610">
        <f>9039.95409496678/4</f>
        <v>2259.9885237416952</v>
      </c>
      <c r="F96" s="610"/>
      <c r="G96" s="610"/>
      <c r="H96" s="610"/>
      <c r="I96" s="610"/>
      <c r="J96" s="610"/>
      <c r="K96" s="608"/>
      <c r="L96" s="608"/>
      <c r="M96" s="608"/>
      <c r="N96" s="608">
        <f>O95/4</f>
        <v>3853.2957238356362</v>
      </c>
      <c r="O96" s="608"/>
      <c r="P96" s="608"/>
      <c r="Q96" s="608"/>
      <c r="R96" s="608"/>
      <c r="S96" s="608"/>
      <c r="T96" s="608"/>
      <c r="U96" s="608"/>
      <c r="V96" s="608"/>
      <c r="W96" s="608"/>
      <c r="X96" s="608">
        <f>Y95/5</f>
        <v>2493.0211698974686</v>
      </c>
      <c r="Y96" s="608"/>
      <c r="Z96" s="608"/>
      <c r="AA96" s="608"/>
      <c r="AB96" s="608">
        <f>AC95/3</f>
        <v>6548.5639497143193</v>
      </c>
      <c r="AC96" s="608"/>
      <c r="AD96" s="608"/>
      <c r="AE96" s="608"/>
      <c r="AF96" s="608"/>
      <c r="AG96" s="608"/>
      <c r="AH96" s="608"/>
      <c r="AI96" s="608"/>
      <c r="AJ96" s="608">
        <f>AK95/3</f>
        <v>2201.8832707632205</v>
      </c>
      <c r="AK96" s="608"/>
      <c r="AL96" s="608"/>
      <c r="AM96" s="608"/>
      <c r="AN96" s="608"/>
      <c r="AO96" s="608"/>
      <c r="AP96" s="608"/>
      <c r="AQ96" s="608"/>
      <c r="AR96" s="608"/>
      <c r="AS96" s="608"/>
      <c r="AT96" s="608"/>
      <c r="AU96" s="608"/>
      <c r="AV96" s="608"/>
      <c r="AW96" s="608"/>
      <c r="AX96" s="608"/>
      <c r="AY96" s="608"/>
      <c r="AZ96" s="608"/>
      <c r="BA96" s="608"/>
      <c r="BB96" s="608"/>
      <c r="BC96" s="608"/>
      <c r="BD96" s="608"/>
      <c r="BE96" s="608"/>
      <c r="BF96" s="608"/>
      <c r="BG96" s="608"/>
      <c r="BH96" s="608"/>
      <c r="BI96" s="608">
        <f>BI95/8</f>
        <v>2201.8832707632205</v>
      </c>
      <c r="BJ96" s="608"/>
      <c r="BK96" s="608"/>
      <c r="BL96" s="608"/>
      <c r="BM96" s="608"/>
      <c r="BN96" s="608">
        <f>BO95/4</f>
        <v>2201.8832707632205</v>
      </c>
      <c r="BO96" s="608"/>
      <c r="BP96" s="608"/>
      <c r="BQ96" s="608"/>
      <c r="BR96" s="608"/>
      <c r="BS96" s="608"/>
      <c r="BT96" s="608"/>
      <c r="BU96" s="608">
        <f>BV95/5</f>
        <v>1761.5066166105764</v>
      </c>
      <c r="BV96" s="608"/>
      <c r="BW96" s="608"/>
      <c r="BX96" s="608"/>
      <c r="BY96" s="608"/>
      <c r="BZ96" s="608"/>
      <c r="CA96" s="607"/>
    </row>
    <row r="97" spans="1:79" x14ac:dyDescent="0.35">
      <c r="C97" s="316"/>
    </row>
    <row r="98" spans="1:79" x14ac:dyDescent="0.35">
      <c r="B98" s="160" t="s">
        <v>289</v>
      </c>
      <c r="C98" s="316"/>
      <c r="E98" s="316">
        <f>+E87+F87+H87+J87</f>
        <v>0</v>
      </c>
      <c r="F98" s="160">
        <f>17000+26284+27096+33834</f>
        <v>104214</v>
      </c>
      <c r="N98" s="316">
        <f>N87+Q87</f>
        <v>0</v>
      </c>
      <c r="O98" s="160">
        <f>36792+41500+297292</f>
        <v>375584</v>
      </c>
      <c r="X98" s="316">
        <f>X87+Y87</f>
        <v>0</v>
      </c>
      <c r="Y98" s="160">
        <f>470990+31500</f>
        <v>502490</v>
      </c>
      <c r="AB98" s="316">
        <f>AB87+AC87+AE87+AF87+AG87</f>
        <v>0</v>
      </c>
      <c r="AC98" s="160">
        <f>53367+35000+171200+50336+56534</f>
        <v>366437</v>
      </c>
      <c r="AJ98" s="316">
        <f>AJ87+AK87+AN87</f>
        <v>0</v>
      </c>
      <c r="AK98" s="160">
        <f>24917+38617+32000</f>
        <v>95534</v>
      </c>
      <c r="AW98" s="316">
        <f>AW87+AV87+AU87+AT87+AS87+AQ87+AP87+AO87+AR87</f>
        <v>3050629</v>
      </c>
      <c r="BJ98" s="316">
        <f>BJ87+BI87+BG87+BD87+BB87</f>
        <v>0</v>
      </c>
      <c r="BN98" s="316">
        <f>BN87+BO87+BQ87+BR87</f>
        <v>0</v>
      </c>
      <c r="BO98" s="160">
        <f>66876+36950+24959</f>
        <v>128785</v>
      </c>
      <c r="BU98" s="316">
        <f>BU87+BX87+BZ87</f>
        <v>0</v>
      </c>
      <c r="BV98" s="160">
        <f>62667+63200+26959</f>
        <v>152826</v>
      </c>
    </row>
    <row r="99" spans="1:79" x14ac:dyDescent="0.35">
      <c r="B99" s="160" t="s">
        <v>971</v>
      </c>
      <c r="C99" s="316"/>
      <c r="E99" s="520">
        <f>104214/4</f>
        <v>26053.5</v>
      </c>
      <c r="F99" s="520"/>
      <c r="N99" s="316">
        <v>83521</v>
      </c>
      <c r="O99" s="316">
        <f>N99*4</f>
        <v>334084</v>
      </c>
      <c r="T99" s="317">
        <v>751412</v>
      </c>
      <c r="X99" s="160">
        <f>502490/5</f>
        <v>100498</v>
      </c>
      <c r="Y99" s="160">
        <f>Y98/5</f>
        <v>100498</v>
      </c>
      <c r="AB99" s="160">
        <f>366437/3</f>
        <v>122145.66666666667</v>
      </c>
      <c r="AC99" s="160">
        <f>AB99*3</f>
        <v>366437</v>
      </c>
      <c r="AJ99" s="520">
        <f>95534/3</f>
        <v>31844.666666666668</v>
      </c>
      <c r="AK99" s="520">
        <f>AJ99*3</f>
        <v>95534</v>
      </c>
      <c r="BJ99" s="160">
        <f>505884/8</f>
        <v>63235.5</v>
      </c>
      <c r="BN99" s="160">
        <f>128785/4</f>
        <v>32196.25</v>
      </c>
      <c r="BO99" s="160">
        <f>BN99*4</f>
        <v>128785</v>
      </c>
      <c r="BU99" s="160">
        <f>152826/5</f>
        <v>30565.200000000001</v>
      </c>
      <c r="BV99" s="160">
        <f>BU99*5</f>
        <v>152826</v>
      </c>
    </row>
    <row r="100" spans="1:79" x14ac:dyDescent="0.35">
      <c r="C100" s="316"/>
      <c r="O100" s="316">
        <f>O98-O99</f>
        <v>41500</v>
      </c>
      <c r="AK100" s="520"/>
    </row>
    <row r="101" spans="1:79" x14ac:dyDescent="0.35">
      <c r="C101" s="316"/>
    </row>
    <row r="102" spans="1:79" hidden="1" x14ac:dyDescent="0.35">
      <c r="C102" s="317">
        <f>493950+E103</f>
        <v>521727.75</v>
      </c>
      <c r="D102" s="317">
        <f>555976+E103</f>
        <v>583753.75</v>
      </c>
      <c r="E102" s="317">
        <v>0</v>
      </c>
      <c r="F102" s="317">
        <v>0</v>
      </c>
      <c r="G102" s="317">
        <f>668780+E103</f>
        <v>696557.75</v>
      </c>
      <c r="H102" s="317">
        <v>0</v>
      </c>
      <c r="I102" s="317">
        <f>372794+E103</f>
        <v>400571.75</v>
      </c>
      <c r="J102" s="317">
        <v>0</v>
      </c>
      <c r="BZ102" s="160" t="s">
        <v>557</v>
      </c>
      <c r="CA102" s="317">
        <v>28643731</v>
      </c>
    </row>
    <row r="103" spans="1:79" hidden="1" x14ac:dyDescent="0.35">
      <c r="C103" s="316"/>
      <c r="E103" s="160">
        <f>E104/4</f>
        <v>27777.75</v>
      </c>
      <c r="CA103" s="317"/>
    </row>
    <row r="104" spans="1:79" hidden="1" x14ac:dyDescent="0.35">
      <c r="C104" s="316"/>
      <c r="E104" s="160">
        <v>111111</v>
      </c>
      <c r="BZ104" s="160" t="s">
        <v>558</v>
      </c>
      <c r="CA104" s="317">
        <f>CA91-CA102</f>
        <v>-4237571.0000000075</v>
      </c>
    </row>
    <row r="105" spans="1:79" s="317" customFormat="1" hidden="1" x14ac:dyDescent="0.35">
      <c r="A105" s="514"/>
      <c r="C105" s="317">
        <v>421311</v>
      </c>
      <c r="D105" s="516">
        <v>474116</v>
      </c>
      <c r="E105" s="515">
        <v>17000</v>
      </c>
      <c r="F105" s="515">
        <v>26284</v>
      </c>
      <c r="G105" s="317">
        <v>497191</v>
      </c>
      <c r="H105" s="515">
        <v>27096</v>
      </c>
      <c r="I105" s="317">
        <v>319384</v>
      </c>
      <c r="J105" s="515">
        <v>33834</v>
      </c>
      <c r="K105" s="317">
        <v>463786</v>
      </c>
      <c r="L105" s="317">
        <v>536331</v>
      </c>
      <c r="M105" s="317">
        <v>495337</v>
      </c>
      <c r="N105" s="317">
        <v>36792</v>
      </c>
      <c r="O105" s="317">
        <v>41500</v>
      </c>
      <c r="P105" s="317">
        <v>591404</v>
      </c>
      <c r="Q105" s="317">
        <v>297292</v>
      </c>
      <c r="R105" s="317">
        <v>681744</v>
      </c>
      <c r="S105" s="317">
        <v>1012768</v>
      </c>
      <c r="T105" s="511">
        <v>751412</v>
      </c>
      <c r="U105" s="317">
        <v>1534713</v>
      </c>
      <c r="V105" s="317">
        <v>441400</v>
      </c>
      <c r="W105" s="317">
        <v>877661</v>
      </c>
      <c r="X105" s="317">
        <v>470990</v>
      </c>
      <c r="Y105" s="317">
        <v>31500</v>
      </c>
      <c r="Z105" s="317">
        <v>556041</v>
      </c>
      <c r="AA105" s="317">
        <v>826749</v>
      </c>
      <c r="AB105" s="317">
        <v>53367</v>
      </c>
      <c r="AC105" s="317">
        <v>35000</v>
      </c>
      <c r="AD105" s="317">
        <v>584929</v>
      </c>
      <c r="AE105" s="317">
        <v>171200</v>
      </c>
      <c r="AF105" s="317">
        <v>50336</v>
      </c>
      <c r="AG105" s="317">
        <v>56534</v>
      </c>
      <c r="AH105" s="317">
        <v>593715</v>
      </c>
      <c r="AI105" s="317">
        <v>443026</v>
      </c>
      <c r="AJ105" s="317">
        <v>24917</v>
      </c>
      <c r="AK105" s="317">
        <v>38617</v>
      </c>
      <c r="AL105" s="317">
        <v>37450</v>
      </c>
      <c r="AM105" s="317">
        <v>714933</v>
      </c>
      <c r="AN105" s="317">
        <v>32000</v>
      </c>
      <c r="AO105" s="317">
        <v>142817</v>
      </c>
      <c r="AP105" s="317">
        <v>1035270</v>
      </c>
      <c r="AQ105" s="317">
        <v>223200</v>
      </c>
      <c r="AR105" s="317">
        <v>198200</v>
      </c>
      <c r="AS105" s="317">
        <v>245275</v>
      </c>
      <c r="AT105" s="317">
        <v>148200</v>
      </c>
      <c r="AU105" s="317">
        <v>794600</v>
      </c>
      <c r="AV105" s="317">
        <v>64867</v>
      </c>
      <c r="AW105" s="317">
        <v>198200</v>
      </c>
      <c r="AX105" s="317">
        <v>373401</v>
      </c>
      <c r="AY105" s="317">
        <v>414707</v>
      </c>
      <c r="AZ105" s="317">
        <v>689575</v>
      </c>
      <c r="BA105" s="317">
        <v>1002039</v>
      </c>
      <c r="BB105" s="317">
        <v>45000</v>
      </c>
      <c r="BC105" s="317">
        <v>273584</v>
      </c>
      <c r="BD105" s="317">
        <v>47000</v>
      </c>
      <c r="BE105" s="317">
        <v>826064</v>
      </c>
      <c r="BF105" s="317">
        <v>355114</v>
      </c>
      <c r="BG105" s="317">
        <v>285984</v>
      </c>
      <c r="BH105" s="317">
        <v>370707</v>
      </c>
      <c r="BI105" s="317">
        <v>54700</v>
      </c>
      <c r="BJ105" s="317">
        <v>73200</v>
      </c>
      <c r="BK105" s="317">
        <v>476479</v>
      </c>
      <c r="BL105" s="317">
        <v>601406</v>
      </c>
      <c r="BM105" s="317">
        <v>638569</v>
      </c>
      <c r="BN105" s="317">
        <v>66876</v>
      </c>
      <c r="BO105" s="317">
        <v>36950</v>
      </c>
      <c r="BP105" s="317">
        <v>406595</v>
      </c>
      <c r="BQ105" s="317">
        <v>24959</v>
      </c>
      <c r="BR105" s="317">
        <v>0</v>
      </c>
      <c r="BS105" s="317">
        <v>550503</v>
      </c>
      <c r="BT105" s="317">
        <v>1091767</v>
      </c>
      <c r="BU105" s="317">
        <v>62667</v>
      </c>
      <c r="BV105" s="317">
        <v>497317</v>
      </c>
      <c r="BW105" s="317">
        <v>1104911</v>
      </c>
      <c r="BX105" s="317">
        <v>63200</v>
      </c>
      <c r="BY105" s="317">
        <v>490597</v>
      </c>
      <c r="BZ105" s="317">
        <v>26959</v>
      </c>
      <c r="CA105" s="513">
        <f>SUM(C105:BZ105)</f>
        <v>28301119</v>
      </c>
    </row>
    <row r="106" spans="1:79" hidden="1" x14ac:dyDescent="0.35">
      <c r="C106" s="316"/>
      <c r="E106" s="316">
        <f>E105+F105+H105+J105</f>
        <v>104214</v>
      </c>
    </row>
    <row r="107" spans="1:79" hidden="1" x14ac:dyDescent="0.35">
      <c r="C107" s="316"/>
    </row>
    <row r="108" spans="1:79" hidden="1" x14ac:dyDescent="0.35">
      <c r="C108" s="316"/>
    </row>
    <row r="109" spans="1:79" hidden="1" x14ac:dyDescent="0.35">
      <c r="C109" s="316">
        <v>447364.5</v>
      </c>
      <c r="D109" s="160">
        <v>500169.5</v>
      </c>
      <c r="E109" s="160">
        <v>0</v>
      </c>
      <c r="F109" s="160">
        <v>523244.5</v>
      </c>
      <c r="G109" s="160">
        <v>345437.5</v>
      </c>
      <c r="H109" s="160">
        <v>547307</v>
      </c>
      <c r="I109" s="160">
        <v>619852</v>
      </c>
      <c r="J109" s="160">
        <v>0</v>
      </c>
      <c r="K109" s="160">
        <v>578858</v>
      </c>
      <c r="L109" s="160">
        <v>674925</v>
      </c>
      <c r="M109" s="160">
        <v>4745395</v>
      </c>
      <c r="N109" s="160">
        <v>0</v>
      </c>
      <c r="O109" s="160">
        <v>95534</v>
      </c>
      <c r="P109" s="160">
        <v>593715</v>
      </c>
      <c r="Q109" s="160">
        <v>443026</v>
      </c>
      <c r="R109" s="160">
        <v>37450</v>
      </c>
      <c r="S109" s="160">
        <v>714933</v>
      </c>
      <c r="T109" s="317">
        <v>366437</v>
      </c>
      <c r="U109" s="160">
        <v>556041</v>
      </c>
      <c r="V109" s="160">
        <v>826749</v>
      </c>
      <c r="W109" s="160">
        <v>584929</v>
      </c>
      <c r="X109" s="160">
        <v>373401</v>
      </c>
      <c r="Y109" s="160">
        <v>414707</v>
      </c>
      <c r="Z109" s="160">
        <v>0</v>
      </c>
      <c r="AA109" s="160">
        <v>689575</v>
      </c>
      <c r="AB109" s="160">
        <v>1002039</v>
      </c>
      <c r="AC109" s="160">
        <v>273584</v>
      </c>
      <c r="AD109" s="160">
        <v>826064</v>
      </c>
      <c r="AE109" s="160">
        <v>355114</v>
      </c>
      <c r="AF109" s="160">
        <v>370707</v>
      </c>
      <c r="AG109" s="160">
        <v>681744</v>
      </c>
      <c r="AH109" s="160">
        <v>1012768</v>
      </c>
      <c r="AI109" s="160">
        <v>0</v>
      </c>
      <c r="AJ109" s="160">
        <v>0</v>
      </c>
      <c r="AK109" s="160">
        <v>502490</v>
      </c>
      <c r="AL109" s="160">
        <v>751412</v>
      </c>
      <c r="AM109" s="160">
        <v>1534713</v>
      </c>
      <c r="AN109" s="160">
        <v>441400</v>
      </c>
      <c r="AO109" s="160">
        <v>0</v>
      </c>
      <c r="AP109" s="160">
        <v>877661</v>
      </c>
      <c r="AQ109" s="160">
        <v>476479</v>
      </c>
      <c r="AR109" s="160">
        <v>601406</v>
      </c>
      <c r="AS109" s="160">
        <v>128785</v>
      </c>
      <c r="AT109" s="160">
        <v>638569</v>
      </c>
      <c r="AU109" s="160">
        <v>406595</v>
      </c>
      <c r="AV109" s="160">
        <v>550503</v>
      </c>
      <c r="AW109" s="160">
        <v>0</v>
      </c>
      <c r="AX109" s="160">
        <v>152826</v>
      </c>
      <c r="AY109" s="160">
        <v>1092939</v>
      </c>
      <c r="AZ109" s="160">
        <v>500548</v>
      </c>
      <c r="BA109" s="160">
        <v>1105061</v>
      </c>
      <c r="BB109" s="160">
        <v>490597</v>
      </c>
    </row>
    <row r="110" spans="1:79" hidden="1" x14ac:dyDescent="0.35">
      <c r="C110" s="316">
        <f>C87-C109</f>
        <v>0</v>
      </c>
    </row>
    <row r="111" spans="1:79" x14ac:dyDescent="0.35">
      <c r="C111" s="316"/>
    </row>
    <row r="112" spans="1:79" x14ac:dyDescent="0.35">
      <c r="C112" s="316"/>
    </row>
    <row r="113" spans="3:3" x14ac:dyDescent="0.35">
      <c r="C113" s="316"/>
    </row>
    <row r="114" spans="3:3" x14ac:dyDescent="0.35">
      <c r="C114" s="316"/>
    </row>
    <row r="115" spans="3:3" x14ac:dyDescent="0.35">
      <c r="C115" s="316"/>
    </row>
    <row r="116" spans="3:3" x14ac:dyDescent="0.35">
      <c r="C116" s="316"/>
    </row>
    <row r="117" spans="3:3" x14ac:dyDescent="0.35">
      <c r="C117" s="316"/>
    </row>
    <row r="118" spans="3:3" x14ac:dyDescent="0.35">
      <c r="C118" s="316"/>
    </row>
    <row r="119" spans="3:3" x14ac:dyDescent="0.35">
      <c r="C119" s="316"/>
    </row>
    <row r="120" spans="3:3" x14ac:dyDescent="0.35">
      <c r="C120" s="316"/>
    </row>
    <row r="121" spans="3:3" x14ac:dyDescent="0.35">
      <c r="C121" s="316"/>
    </row>
    <row r="122" spans="3:3" x14ac:dyDescent="0.35">
      <c r="C122" s="316"/>
    </row>
    <row r="123" spans="3:3" x14ac:dyDescent="0.35">
      <c r="C123" s="316"/>
    </row>
    <row r="124" spans="3:3" x14ac:dyDescent="0.35">
      <c r="C124" s="316"/>
    </row>
    <row r="125" spans="3:3" x14ac:dyDescent="0.35">
      <c r="C125" s="316"/>
    </row>
    <row r="126" spans="3:3" x14ac:dyDescent="0.35">
      <c r="C126" s="316"/>
    </row>
    <row r="127" spans="3:3" x14ac:dyDescent="0.35">
      <c r="C127" s="316"/>
    </row>
    <row r="128" spans="3:3" x14ac:dyDescent="0.35">
      <c r="C128" s="316"/>
    </row>
    <row r="129" spans="3:3" x14ac:dyDescent="0.35">
      <c r="C129" s="316"/>
    </row>
    <row r="130" spans="3:3" x14ac:dyDescent="0.35">
      <c r="C130" s="316"/>
    </row>
    <row r="131" spans="3:3" x14ac:dyDescent="0.35">
      <c r="C131" s="316"/>
    </row>
    <row r="132" spans="3:3" x14ac:dyDescent="0.35">
      <c r="C132" s="316"/>
    </row>
    <row r="133" spans="3:3" x14ac:dyDescent="0.35">
      <c r="C133" s="316"/>
    </row>
    <row r="134" spans="3:3" x14ac:dyDescent="0.35">
      <c r="C134" s="316"/>
    </row>
    <row r="135" spans="3:3" x14ac:dyDescent="0.35">
      <c r="C135" s="316"/>
    </row>
    <row r="136" spans="3:3" x14ac:dyDescent="0.35">
      <c r="C136" s="316"/>
    </row>
    <row r="137" spans="3:3" x14ac:dyDescent="0.35">
      <c r="C137" s="316"/>
    </row>
    <row r="138" spans="3:3" x14ac:dyDescent="0.35">
      <c r="C138" s="316"/>
    </row>
    <row r="139" spans="3:3" x14ac:dyDescent="0.35">
      <c r="C139" s="316"/>
    </row>
    <row r="140" spans="3:3" x14ac:dyDescent="0.35">
      <c r="C140" s="316"/>
    </row>
    <row r="141" spans="3:3" x14ac:dyDescent="0.35">
      <c r="C141" s="316"/>
    </row>
    <row r="142" spans="3:3" x14ac:dyDescent="0.35">
      <c r="C142" s="316"/>
    </row>
    <row r="143" spans="3:3" x14ac:dyDescent="0.35">
      <c r="C143" s="316"/>
    </row>
    <row r="144" spans="3:3" x14ac:dyDescent="0.35">
      <c r="C144" s="316"/>
    </row>
    <row r="145" spans="3:3" x14ac:dyDescent="0.35">
      <c r="C145" s="316"/>
    </row>
    <row r="146" spans="3:3" x14ac:dyDescent="0.35">
      <c r="C146" s="316"/>
    </row>
    <row r="147" spans="3:3" x14ac:dyDescent="0.35">
      <c r="C147" s="316"/>
    </row>
    <row r="148" spans="3:3" x14ac:dyDescent="0.35">
      <c r="C148" s="316"/>
    </row>
    <row r="149" spans="3:3" x14ac:dyDescent="0.35">
      <c r="C149" s="316"/>
    </row>
    <row r="150" spans="3:3" x14ac:dyDescent="0.35">
      <c r="C150" s="316"/>
    </row>
    <row r="151" spans="3:3" x14ac:dyDescent="0.35">
      <c r="C151" s="316"/>
    </row>
    <row r="152" spans="3:3" x14ac:dyDescent="0.35">
      <c r="C152" s="316"/>
    </row>
    <row r="153" spans="3:3" x14ac:dyDescent="0.35">
      <c r="C153" s="316"/>
    </row>
    <row r="154" spans="3:3" x14ac:dyDescent="0.35">
      <c r="C154" s="316"/>
    </row>
    <row r="155" spans="3:3" x14ac:dyDescent="0.35">
      <c r="C155" s="316"/>
    </row>
    <row r="156" spans="3:3" x14ac:dyDescent="0.35">
      <c r="C156" s="316"/>
    </row>
    <row r="157" spans="3:3" x14ac:dyDescent="0.35">
      <c r="C157" s="316"/>
    </row>
    <row r="158" spans="3:3" x14ac:dyDescent="0.35">
      <c r="C158" s="316"/>
    </row>
    <row r="159" spans="3:3" x14ac:dyDescent="0.35">
      <c r="C159" s="316"/>
    </row>
    <row r="160" spans="3:3" x14ac:dyDescent="0.35">
      <c r="C160" s="316"/>
    </row>
    <row r="161" spans="3:3" x14ac:dyDescent="0.35">
      <c r="C161" s="316"/>
    </row>
    <row r="162" spans="3:3" x14ac:dyDescent="0.35">
      <c r="C162" s="316"/>
    </row>
    <row r="163" spans="3:3" x14ac:dyDescent="0.35">
      <c r="C163" s="316"/>
    </row>
    <row r="164" spans="3:3" x14ac:dyDescent="0.35">
      <c r="C164" s="316"/>
    </row>
    <row r="165" spans="3:3" x14ac:dyDescent="0.35">
      <c r="C165" s="316"/>
    </row>
    <row r="166" spans="3:3" x14ac:dyDescent="0.35">
      <c r="C166" s="316"/>
    </row>
    <row r="167" spans="3:3" x14ac:dyDescent="0.35">
      <c r="C167" s="316"/>
    </row>
    <row r="168" spans="3:3" x14ac:dyDescent="0.35">
      <c r="C168" s="316"/>
    </row>
    <row r="169" spans="3:3" x14ac:dyDescent="0.35">
      <c r="C169" s="316"/>
    </row>
    <row r="170" spans="3:3" x14ac:dyDescent="0.35">
      <c r="C170" s="316"/>
    </row>
    <row r="171" spans="3:3" x14ac:dyDescent="0.35">
      <c r="C171" s="316"/>
    </row>
    <row r="172" spans="3:3" x14ac:dyDescent="0.35">
      <c r="C172" s="316"/>
    </row>
    <row r="173" spans="3:3" x14ac:dyDescent="0.35">
      <c r="C173" s="316"/>
    </row>
    <row r="174" spans="3:3" x14ac:dyDescent="0.35">
      <c r="C174" s="316"/>
    </row>
  </sheetData>
  <autoFilter ref="A3:S79" xr:uid="{00000000-0009-0000-0000-000015000000}"/>
  <mergeCells count="1">
    <mergeCell ref="A1:S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116"/>
  <sheetViews>
    <sheetView workbookViewId="0">
      <pane ySplit="1" topLeftCell="A87" activePane="bottomLeft" state="frozen"/>
      <selection pane="bottomLeft" activeCell="C111" sqref="C111"/>
    </sheetView>
  </sheetViews>
  <sheetFormatPr defaultColWidth="8.90625" defaultRowHeight="13.5" x14ac:dyDescent="0.3"/>
  <cols>
    <col min="1" max="1" width="38.453125" style="175" bestFit="1" customWidth="1"/>
    <col min="2" max="2" width="11.54296875" style="177" bestFit="1" customWidth="1"/>
    <col min="3" max="3" width="13.90625" style="179" customWidth="1"/>
    <col min="4" max="4" width="13.26953125" style="179" bestFit="1" customWidth="1"/>
    <col min="5" max="5" width="15.1796875" style="179" bestFit="1" customWidth="1"/>
    <col min="6" max="6" width="14.36328125" style="179" bestFit="1" customWidth="1"/>
    <col min="7" max="7" width="12.6328125" style="177" bestFit="1" customWidth="1"/>
    <col min="8" max="8" width="15.26953125" style="180" bestFit="1" customWidth="1"/>
    <col min="9" max="9" width="9.54296875" style="175" hidden="1" customWidth="1"/>
    <col min="10" max="10" width="8.1796875" style="175" hidden="1" customWidth="1"/>
    <col min="11" max="11" width="7.54296875" style="175" hidden="1" customWidth="1"/>
    <col min="12" max="12" width="8.6328125" style="175" hidden="1" customWidth="1"/>
    <col min="13" max="13" width="8.453125" style="175" hidden="1" customWidth="1"/>
    <col min="14" max="14" width="8.08984375" style="175" hidden="1" customWidth="1"/>
    <col min="15" max="15" width="8.6328125" style="175" hidden="1" customWidth="1"/>
    <col min="16" max="16" width="8.453125" style="175" hidden="1" customWidth="1"/>
    <col min="17" max="17" width="8.08984375" style="175" hidden="1" customWidth="1"/>
    <col min="18" max="18" width="8.36328125" style="175" hidden="1" customWidth="1"/>
    <col min="19" max="19" width="8.453125" style="175" hidden="1" customWidth="1"/>
    <col min="20" max="20" width="9.54296875" style="175" hidden="1" customWidth="1"/>
    <col min="21" max="21" width="8.90625" style="175"/>
    <col min="22" max="22" width="11" style="175" bestFit="1" customWidth="1"/>
    <col min="23" max="23" width="12.1796875" style="175" bestFit="1" customWidth="1"/>
    <col min="24" max="16384" width="8.90625" style="175"/>
  </cols>
  <sheetData>
    <row r="1" spans="1:20" ht="27.5" thickBot="1" x14ac:dyDescent="0.35">
      <c r="A1" s="206" t="s">
        <v>379</v>
      </c>
      <c r="B1" s="210" t="s">
        <v>315</v>
      </c>
      <c r="C1" s="206" t="s">
        <v>380</v>
      </c>
      <c r="D1" s="210" t="s">
        <v>381</v>
      </c>
      <c r="E1" s="206" t="s">
        <v>382</v>
      </c>
      <c r="F1" s="202" t="s">
        <v>316</v>
      </c>
      <c r="G1" s="193" t="s">
        <v>315</v>
      </c>
      <c r="H1" s="197" t="s">
        <v>442</v>
      </c>
      <c r="I1" s="174">
        <v>45413</v>
      </c>
      <c r="J1" s="174">
        <v>45444</v>
      </c>
      <c r="K1" s="174">
        <v>45474</v>
      </c>
      <c r="L1" s="174">
        <v>45505</v>
      </c>
      <c r="M1" s="174">
        <v>45536</v>
      </c>
      <c r="N1" s="174">
        <v>45566</v>
      </c>
      <c r="O1" s="174">
        <v>45597</v>
      </c>
      <c r="P1" s="174">
        <v>45627</v>
      </c>
      <c r="Q1" s="174">
        <v>45658</v>
      </c>
      <c r="R1" s="174">
        <v>45689</v>
      </c>
      <c r="S1" s="174">
        <v>45717</v>
      </c>
      <c r="T1" s="173" t="s">
        <v>56</v>
      </c>
    </row>
    <row r="2" spans="1:20" x14ac:dyDescent="0.3">
      <c r="A2" s="231" t="s">
        <v>383</v>
      </c>
      <c r="B2" s="226" t="s">
        <v>384</v>
      </c>
      <c r="C2" s="207"/>
      <c r="D2" s="211">
        <v>20000</v>
      </c>
      <c r="E2" s="207">
        <f>D2*12</f>
        <v>240000</v>
      </c>
      <c r="F2" s="203" t="s">
        <v>385</v>
      </c>
      <c r="G2" s="194" t="s">
        <v>29</v>
      </c>
      <c r="H2" s="198">
        <v>20000</v>
      </c>
      <c r="I2" s="176">
        <v>20000</v>
      </c>
      <c r="J2" s="176">
        <v>0</v>
      </c>
      <c r="K2" s="176">
        <v>0</v>
      </c>
      <c r="L2" s="176">
        <v>0</v>
      </c>
      <c r="M2" s="176">
        <v>0</v>
      </c>
      <c r="N2" s="176">
        <v>0</v>
      </c>
      <c r="O2" s="176">
        <v>0</v>
      </c>
      <c r="P2" s="176">
        <v>0</v>
      </c>
      <c r="Q2" s="176">
        <v>0</v>
      </c>
      <c r="R2" s="176">
        <v>0</v>
      </c>
      <c r="S2" s="176">
        <v>0</v>
      </c>
      <c r="T2" s="176">
        <f>SUM(H2:S2)</f>
        <v>40000</v>
      </c>
    </row>
    <row r="3" spans="1:20" x14ac:dyDescent="0.3">
      <c r="A3" s="232" t="s">
        <v>386</v>
      </c>
      <c r="B3" s="227"/>
      <c r="C3" s="208"/>
      <c r="D3" s="212"/>
      <c r="E3" s="208"/>
      <c r="F3" s="204"/>
      <c r="G3" s="195"/>
      <c r="H3" s="199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x14ac:dyDescent="0.3">
      <c r="A4" s="232"/>
      <c r="B4" s="228"/>
      <c r="C4" s="208"/>
      <c r="D4" s="212"/>
      <c r="E4" s="208"/>
      <c r="F4" s="204"/>
      <c r="G4" s="195"/>
      <c r="H4" s="199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x14ac:dyDescent="0.3">
      <c r="A5" s="233" t="s">
        <v>387</v>
      </c>
      <c r="B5" s="227" t="s">
        <v>388</v>
      </c>
      <c r="C5" s="208"/>
      <c r="D5" s="212">
        <v>20000</v>
      </c>
      <c r="E5" s="208">
        <f>D5*12</f>
        <v>240000</v>
      </c>
      <c r="F5" s="204" t="s">
        <v>385</v>
      </c>
      <c r="G5" s="195" t="s">
        <v>27</v>
      </c>
      <c r="H5" s="199">
        <v>20000</v>
      </c>
      <c r="I5" s="176">
        <v>20000</v>
      </c>
      <c r="J5" s="176">
        <v>0</v>
      </c>
      <c r="K5" s="176">
        <v>0</v>
      </c>
      <c r="L5" s="176">
        <v>0</v>
      </c>
      <c r="M5" s="176">
        <v>0</v>
      </c>
      <c r="N5" s="176">
        <v>0</v>
      </c>
      <c r="O5" s="176">
        <v>0</v>
      </c>
      <c r="P5" s="176">
        <v>0</v>
      </c>
      <c r="Q5" s="176">
        <v>0</v>
      </c>
      <c r="R5" s="176">
        <v>0</v>
      </c>
      <c r="S5" s="176">
        <v>0</v>
      </c>
      <c r="T5" s="176">
        <f>SUM(H5:S5)</f>
        <v>40000</v>
      </c>
    </row>
    <row r="6" spans="1:20" x14ac:dyDescent="0.3">
      <c r="A6" s="232" t="s">
        <v>386</v>
      </c>
      <c r="B6" s="227"/>
      <c r="C6" s="208"/>
      <c r="D6" s="212"/>
      <c r="E6" s="208"/>
      <c r="F6" s="204"/>
      <c r="G6" s="195"/>
      <c r="H6" s="199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x14ac:dyDescent="0.3">
      <c r="A7" s="232"/>
      <c r="B7" s="228"/>
      <c r="C7" s="208"/>
      <c r="D7" s="212"/>
      <c r="E7" s="208"/>
      <c r="F7" s="204"/>
      <c r="G7" s="195"/>
      <c r="H7" s="199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x14ac:dyDescent="0.3">
      <c r="A8" s="233" t="s">
        <v>389</v>
      </c>
      <c r="B8" s="227" t="s">
        <v>390</v>
      </c>
      <c r="C8" s="208">
        <v>150000</v>
      </c>
      <c r="D8" s="212">
        <v>45000</v>
      </c>
      <c r="E8" s="208">
        <f>D8*12</f>
        <v>540000</v>
      </c>
      <c r="F8" s="204" t="s">
        <v>391</v>
      </c>
      <c r="G8" s="195" t="s">
        <v>45</v>
      </c>
      <c r="H8" s="199">
        <v>45000</v>
      </c>
      <c r="I8" s="176">
        <v>45000</v>
      </c>
      <c r="J8" s="176">
        <v>0</v>
      </c>
      <c r="K8" s="176">
        <v>0</v>
      </c>
      <c r="L8" s="176">
        <v>0</v>
      </c>
      <c r="M8" s="176">
        <v>0</v>
      </c>
      <c r="N8" s="176">
        <v>0</v>
      </c>
      <c r="O8" s="176">
        <v>0</v>
      </c>
      <c r="P8" s="176">
        <v>0</v>
      </c>
      <c r="Q8" s="176">
        <v>0</v>
      </c>
      <c r="R8" s="176">
        <v>0</v>
      </c>
      <c r="S8" s="176">
        <v>0</v>
      </c>
      <c r="T8" s="176">
        <f>SUM(H8:S8)</f>
        <v>90000</v>
      </c>
    </row>
    <row r="9" spans="1:20" x14ac:dyDescent="0.3">
      <c r="A9" s="232"/>
      <c r="B9" s="228"/>
      <c r="C9" s="208"/>
      <c r="D9" s="212">
        <f>-D8*10%</f>
        <v>-4500</v>
      </c>
      <c r="E9" s="208"/>
      <c r="F9" s="204"/>
      <c r="G9" s="195"/>
      <c r="H9" s="199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x14ac:dyDescent="0.3">
      <c r="A10" s="232"/>
      <c r="B10" s="228"/>
      <c r="C10" s="208"/>
      <c r="D10" s="212">
        <f>SUM(D8:D9)</f>
        <v>40500</v>
      </c>
      <c r="E10" s="208"/>
      <c r="F10" s="204"/>
      <c r="G10" s="195"/>
      <c r="H10" s="199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x14ac:dyDescent="0.3">
      <c r="A11" s="232"/>
      <c r="B11" s="228"/>
      <c r="C11" s="208"/>
      <c r="D11" s="212"/>
      <c r="E11" s="208"/>
      <c r="F11" s="204"/>
      <c r="G11" s="195"/>
      <c r="H11" s="199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x14ac:dyDescent="0.3">
      <c r="A12" s="233" t="s">
        <v>392</v>
      </c>
      <c r="B12" s="227" t="s">
        <v>393</v>
      </c>
      <c r="C12" s="208"/>
      <c r="D12" s="212">
        <f>33750*2</f>
        <v>67500</v>
      </c>
      <c r="E12" s="208">
        <f>D12*12</f>
        <v>810000</v>
      </c>
      <c r="F12" s="204" t="s">
        <v>391</v>
      </c>
      <c r="G12" s="195" t="s">
        <v>48</v>
      </c>
      <c r="H12" s="200">
        <f>67500/2</f>
        <v>33750</v>
      </c>
      <c r="I12" s="176">
        <v>33750</v>
      </c>
      <c r="J12" s="176">
        <v>0</v>
      </c>
      <c r="K12" s="176">
        <v>0</v>
      </c>
      <c r="L12" s="176">
        <v>0</v>
      </c>
      <c r="M12" s="176">
        <v>0</v>
      </c>
      <c r="N12" s="176">
        <v>0</v>
      </c>
      <c r="O12" s="176">
        <v>0</v>
      </c>
      <c r="P12" s="176">
        <v>0</v>
      </c>
      <c r="Q12" s="176">
        <v>0</v>
      </c>
      <c r="R12" s="176">
        <v>0</v>
      </c>
      <c r="S12" s="176">
        <v>0</v>
      </c>
      <c r="T12" s="176">
        <f>SUM(H12:S12)</f>
        <v>67500</v>
      </c>
    </row>
    <row r="13" spans="1:20" x14ac:dyDescent="0.3">
      <c r="A13" s="232"/>
      <c r="B13" s="228"/>
      <c r="C13" s="208"/>
      <c r="D13" s="212">
        <f>-D12*10%</f>
        <v>-6750</v>
      </c>
      <c r="E13" s="208"/>
      <c r="F13" s="204"/>
      <c r="G13" s="195" t="s">
        <v>47</v>
      </c>
      <c r="H13" s="200">
        <f>67500/2</f>
        <v>33750</v>
      </c>
      <c r="I13" s="176">
        <v>33750</v>
      </c>
      <c r="J13" s="176">
        <v>0</v>
      </c>
      <c r="K13" s="176">
        <v>0</v>
      </c>
      <c r="L13" s="176">
        <v>0</v>
      </c>
      <c r="M13" s="176">
        <v>0</v>
      </c>
      <c r="N13" s="176">
        <v>0</v>
      </c>
      <c r="O13" s="176">
        <v>0</v>
      </c>
      <c r="P13" s="176">
        <v>0</v>
      </c>
      <c r="Q13" s="176">
        <v>0</v>
      </c>
      <c r="R13" s="176">
        <v>0</v>
      </c>
      <c r="S13" s="176">
        <v>0</v>
      </c>
      <c r="T13" s="176">
        <f>SUM(H13:S13)</f>
        <v>67500</v>
      </c>
    </row>
    <row r="14" spans="1:20" x14ac:dyDescent="0.3">
      <c r="A14" s="232"/>
      <c r="B14" s="228"/>
      <c r="C14" s="208"/>
      <c r="D14" s="212">
        <f>SUM(D12:D13)</f>
        <v>60750</v>
      </c>
      <c r="E14" s="208"/>
      <c r="F14" s="204"/>
      <c r="G14" s="195"/>
      <c r="H14" s="199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x14ac:dyDescent="0.3">
      <c r="A15" s="232"/>
      <c r="B15" s="228"/>
      <c r="C15" s="208"/>
      <c r="D15" s="212"/>
      <c r="E15" s="208"/>
      <c r="F15" s="204"/>
      <c r="G15" s="195"/>
      <c r="H15" s="199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x14ac:dyDescent="0.3">
      <c r="A16" s="233" t="s">
        <v>392</v>
      </c>
      <c r="B16" s="227" t="s">
        <v>393</v>
      </c>
      <c r="C16" s="208"/>
      <c r="D16" s="212">
        <v>10000</v>
      </c>
      <c r="E16" s="208">
        <f>D16*12</f>
        <v>120000</v>
      </c>
      <c r="F16" s="204" t="s">
        <v>391</v>
      </c>
      <c r="G16" s="195" t="s">
        <v>44</v>
      </c>
      <c r="H16" s="200">
        <v>10000</v>
      </c>
      <c r="I16" s="176">
        <v>10000</v>
      </c>
      <c r="J16" s="176">
        <v>0</v>
      </c>
      <c r="K16" s="176">
        <v>0</v>
      </c>
      <c r="L16" s="176">
        <v>0</v>
      </c>
      <c r="M16" s="176">
        <v>0</v>
      </c>
      <c r="N16" s="176">
        <v>0</v>
      </c>
      <c r="O16" s="176">
        <v>0</v>
      </c>
      <c r="P16" s="176">
        <v>0</v>
      </c>
      <c r="Q16" s="176">
        <v>0</v>
      </c>
      <c r="R16" s="176">
        <v>0</v>
      </c>
      <c r="S16" s="176">
        <v>0</v>
      </c>
      <c r="T16" s="176">
        <f>SUM(H16:S16)</f>
        <v>20000</v>
      </c>
    </row>
    <row r="17" spans="1:20" x14ac:dyDescent="0.3">
      <c r="A17" s="232"/>
      <c r="B17" s="228"/>
      <c r="C17" s="208"/>
      <c r="D17" s="212">
        <f>-D16*10%</f>
        <v>-1000</v>
      </c>
      <c r="E17" s="208"/>
      <c r="F17" s="204"/>
      <c r="G17" s="195"/>
      <c r="H17" s="199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 x14ac:dyDescent="0.3">
      <c r="A18" s="232"/>
      <c r="B18" s="228"/>
      <c r="C18" s="208"/>
      <c r="D18" s="212">
        <f>SUM(D16:D17)</f>
        <v>9000</v>
      </c>
      <c r="E18" s="208"/>
      <c r="F18" s="204"/>
      <c r="G18" s="195"/>
      <c r="H18" s="199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 x14ac:dyDescent="0.3">
      <c r="A19" s="232"/>
      <c r="B19" s="228"/>
      <c r="C19" s="208"/>
      <c r="D19" s="212"/>
      <c r="E19" s="208"/>
      <c r="F19" s="204"/>
      <c r="G19" s="195"/>
      <c r="H19" s="199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x14ac:dyDescent="0.3">
      <c r="A20" s="233" t="s">
        <v>394</v>
      </c>
      <c r="B20" s="227" t="s">
        <v>395</v>
      </c>
      <c r="C20" s="208">
        <f>40000+80000+275000+120000</f>
        <v>515000</v>
      </c>
      <c r="D20" s="212">
        <f>33000*5</f>
        <v>165000</v>
      </c>
      <c r="E20" s="208">
        <f>D20*12</f>
        <v>1980000</v>
      </c>
      <c r="F20" s="204" t="s">
        <v>396</v>
      </c>
      <c r="G20" s="195" t="s">
        <v>49</v>
      </c>
      <c r="H20" s="199">
        <v>33000</v>
      </c>
      <c r="I20" s="176">
        <v>0</v>
      </c>
      <c r="J20" s="176">
        <v>0</v>
      </c>
      <c r="K20" s="176">
        <v>0</v>
      </c>
      <c r="L20" s="176">
        <v>0</v>
      </c>
      <c r="M20" s="176">
        <v>0</v>
      </c>
      <c r="N20" s="176">
        <v>0</v>
      </c>
      <c r="O20" s="176">
        <v>0</v>
      </c>
      <c r="P20" s="176">
        <v>0</v>
      </c>
      <c r="Q20" s="176">
        <v>0</v>
      </c>
      <c r="R20" s="176">
        <v>0</v>
      </c>
      <c r="S20" s="176">
        <v>0</v>
      </c>
      <c r="T20" s="176">
        <f>SUM(H20:S20)</f>
        <v>33000</v>
      </c>
    </row>
    <row r="21" spans="1:20" x14ac:dyDescent="0.3">
      <c r="A21" s="232"/>
      <c r="B21" s="228"/>
      <c r="C21" s="208"/>
      <c r="D21" s="212">
        <f>-D20*10%</f>
        <v>-16500</v>
      </c>
      <c r="E21" s="208"/>
      <c r="F21" s="204"/>
      <c r="G21" s="195" t="s">
        <v>52</v>
      </c>
      <c r="H21" s="199">
        <v>33000</v>
      </c>
      <c r="I21" s="176">
        <v>0</v>
      </c>
      <c r="J21" s="176">
        <v>0</v>
      </c>
      <c r="K21" s="176">
        <v>0</v>
      </c>
      <c r="L21" s="176">
        <v>0</v>
      </c>
      <c r="M21" s="176">
        <v>0</v>
      </c>
      <c r="N21" s="176">
        <v>0</v>
      </c>
      <c r="O21" s="176">
        <v>0</v>
      </c>
      <c r="P21" s="176">
        <v>0</v>
      </c>
      <c r="Q21" s="176">
        <v>0</v>
      </c>
      <c r="R21" s="176">
        <v>0</v>
      </c>
      <c r="S21" s="176">
        <v>0</v>
      </c>
      <c r="T21" s="176">
        <f>SUM(H21:S21)</f>
        <v>33000</v>
      </c>
    </row>
    <row r="22" spans="1:20" x14ac:dyDescent="0.3">
      <c r="A22" s="232"/>
      <c r="B22" s="228"/>
      <c r="C22" s="208"/>
      <c r="D22" s="212">
        <f>SUM(D20:D21)</f>
        <v>148500</v>
      </c>
      <c r="E22" s="208"/>
      <c r="F22" s="204"/>
      <c r="G22" s="195" t="s">
        <v>53</v>
      </c>
      <c r="H22" s="199">
        <v>33000</v>
      </c>
      <c r="I22" s="176">
        <v>0</v>
      </c>
      <c r="J22" s="176">
        <v>0</v>
      </c>
      <c r="K22" s="176">
        <v>0</v>
      </c>
      <c r="L22" s="176">
        <v>0</v>
      </c>
      <c r="M22" s="176">
        <v>0</v>
      </c>
      <c r="N22" s="176">
        <v>0</v>
      </c>
      <c r="O22" s="176">
        <v>0</v>
      </c>
      <c r="P22" s="176">
        <v>0</v>
      </c>
      <c r="Q22" s="176">
        <v>0</v>
      </c>
      <c r="R22" s="176">
        <v>0</v>
      </c>
      <c r="S22" s="176">
        <v>0</v>
      </c>
      <c r="T22" s="176">
        <f>SUM(H22:S22)</f>
        <v>33000</v>
      </c>
    </row>
    <row r="23" spans="1:20" x14ac:dyDescent="0.3">
      <c r="A23" s="232"/>
      <c r="B23" s="228"/>
      <c r="C23" s="208"/>
      <c r="D23" s="212"/>
      <c r="E23" s="208"/>
      <c r="F23" s="204"/>
      <c r="G23" s="195" t="s">
        <v>54</v>
      </c>
      <c r="H23" s="199">
        <v>33000</v>
      </c>
      <c r="I23" s="176">
        <v>0</v>
      </c>
      <c r="J23" s="176">
        <v>0</v>
      </c>
      <c r="K23" s="176">
        <v>0</v>
      </c>
      <c r="L23" s="176">
        <v>0</v>
      </c>
      <c r="M23" s="176">
        <v>0</v>
      </c>
      <c r="N23" s="176">
        <v>0</v>
      </c>
      <c r="O23" s="176">
        <v>0</v>
      </c>
      <c r="P23" s="176">
        <v>0</v>
      </c>
      <c r="Q23" s="176">
        <v>0</v>
      </c>
      <c r="R23" s="176">
        <v>0</v>
      </c>
      <c r="S23" s="176">
        <v>0</v>
      </c>
      <c r="T23" s="176">
        <f>SUM(H23:S23)</f>
        <v>33000</v>
      </c>
    </row>
    <row r="24" spans="1:20" x14ac:dyDescent="0.3">
      <c r="A24" s="232"/>
      <c r="B24" s="228"/>
      <c r="C24" s="208"/>
      <c r="D24" s="212"/>
      <c r="E24" s="208"/>
      <c r="F24" s="204"/>
      <c r="G24" s="195" t="s">
        <v>55</v>
      </c>
      <c r="H24" s="199">
        <v>33000</v>
      </c>
      <c r="I24" s="176">
        <v>0</v>
      </c>
      <c r="J24" s="176">
        <v>0</v>
      </c>
      <c r="K24" s="176">
        <v>0</v>
      </c>
      <c r="L24" s="176">
        <v>0</v>
      </c>
      <c r="M24" s="176">
        <v>0</v>
      </c>
      <c r="N24" s="176">
        <v>0</v>
      </c>
      <c r="O24" s="176">
        <v>0</v>
      </c>
      <c r="P24" s="176">
        <v>0</v>
      </c>
      <c r="Q24" s="176">
        <v>0</v>
      </c>
      <c r="R24" s="176">
        <v>0</v>
      </c>
      <c r="S24" s="176">
        <v>0</v>
      </c>
      <c r="T24" s="176">
        <f>SUM(H24:S24)</f>
        <v>33000</v>
      </c>
    </row>
    <row r="25" spans="1:20" x14ac:dyDescent="0.3">
      <c r="A25" s="232"/>
      <c r="B25" s="228"/>
      <c r="C25" s="208"/>
      <c r="D25" s="212"/>
      <c r="E25" s="208"/>
      <c r="F25" s="204"/>
      <c r="G25" s="195"/>
      <c r="H25" s="199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 x14ac:dyDescent="0.3">
      <c r="A26" s="233" t="s">
        <v>397</v>
      </c>
      <c r="B26" s="227" t="s">
        <v>398</v>
      </c>
      <c r="C26" s="208"/>
      <c r="D26" s="212">
        <v>16900</v>
      </c>
      <c r="E26" s="208">
        <f>D26*12</f>
        <v>202800</v>
      </c>
      <c r="F26" s="204" t="s">
        <v>212</v>
      </c>
      <c r="G26" s="195" t="s">
        <v>23</v>
      </c>
      <c r="H26" s="199">
        <v>5633</v>
      </c>
      <c r="I26" s="176">
        <v>0</v>
      </c>
      <c r="J26" s="176">
        <v>0</v>
      </c>
      <c r="K26" s="176">
        <v>0</v>
      </c>
      <c r="L26" s="176">
        <v>0</v>
      </c>
      <c r="M26" s="176">
        <v>0</v>
      </c>
      <c r="N26" s="176">
        <v>0</v>
      </c>
      <c r="O26" s="176">
        <v>0</v>
      </c>
      <c r="P26" s="176">
        <v>0</v>
      </c>
      <c r="Q26" s="176">
        <v>0</v>
      </c>
      <c r="R26" s="176">
        <v>0</v>
      </c>
      <c r="S26" s="176">
        <v>0</v>
      </c>
      <c r="T26" s="176">
        <f>SUM(H26:S26)</f>
        <v>5633</v>
      </c>
    </row>
    <row r="27" spans="1:20" x14ac:dyDescent="0.3">
      <c r="A27" s="232"/>
      <c r="B27" s="228"/>
      <c r="C27" s="208"/>
      <c r="D27" s="212"/>
      <c r="E27" s="208"/>
      <c r="F27" s="204" t="s">
        <v>212</v>
      </c>
      <c r="G27" s="195" t="s">
        <v>22</v>
      </c>
      <c r="H27" s="199">
        <v>5633</v>
      </c>
      <c r="I27" s="176">
        <v>0</v>
      </c>
      <c r="J27" s="176">
        <v>0</v>
      </c>
      <c r="K27" s="176">
        <v>0</v>
      </c>
      <c r="L27" s="176">
        <v>0</v>
      </c>
      <c r="M27" s="176">
        <v>0</v>
      </c>
      <c r="N27" s="176">
        <v>0</v>
      </c>
      <c r="O27" s="176">
        <v>0</v>
      </c>
      <c r="P27" s="176">
        <v>0</v>
      </c>
      <c r="Q27" s="176">
        <v>0</v>
      </c>
      <c r="R27" s="176">
        <v>0</v>
      </c>
      <c r="S27" s="176">
        <v>0</v>
      </c>
      <c r="T27" s="176">
        <f>SUM(H27:S27)</f>
        <v>5633</v>
      </c>
    </row>
    <row r="28" spans="1:20" x14ac:dyDescent="0.3">
      <c r="A28" s="232"/>
      <c r="B28" s="228"/>
      <c r="C28" s="208"/>
      <c r="D28" s="212"/>
      <c r="E28" s="208"/>
      <c r="F28" s="204" t="s">
        <v>212</v>
      </c>
      <c r="G28" s="195" t="s">
        <v>24</v>
      </c>
      <c r="H28" s="199">
        <v>5634</v>
      </c>
      <c r="I28" s="176">
        <v>0</v>
      </c>
      <c r="J28" s="176">
        <v>0</v>
      </c>
      <c r="K28" s="176">
        <v>0</v>
      </c>
      <c r="L28" s="176">
        <v>0</v>
      </c>
      <c r="M28" s="176">
        <v>0</v>
      </c>
      <c r="N28" s="176">
        <v>0</v>
      </c>
      <c r="O28" s="176">
        <v>0</v>
      </c>
      <c r="P28" s="176">
        <v>0</v>
      </c>
      <c r="Q28" s="176">
        <v>0</v>
      </c>
      <c r="R28" s="176">
        <v>0</v>
      </c>
      <c r="S28" s="176">
        <v>0</v>
      </c>
      <c r="T28" s="176">
        <f>SUM(H28:S28)</f>
        <v>5634</v>
      </c>
    </row>
    <row r="29" spans="1:20" x14ac:dyDescent="0.3">
      <c r="A29" s="232"/>
      <c r="B29" s="228"/>
      <c r="C29" s="208"/>
      <c r="D29" s="212"/>
      <c r="E29" s="208"/>
      <c r="F29" s="204"/>
      <c r="G29" s="195"/>
      <c r="H29" s="199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 x14ac:dyDescent="0.3">
      <c r="A30" s="233" t="s">
        <v>399</v>
      </c>
      <c r="B30" s="227" t="s">
        <v>400</v>
      </c>
      <c r="C30" s="208"/>
      <c r="D30" s="212">
        <f>4667*3-1</f>
        <v>14000</v>
      </c>
      <c r="E30" s="208">
        <f>D30*12</f>
        <v>168000</v>
      </c>
      <c r="F30" s="204" t="s">
        <v>212</v>
      </c>
      <c r="G30" s="195" t="s">
        <v>23</v>
      </c>
      <c r="H30" s="199">
        <v>4666</v>
      </c>
      <c r="I30" s="176">
        <v>0</v>
      </c>
      <c r="J30" s="176">
        <v>0</v>
      </c>
      <c r="K30" s="176">
        <v>0</v>
      </c>
      <c r="L30" s="176">
        <v>0</v>
      </c>
      <c r="M30" s="176">
        <v>0</v>
      </c>
      <c r="N30" s="176">
        <v>0</v>
      </c>
      <c r="O30" s="176">
        <v>0</v>
      </c>
      <c r="P30" s="176">
        <v>0</v>
      </c>
      <c r="Q30" s="176">
        <v>0</v>
      </c>
      <c r="R30" s="176">
        <v>0</v>
      </c>
      <c r="S30" s="176">
        <v>0</v>
      </c>
      <c r="T30" s="176">
        <f>SUM(H30:S30)</f>
        <v>4666</v>
      </c>
    </row>
    <row r="31" spans="1:20" x14ac:dyDescent="0.3">
      <c r="A31" s="232"/>
      <c r="B31" s="228"/>
      <c r="C31" s="208"/>
      <c r="D31" s="212"/>
      <c r="E31" s="208"/>
      <c r="F31" s="204" t="s">
        <v>212</v>
      </c>
      <c r="G31" s="195" t="s">
        <v>22</v>
      </c>
      <c r="H31" s="199">
        <v>4667</v>
      </c>
      <c r="I31" s="176">
        <v>0</v>
      </c>
      <c r="J31" s="176">
        <v>0</v>
      </c>
      <c r="K31" s="176">
        <v>0</v>
      </c>
      <c r="L31" s="176">
        <v>0</v>
      </c>
      <c r="M31" s="176">
        <v>0</v>
      </c>
      <c r="N31" s="176">
        <v>0</v>
      </c>
      <c r="O31" s="176">
        <v>0</v>
      </c>
      <c r="P31" s="176">
        <v>0</v>
      </c>
      <c r="Q31" s="176">
        <v>0</v>
      </c>
      <c r="R31" s="176">
        <v>0</v>
      </c>
      <c r="S31" s="176">
        <v>0</v>
      </c>
      <c r="T31" s="176">
        <f>SUM(H31:S31)</f>
        <v>4667</v>
      </c>
    </row>
    <row r="32" spans="1:20" x14ac:dyDescent="0.3">
      <c r="A32" s="232"/>
      <c r="B32" s="228"/>
      <c r="C32" s="208"/>
      <c r="D32" s="212"/>
      <c r="E32" s="208"/>
      <c r="F32" s="204" t="s">
        <v>212</v>
      </c>
      <c r="G32" s="195" t="s">
        <v>24</v>
      </c>
      <c r="H32" s="199">
        <v>4667</v>
      </c>
      <c r="I32" s="176">
        <v>0</v>
      </c>
      <c r="J32" s="176">
        <v>0</v>
      </c>
      <c r="K32" s="176">
        <v>0</v>
      </c>
      <c r="L32" s="176">
        <v>0</v>
      </c>
      <c r="M32" s="176">
        <v>0</v>
      </c>
      <c r="N32" s="176">
        <v>0</v>
      </c>
      <c r="O32" s="176">
        <v>0</v>
      </c>
      <c r="P32" s="176">
        <v>0</v>
      </c>
      <c r="Q32" s="176">
        <v>0</v>
      </c>
      <c r="R32" s="176">
        <v>0</v>
      </c>
      <c r="S32" s="176">
        <v>0</v>
      </c>
      <c r="T32" s="176">
        <f>SUM(H32:S32)</f>
        <v>4667</v>
      </c>
    </row>
    <row r="33" spans="1:20" x14ac:dyDescent="0.3">
      <c r="A33" s="232"/>
      <c r="B33" s="228"/>
      <c r="C33" s="208"/>
      <c r="D33" s="212"/>
      <c r="E33" s="208"/>
      <c r="F33" s="204"/>
      <c r="G33" s="195"/>
      <c r="H33" s="199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 x14ac:dyDescent="0.3">
      <c r="A34" s="233" t="s">
        <v>401</v>
      </c>
      <c r="B34" s="227" t="s">
        <v>402</v>
      </c>
      <c r="C34" s="208"/>
      <c r="D34" s="212">
        <v>70000</v>
      </c>
      <c r="E34" s="208">
        <f>D34*12</f>
        <v>840000</v>
      </c>
      <c r="F34" s="204" t="s">
        <v>212</v>
      </c>
      <c r="G34" s="195" t="s">
        <v>23</v>
      </c>
      <c r="H34" s="199">
        <f>70000/3</f>
        <v>23333.333333333332</v>
      </c>
      <c r="I34" s="176">
        <v>0</v>
      </c>
      <c r="J34" s="176">
        <v>0</v>
      </c>
      <c r="K34" s="176">
        <v>0</v>
      </c>
      <c r="L34" s="176">
        <v>0</v>
      </c>
      <c r="M34" s="176">
        <v>0</v>
      </c>
      <c r="N34" s="176">
        <v>0</v>
      </c>
      <c r="O34" s="176">
        <v>0</v>
      </c>
      <c r="P34" s="176">
        <v>0</v>
      </c>
      <c r="Q34" s="176">
        <v>0</v>
      </c>
      <c r="R34" s="176">
        <v>0</v>
      </c>
      <c r="S34" s="176">
        <v>0</v>
      </c>
      <c r="T34" s="176">
        <f>SUM(H34:S34)</f>
        <v>23333.333333333332</v>
      </c>
    </row>
    <row r="35" spans="1:20" x14ac:dyDescent="0.3">
      <c r="A35" s="232"/>
      <c r="B35" s="228"/>
      <c r="C35" s="208"/>
      <c r="D35" s="212">
        <f>-D34*20%</f>
        <v>-14000</v>
      </c>
      <c r="E35" s="208"/>
      <c r="F35" s="204" t="s">
        <v>212</v>
      </c>
      <c r="G35" s="195" t="s">
        <v>22</v>
      </c>
      <c r="H35" s="199">
        <f>70000/3</f>
        <v>23333.333333333332</v>
      </c>
      <c r="I35" s="176">
        <v>0</v>
      </c>
      <c r="J35" s="176">
        <v>0</v>
      </c>
      <c r="K35" s="176">
        <v>0</v>
      </c>
      <c r="L35" s="176">
        <v>0</v>
      </c>
      <c r="M35" s="176">
        <v>0</v>
      </c>
      <c r="N35" s="176">
        <v>0</v>
      </c>
      <c r="O35" s="176">
        <v>0</v>
      </c>
      <c r="P35" s="176">
        <v>0</v>
      </c>
      <c r="Q35" s="176">
        <v>0</v>
      </c>
      <c r="R35" s="176">
        <v>0</v>
      </c>
      <c r="S35" s="176">
        <v>0</v>
      </c>
      <c r="T35" s="176">
        <f>SUM(H35:S35)</f>
        <v>23333.333333333332</v>
      </c>
    </row>
    <row r="36" spans="1:20" x14ac:dyDescent="0.3">
      <c r="A36" s="232"/>
      <c r="B36" s="228"/>
      <c r="C36" s="208"/>
      <c r="D36" s="212">
        <f>SUM(D34:D35)</f>
        <v>56000</v>
      </c>
      <c r="E36" s="208"/>
      <c r="F36" s="204" t="s">
        <v>212</v>
      </c>
      <c r="G36" s="195" t="s">
        <v>24</v>
      </c>
      <c r="H36" s="199">
        <f>70000/3</f>
        <v>23333.333333333332</v>
      </c>
      <c r="I36" s="176">
        <v>0</v>
      </c>
      <c r="J36" s="176">
        <v>0</v>
      </c>
      <c r="K36" s="176">
        <v>0</v>
      </c>
      <c r="L36" s="176">
        <v>0</v>
      </c>
      <c r="M36" s="176">
        <v>0</v>
      </c>
      <c r="N36" s="176">
        <v>0</v>
      </c>
      <c r="O36" s="176">
        <v>0</v>
      </c>
      <c r="P36" s="176">
        <v>0</v>
      </c>
      <c r="Q36" s="176">
        <v>0</v>
      </c>
      <c r="R36" s="176">
        <v>0</v>
      </c>
      <c r="S36" s="176">
        <v>0</v>
      </c>
      <c r="T36" s="176">
        <f>SUM(H36:S36)</f>
        <v>23333.333333333332</v>
      </c>
    </row>
    <row r="37" spans="1:20" x14ac:dyDescent="0.3">
      <c r="A37" s="232"/>
      <c r="B37" s="228"/>
      <c r="C37" s="208"/>
      <c r="D37" s="212"/>
      <c r="E37" s="208"/>
      <c r="F37" s="204"/>
      <c r="G37" s="195"/>
      <c r="H37" s="199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 x14ac:dyDescent="0.3">
      <c r="A38" s="233" t="s">
        <v>403</v>
      </c>
      <c r="B38" s="227" t="s">
        <v>404</v>
      </c>
      <c r="C38" s="208"/>
      <c r="D38" s="212">
        <f>59998.5*4</f>
        <v>239994</v>
      </c>
      <c r="E38" s="208">
        <f>D38*12</f>
        <v>2879928</v>
      </c>
      <c r="F38" s="204" t="s">
        <v>405</v>
      </c>
      <c r="G38" s="195" t="s">
        <v>9</v>
      </c>
      <c r="H38" s="199">
        <v>59998.5</v>
      </c>
      <c r="I38" s="176">
        <v>0</v>
      </c>
      <c r="J38" s="176">
        <v>0</v>
      </c>
      <c r="K38" s="176">
        <v>0</v>
      </c>
      <c r="L38" s="176">
        <v>0</v>
      </c>
      <c r="M38" s="176">
        <v>0</v>
      </c>
      <c r="N38" s="176">
        <v>0</v>
      </c>
      <c r="O38" s="176">
        <v>0</v>
      </c>
      <c r="P38" s="176">
        <v>0</v>
      </c>
      <c r="Q38" s="176">
        <v>0</v>
      </c>
      <c r="R38" s="176">
        <v>0</v>
      </c>
      <c r="S38" s="176">
        <v>0</v>
      </c>
      <c r="T38" s="176">
        <f>SUM(H38:S38)</f>
        <v>59998.5</v>
      </c>
    </row>
    <row r="39" spans="1:20" x14ac:dyDescent="0.3">
      <c r="A39" s="232"/>
      <c r="B39" s="228"/>
      <c r="C39" s="208"/>
      <c r="D39" s="212">
        <f>-D38*20%</f>
        <v>-47998.8</v>
      </c>
      <c r="E39" s="208"/>
      <c r="F39" s="204" t="s">
        <v>405</v>
      </c>
      <c r="G39" s="195" t="s">
        <v>10</v>
      </c>
      <c r="H39" s="199">
        <v>59998.5</v>
      </c>
      <c r="I39" s="176">
        <v>0</v>
      </c>
      <c r="J39" s="176">
        <v>0</v>
      </c>
      <c r="K39" s="176">
        <v>0</v>
      </c>
      <c r="L39" s="176">
        <v>0</v>
      </c>
      <c r="M39" s="176">
        <v>0</v>
      </c>
      <c r="N39" s="176">
        <v>0</v>
      </c>
      <c r="O39" s="176">
        <v>0</v>
      </c>
      <c r="P39" s="176">
        <v>0</v>
      </c>
      <c r="Q39" s="176">
        <v>0</v>
      </c>
      <c r="R39" s="176">
        <v>0</v>
      </c>
      <c r="S39" s="176">
        <v>0</v>
      </c>
      <c r="T39" s="176">
        <f>SUM(H39:S39)</f>
        <v>59998.5</v>
      </c>
    </row>
    <row r="40" spans="1:20" x14ac:dyDescent="0.3">
      <c r="A40" s="232"/>
      <c r="B40" s="228"/>
      <c r="C40" s="208"/>
      <c r="D40" s="212">
        <f>SUM(D38:D39)</f>
        <v>191995.2</v>
      </c>
      <c r="E40" s="208"/>
      <c r="F40" s="204" t="s">
        <v>405</v>
      </c>
      <c r="G40" s="195" t="s">
        <v>12</v>
      </c>
      <c r="H40" s="199">
        <v>59998.5</v>
      </c>
      <c r="I40" s="176">
        <v>0</v>
      </c>
      <c r="J40" s="176">
        <v>0</v>
      </c>
      <c r="K40" s="176">
        <v>0</v>
      </c>
      <c r="L40" s="176">
        <v>0</v>
      </c>
      <c r="M40" s="176">
        <v>0</v>
      </c>
      <c r="N40" s="176">
        <v>0</v>
      </c>
      <c r="O40" s="176">
        <v>0</v>
      </c>
      <c r="P40" s="176">
        <v>0</v>
      </c>
      <c r="Q40" s="176">
        <v>0</v>
      </c>
      <c r="R40" s="176">
        <v>0</v>
      </c>
      <c r="S40" s="176">
        <v>0</v>
      </c>
      <c r="T40" s="176">
        <f>SUM(H40:S40)</f>
        <v>59998.5</v>
      </c>
    </row>
    <row r="41" spans="1:20" x14ac:dyDescent="0.3">
      <c r="A41" s="232"/>
      <c r="B41" s="228"/>
      <c r="C41" s="208"/>
      <c r="D41" s="212"/>
      <c r="E41" s="208"/>
      <c r="F41" s="204" t="s">
        <v>405</v>
      </c>
      <c r="G41" s="195" t="s">
        <v>13</v>
      </c>
      <c r="H41" s="199">
        <v>59998.5</v>
      </c>
      <c r="I41" s="176">
        <v>0</v>
      </c>
      <c r="J41" s="176">
        <v>0</v>
      </c>
      <c r="K41" s="176">
        <v>0</v>
      </c>
      <c r="L41" s="176">
        <v>0</v>
      </c>
      <c r="M41" s="176">
        <v>0</v>
      </c>
      <c r="N41" s="176">
        <v>0</v>
      </c>
      <c r="O41" s="176">
        <v>0</v>
      </c>
      <c r="P41" s="176">
        <v>0</v>
      </c>
      <c r="Q41" s="176">
        <v>0</v>
      </c>
      <c r="R41" s="176">
        <v>0</v>
      </c>
      <c r="S41" s="176">
        <v>0</v>
      </c>
      <c r="T41" s="176">
        <f>SUM(H41:S41)</f>
        <v>59998.5</v>
      </c>
    </row>
    <row r="42" spans="1:20" x14ac:dyDescent="0.3">
      <c r="A42" s="232"/>
      <c r="B42" s="228"/>
      <c r="C42" s="208"/>
      <c r="D42" s="212"/>
      <c r="E42" s="208"/>
      <c r="F42" s="204"/>
      <c r="G42" s="195"/>
      <c r="H42" s="199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 x14ac:dyDescent="0.3">
      <c r="A43" s="233" t="s">
        <v>406</v>
      </c>
      <c r="B43" s="227" t="s">
        <v>407</v>
      </c>
      <c r="C43" s="208">
        <v>200000</v>
      </c>
      <c r="D43" s="212">
        <v>166670</v>
      </c>
      <c r="E43" s="208">
        <f>D43*12</f>
        <v>2000040</v>
      </c>
      <c r="F43" s="204" t="s">
        <v>408</v>
      </c>
      <c r="G43" s="195">
        <v>1</v>
      </c>
      <c r="H43" s="199">
        <f>166670/8</f>
        <v>20833.75</v>
      </c>
      <c r="I43" s="176">
        <v>0</v>
      </c>
      <c r="J43" s="176">
        <v>0</v>
      </c>
      <c r="K43" s="176">
        <v>0</v>
      </c>
      <c r="L43" s="176">
        <v>0</v>
      </c>
      <c r="M43" s="176">
        <v>0</v>
      </c>
      <c r="N43" s="176">
        <v>0</v>
      </c>
      <c r="O43" s="176">
        <v>0</v>
      </c>
      <c r="P43" s="176">
        <v>0</v>
      </c>
      <c r="Q43" s="176">
        <v>0</v>
      </c>
      <c r="R43" s="176">
        <v>0</v>
      </c>
      <c r="S43" s="176">
        <v>0</v>
      </c>
      <c r="T43" s="176">
        <f t="shared" ref="T43:T50" si="0">SUM(H43:S43)</f>
        <v>20833.75</v>
      </c>
    </row>
    <row r="44" spans="1:20" x14ac:dyDescent="0.3">
      <c r="A44" s="232"/>
      <c r="B44" s="228"/>
      <c r="C44" s="208"/>
      <c r="D44" s="212">
        <f>-D43*10%</f>
        <v>-16667</v>
      </c>
      <c r="E44" s="208"/>
      <c r="F44" s="204"/>
      <c r="G44" s="195">
        <v>2</v>
      </c>
      <c r="H44" s="199">
        <f t="shared" ref="H44:H50" si="1">166670/8</f>
        <v>20833.75</v>
      </c>
      <c r="I44" s="176">
        <v>0</v>
      </c>
      <c r="J44" s="176">
        <v>0</v>
      </c>
      <c r="K44" s="176">
        <v>0</v>
      </c>
      <c r="L44" s="176">
        <v>0</v>
      </c>
      <c r="M44" s="176">
        <v>0</v>
      </c>
      <c r="N44" s="176">
        <v>0</v>
      </c>
      <c r="O44" s="176">
        <v>0</v>
      </c>
      <c r="P44" s="176">
        <v>0</v>
      </c>
      <c r="Q44" s="176">
        <v>0</v>
      </c>
      <c r="R44" s="176">
        <v>0</v>
      </c>
      <c r="S44" s="176">
        <v>0</v>
      </c>
      <c r="T44" s="176">
        <f t="shared" si="0"/>
        <v>20833.75</v>
      </c>
    </row>
    <row r="45" spans="1:20" x14ac:dyDescent="0.3">
      <c r="A45" s="232"/>
      <c r="B45" s="228"/>
      <c r="C45" s="208"/>
      <c r="D45" s="212">
        <f>SUM(D43:D44)</f>
        <v>150003</v>
      </c>
      <c r="E45" s="208"/>
      <c r="F45" s="204"/>
      <c r="G45" s="195">
        <v>3</v>
      </c>
      <c r="H45" s="199">
        <f t="shared" si="1"/>
        <v>20833.75</v>
      </c>
      <c r="I45" s="176">
        <v>0</v>
      </c>
      <c r="J45" s="176">
        <v>0</v>
      </c>
      <c r="K45" s="176">
        <v>0</v>
      </c>
      <c r="L45" s="176">
        <v>0</v>
      </c>
      <c r="M45" s="176">
        <v>0</v>
      </c>
      <c r="N45" s="176">
        <v>0</v>
      </c>
      <c r="O45" s="176">
        <v>0</v>
      </c>
      <c r="P45" s="176">
        <v>0</v>
      </c>
      <c r="Q45" s="176">
        <v>0</v>
      </c>
      <c r="R45" s="176">
        <v>0</v>
      </c>
      <c r="S45" s="176">
        <v>0</v>
      </c>
      <c r="T45" s="176">
        <f t="shared" si="0"/>
        <v>20833.75</v>
      </c>
    </row>
    <row r="46" spans="1:20" x14ac:dyDescent="0.3">
      <c r="A46" s="232"/>
      <c r="B46" s="228"/>
      <c r="C46" s="208"/>
      <c r="D46" s="212"/>
      <c r="E46" s="208"/>
      <c r="F46" s="204"/>
      <c r="G46" s="195">
        <v>4</v>
      </c>
      <c r="H46" s="199">
        <f t="shared" si="1"/>
        <v>20833.75</v>
      </c>
      <c r="I46" s="176">
        <v>0</v>
      </c>
      <c r="J46" s="176">
        <v>0</v>
      </c>
      <c r="K46" s="176">
        <v>0</v>
      </c>
      <c r="L46" s="176">
        <v>0</v>
      </c>
      <c r="M46" s="176">
        <v>0</v>
      </c>
      <c r="N46" s="176">
        <v>0</v>
      </c>
      <c r="O46" s="176">
        <v>0</v>
      </c>
      <c r="P46" s="176">
        <v>0</v>
      </c>
      <c r="Q46" s="176">
        <v>0</v>
      </c>
      <c r="R46" s="176">
        <v>0</v>
      </c>
      <c r="S46" s="176">
        <v>0</v>
      </c>
      <c r="T46" s="176">
        <f t="shared" si="0"/>
        <v>20833.75</v>
      </c>
    </row>
    <row r="47" spans="1:20" x14ac:dyDescent="0.3">
      <c r="A47" s="232"/>
      <c r="B47" s="228"/>
      <c r="C47" s="208"/>
      <c r="D47" s="212"/>
      <c r="E47" s="208"/>
      <c r="F47" s="204"/>
      <c r="G47" s="195">
        <v>5</v>
      </c>
      <c r="H47" s="199">
        <f t="shared" si="1"/>
        <v>20833.75</v>
      </c>
      <c r="I47" s="176">
        <v>0</v>
      </c>
      <c r="J47" s="176">
        <v>0</v>
      </c>
      <c r="K47" s="176">
        <v>0</v>
      </c>
      <c r="L47" s="176">
        <v>0</v>
      </c>
      <c r="M47" s="176">
        <v>0</v>
      </c>
      <c r="N47" s="176">
        <v>0</v>
      </c>
      <c r="O47" s="176">
        <v>0</v>
      </c>
      <c r="P47" s="176">
        <v>0</v>
      </c>
      <c r="Q47" s="176">
        <v>0</v>
      </c>
      <c r="R47" s="176">
        <v>0</v>
      </c>
      <c r="S47" s="176">
        <v>0</v>
      </c>
      <c r="T47" s="176">
        <f t="shared" si="0"/>
        <v>20833.75</v>
      </c>
    </row>
    <row r="48" spans="1:20" x14ac:dyDescent="0.3">
      <c r="A48" s="232"/>
      <c r="B48" s="228"/>
      <c r="C48" s="208"/>
      <c r="D48" s="212"/>
      <c r="E48" s="208"/>
      <c r="F48" s="204"/>
      <c r="G48" s="195">
        <v>6</v>
      </c>
      <c r="H48" s="199">
        <f t="shared" si="1"/>
        <v>20833.75</v>
      </c>
      <c r="I48" s="176">
        <v>0</v>
      </c>
      <c r="J48" s="176">
        <v>0</v>
      </c>
      <c r="K48" s="176">
        <v>0</v>
      </c>
      <c r="L48" s="176">
        <v>0</v>
      </c>
      <c r="M48" s="176">
        <v>0</v>
      </c>
      <c r="N48" s="176">
        <v>0</v>
      </c>
      <c r="O48" s="176">
        <v>0</v>
      </c>
      <c r="P48" s="176">
        <v>0</v>
      </c>
      <c r="Q48" s="176">
        <v>0</v>
      </c>
      <c r="R48" s="176">
        <v>0</v>
      </c>
      <c r="S48" s="176">
        <v>0</v>
      </c>
      <c r="T48" s="176">
        <f t="shared" si="0"/>
        <v>20833.75</v>
      </c>
    </row>
    <row r="49" spans="1:22" x14ac:dyDescent="0.3">
      <c r="A49" s="232"/>
      <c r="B49" s="228"/>
      <c r="C49" s="208"/>
      <c r="D49" s="212"/>
      <c r="E49" s="208"/>
      <c r="F49" s="204"/>
      <c r="G49" s="195">
        <v>7</v>
      </c>
      <c r="H49" s="199">
        <f t="shared" si="1"/>
        <v>20833.75</v>
      </c>
      <c r="I49" s="176">
        <v>0</v>
      </c>
      <c r="J49" s="176">
        <v>0</v>
      </c>
      <c r="K49" s="176">
        <v>0</v>
      </c>
      <c r="L49" s="176">
        <v>0</v>
      </c>
      <c r="M49" s="176">
        <v>0</v>
      </c>
      <c r="N49" s="176">
        <v>0</v>
      </c>
      <c r="O49" s="176">
        <v>0</v>
      </c>
      <c r="P49" s="176">
        <v>0</v>
      </c>
      <c r="Q49" s="176">
        <v>0</v>
      </c>
      <c r="R49" s="176">
        <v>0</v>
      </c>
      <c r="S49" s="176">
        <v>0</v>
      </c>
      <c r="T49" s="176">
        <f t="shared" si="0"/>
        <v>20833.75</v>
      </c>
    </row>
    <row r="50" spans="1:22" x14ac:dyDescent="0.3">
      <c r="A50" s="232"/>
      <c r="B50" s="228"/>
      <c r="C50" s="208"/>
      <c r="D50" s="212"/>
      <c r="E50" s="208"/>
      <c r="F50" s="204"/>
      <c r="G50" s="195">
        <v>8</v>
      </c>
      <c r="H50" s="199">
        <f t="shared" si="1"/>
        <v>20833.75</v>
      </c>
      <c r="I50" s="176">
        <v>0</v>
      </c>
      <c r="J50" s="176">
        <v>0</v>
      </c>
      <c r="K50" s="176">
        <v>0</v>
      </c>
      <c r="L50" s="176">
        <v>0</v>
      </c>
      <c r="M50" s="176">
        <v>0</v>
      </c>
      <c r="N50" s="176">
        <v>0</v>
      </c>
      <c r="O50" s="176">
        <v>0</v>
      </c>
      <c r="P50" s="176">
        <v>0</v>
      </c>
      <c r="Q50" s="176">
        <v>0</v>
      </c>
      <c r="R50" s="176">
        <v>0</v>
      </c>
      <c r="S50" s="176">
        <v>0</v>
      </c>
      <c r="T50" s="176">
        <f t="shared" si="0"/>
        <v>20833.75</v>
      </c>
    </row>
    <row r="51" spans="1:22" x14ac:dyDescent="0.3">
      <c r="A51" s="232"/>
      <c r="B51" s="228"/>
      <c r="C51" s="208"/>
      <c r="D51" s="212"/>
      <c r="E51" s="208"/>
      <c r="F51" s="204"/>
      <c r="G51" s="195"/>
      <c r="H51" s="199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2" x14ac:dyDescent="0.3">
      <c r="A52" s="233" t="s">
        <v>409</v>
      </c>
      <c r="B52" s="227" t="s">
        <v>410</v>
      </c>
      <c r="C52" s="208">
        <v>200000</v>
      </c>
      <c r="D52" s="212">
        <v>177780</v>
      </c>
      <c r="E52" s="208">
        <f>D52*12</f>
        <v>2133360</v>
      </c>
      <c r="F52" s="204" t="s">
        <v>408</v>
      </c>
      <c r="G52" s="195">
        <v>1</v>
      </c>
      <c r="H52" s="199">
        <f>177780/8</f>
        <v>22222.5</v>
      </c>
      <c r="I52" s="176">
        <v>0</v>
      </c>
      <c r="J52" s="176">
        <v>0</v>
      </c>
      <c r="K52" s="176">
        <v>0</v>
      </c>
      <c r="L52" s="176">
        <v>0</v>
      </c>
      <c r="M52" s="176">
        <v>0</v>
      </c>
      <c r="N52" s="176">
        <v>0</v>
      </c>
      <c r="O52" s="176">
        <v>0</v>
      </c>
      <c r="P52" s="176">
        <v>0</v>
      </c>
      <c r="Q52" s="176">
        <v>0</v>
      </c>
      <c r="R52" s="176">
        <v>0</v>
      </c>
      <c r="S52" s="176">
        <v>0</v>
      </c>
      <c r="T52" s="176">
        <f>SUM(H52:S52)</f>
        <v>22222.5</v>
      </c>
    </row>
    <row r="53" spans="1:22" x14ac:dyDescent="0.3">
      <c r="A53" s="232"/>
      <c r="B53" s="228"/>
      <c r="C53" s="208"/>
      <c r="D53" s="212">
        <f>-D52*10%</f>
        <v>-17778</v>
      </c>
      <c r="E53" s="208"/>
      <c r="F53" s="204"/>
      <c r="G53" s="195">
        <v>2</v>
      </c>
      <c r="H53" s="199">
        <f t="shared" ref="H53:H59" si="2">177780/8</f>
        <v>22222.5</v>
      </c>
      <c r="I53" s="176">
        <v>0</v>
      </c>
      <c r="J53" s="176">
        <v>0</v>
      </c>
      <c r="K53" s="176">
        <v>0</v>
      </c>
      <c r="L53" s="176">
        <v>0</v>
      </c>
      <c r="M53" s="176">
        <v>0</v>
      </c>
      <c r="N53" s="176">
        <v>0</v>
      </c>
      <c r="O53" s="176">
        <v>0</v>
      </c>
      <c r="P53" s="176">
        <v>0</v>
      </c>
      <c r="Q53" s="176">
        <v>0</v>
      </c>
      <c r="R53" s="176">
        <v>0</v>
      </c>
      <c r="S53" s="176">
        <v>0</v>
      </c>
      <c r="T53" s="176">
        <f t="shared" ref="T53:T59" si="3">SUM(H53:S53)</f>
        <v>22222.5</v>
      </c>
    </row>
    <row r="54" spans="1:22" x14ac:dyDescent="0.3">
      <c r="A54" s="232"/>
      <c r="B54" s="228"/>
      <c r="C54" s="208"/>
      <c r="D54" s="212">
        <f>SUM(D52:D53)</f>
        <v>160002</v>
      </c>
      <c r="E54" s="208"/>
      <c r="F54" s="204"/>
      <c r="G54" s="195">
        <v>3</v>
      </c>
      <c r="H54" s="199">
        <f t="shared" si="2"/>
        <v>22222.5</v>
      </c>
      <c r="I54" s="176">
        <v>0</v>
      </c>
      <c r="J54" s="176">
        <v>0</v>
      </c>
      <c r="K54" s="176">
        <v>0</v>
      </c>
      <c r="L54" s="176">
        <v>0</v>
      </c>
      <c r="M54" s="176">
        <v>0</v>
      </c>
      <c r="N54" s="176">
        <v>0</v>
      </c>
      <c r="O54" s="176">
        <v>0</v>
      </c>
      <c r="P54" s="176">
        <v>0</v>
      </c>
      <c r="Q54" s="176">
        <v>0</v>
      </c>
      <c r="R54" s="176">
        <v>0</v>
      </c>
      <c r="S54" s="176">
        <v>0</v>
      </c>
      <c r="T54" s="176">
        <f t="shared" si="3"/>
        <v>22222.5</v>
      </c>
    </row>
    <row r="55" spans="1:22" x14ac:dyDescent="0.3">
      <c r="A55" s="232"/>
      <c r="B55" s="228"/>
      <c r="C55" s="208"/>
      <c r="D55" s="212"/>
      <c r="E55" s="208"/>
      <c r="F55" s="204"/>
      <c r="G55" s="195">
        <v>4</v>
      </c>
      <c r="H55" s="199">
        <f t="shared" si="2"/>
        <v>22222.5</v>
      </c>
      <c r="I55" s="176">
        <v>0</v>
      </c>
      <c r="J55" s="176">
        <v>0</v>
      </c>
      <c r="K55" s="176">
        <v>0</v>
      </c>
      <c r="L55" s="176">
        <v>0</v>
      </c>
      <c r="M55" s="176">
        <v>0</v>
      </c>
      <c r="N55" s="176">
        <v>0</v>
      </c>
      <c r="O55" s="176">
        <v>0</v>
      </c>
      <c r="P55" s="176">
        <v>0</v>
      </c>
      <c r="Q55" s="176">
        <v>0</v>
      </c>
      <c r="R55" s="176">
        <v>0</v>
      </c>
      <c r="S55" s="176">
        <v>0</v>
      </c>
      <c r="T55" s="176">
        <f t="shared" si="3"/>
        <v>22222.5</v>
      </c>
    </row>
    <row r="56" spans="1:22" x14ac:dyDescent="0.3">
      <c r="A56" s="232"/>
      <c r="B56" s="228"/>
      <c r="C56" s="208"/>
      <c r="D56" s="212"/>
      <c r="E56" s="208"/>
      <c r="F56" s="204"/>
      <c r="G56" s="195">
        <v>5</v>
      </c>
      <c r="H56" s="199">
        <f t="shared" si="2"/>
        <v>22222.5</v>
      </c>
      <c r="I56" s="176">
        <v>0</v>
      </c>
      <c r="J56" s="176">
        <v>0</v>
      </c>
      <c r="K56" s="176">
        <v>0</v>
      </c>
      <c r="L56" s="176">
        <v>0</v>
      </c>
      <c r="M56" s="176">
        <v>0</v>
      </c>
      <c r="N56" s="176">
        <v>0</v>
      </c>
      <c r="O56" s="176">
        <v>0</v>
      </c>
      <c r="P56" s="176">
        <v>0</v>
      </c>
      <c r="Q56" s="176">
        <v>0</v>
      </c>
      <c r="R56" s="176">
        <v>0</v>
      </c>
      <c r="S56" s="176">
        <v>0</v>
      </c>
      <c r="T56" s="176">
        <f t="shared" si="3"/>
        <v>22222.5</v>
      </c>
    </row>
    <row r="57" spans="1:22" x14ac:dyDescent="0.3">
      <c r="A57" s="232"/>
      <c r="B57" s="228"/>
      <c r="C57" s="208"/>
      <c r="D57" s="212"/>
      <c r="E57" s="208"/>
      <c r="F57" s="204"/>
      <c r="G57" s="195">
        <v>6</v>
      </c>
      <c r="H57" s="199">
        <f t="shared" si="2"/>
        <v>22222.5</v>
      </c>
      <c r="I57" s="176">
        <v>0</v>
      </c>
      <c r="J57" s="176">
        <v>0</v>
      </c>
      <c r="K57" s="176">
        <v>0</v>
      </c>
      <c r="L57" s="176">
        <v>0</v>
      </c>
      <c r="M57" s="176">
        <v>0</v>
      </c>
      <c r="N57" s="176">
        <v>0</v>
      </c>
      <c r="O57" s="176">
        <v>0</v>
      </c>
      <c r="P57" s="176">
        <v>0</v>
      </c>
      <c r="Q57" s="176">
        <v>0</v>
      </c>
      <c r="R57" s="176">
        <v>0</v>
      </c>
      <c r="S57" s="176">
        <v>0</v>
      </c>
      <c r="T57" s="176">
        <f t="shared" si="3"/>
        <v>22222.5</v>
      </c>
    </row>
    <row r="58" spans="1:22" x14ac:dyDescent="0.3">
      <c r="A58" s="232"/>
      <c r="B58" s="228"/>
      <c r="C58" s="208"/>
      <c r="D58" s="212"/>
      <c r="E58" s="208"/>
      <c r="F58" s="204"/>
      <c r="G58" s="195">
        <v>7</v>
      </c>
      <c r="H58" s="199">
        <f t="shared" si="2"/>
        <v>22222.5</v>
      </c>
      <c r="I58" s="176">
        <v>0</v>
      </c>
      <c r="J58" s="176">
        <v>0</v>
      </c>
      <c r="K58" s="176">
        <v>0</v>
      </c>
      <c r="L58" s="176">
        <v>0</v>
      </c>
      <c r="M58" s="176">
        <v>0</v>
      </c>
      <c r="N58" s="176">
        <v>0</v>
      </c>
      <c r="O58" s="176">
        <v>0</v>
      </c>
      <c r="P58" s="176">
        <v>0</v>
      </c>
      <c r="Q58" s="176">
        <v>0</v>
      </c>
      <c r="R58" s="176">
        <v>0</v>
      </c>
      <c r="S58" s="176">
        <v>0</v>
      </c>
      <c r="T58" s="176">
        <f t="shared" si="3"/>
        <v>22222.5</v>
      </c>
    </row>
    <row r="59" spans="1:22" x14ac:dyDescent="0.3">
      <c r="A59" s="232"/>
      <c r="B59" s="228"/>
      <c r="C59" s="208"/>
      <c r="D59" s="212"/>
      <c r="E59" s="208"/>
      <c r="F59" s="204"/>
      <c r="G59" s="195">
        <v>8</v>
      </c>
      <c r="H59" s="199">
        <f t="shared" si="2"/>
        <v>22222.5</v>
      </c>
      <c r="I59" s="176">
        <v>0</v>
      </c>
      <c r="J59" s="176">
        <v>0</v>
      </c>
      <c r="K59" s="176">
        <v>0</v>
      </c>
      <c r="L59" s="176">
        <v>0</v>
      </c>
      <c r="M59" s="176">
        <v>0</v>
      </c>
      <c r="N59" s="176">
        <v>0</v>
      </c>
      <c r="O59" s="176">
        <v>0</v>
      </c>
      <c r="P59" s="176">
        <v>0</v>
      </c>
      <c r="Q59" s="176">
        <v>0</v>
      </c>
      <c r="R59" s="176">
        <v>0</v>
      </c>
      <c r="S59" s="176">
        <v>0</v>
      </c>
      <c r="T59" s="176">
        <f t="shared" si="3"/>
        <v>22222.5</v>
      </c>
    </row>
    <row r="60" spans="1:22" x14ac:dyDescent="0.3">
      <c r="A60" s="232"/>
      <c r="B60" s="228"/>
      <c r="C60" s="208"/>
      <c r="D60" s="212"/>
      <c r="E60" s="208"/>
      <c r="F60" s="204"/>
      <c r="G60" s="195"/>
      <c r="H60" s="199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</row>
    <row r="61" spans="1:22" x14ac:dyDescent="0.3">
      <c r="A61" s="233" t="s">
        <v>411</v>
      </c>
      <c r="B61" s="227" t="s">
        <v>412</v>
      </c>
      <c r="C61" s="208">
        <v>200000</v>
      </c>
      <c r="D61" s="212">
        <v>166670</v>
      </c>
      <c r="E61" s="208">
        <f>D61*12</f>
        <v>2000040</v>
      </c>
      <c r="F61" s="204" t="s">
        <v>408</v>
      </c>
      <c r="G61" s="195">
        <v>1</v>
      </c>
      <c r="H61" s="199">
        <f>150000/8</f>
        <v>18750</v>
      </c>
      <c r="I61" s="176">
        <f>(166670+16667)/8</f>
        <v>22917.125</v>
      </c>
      <c r="J61" s="176">
        <v>0</v>
      </c>
      <c r="K61" s="176">
        <v>0</v>
      </c>
      <c r="L61" s="176">
        <v>0</v>
      </c>
      <c r="M61" s="176">
        <v>0</v>
      </c>
      <c r="N61" s="176">
        <v>0</v>
      </c>
      <c r="O61" s="176">
        <v>0</v>
      </c>
      <c r="P61" s="176">
        <v>0</v>
      </c>
      <c r="Q61" s="176">
        <v>0</v>
      </c>
      <c r="R61" s="176">
        <v>0</v>
      </c>
      <c r="S61" s="176">
        <v>0</v>
      </c>
      <c r="T61" s="176">
        <f>SUM(H61:S61)</f>
        <v>41667.125</v>
      </c>
      <c r="V61" s="178">
        <f>E61/12</f>
        <v>166670</v>
      </c>
    </row>
    <row r="62" spans="1:22" x14ac:dyDescent="0.3">
      <c r="A62" s="232"/>
      <c r="B62" s="228"/>
      <c r="C62" s="208"/>
      <c r="D62" s="212">
        <f>-D61*10%</f>
        <v>-16667</v>
      </c>
      <c r="E62" s="208"/>
      <c r="F62" s="204"/>
      <c r="G62" s="195">
        <v>2</v>
      </c>
      <c r="H62" s="199">
        <f t="shared" ref="H62:H68" si="4">150000/8</f>
        <v>18750</v>
      </c>
      <c r="I62" s="176">
        <f t="shared" ref="I62:I68" si="5">(166670+16667)/8</f>
        <v>22917.125</v>
      </c>
      <c r="J62" s="176">
        <v>0</v>
      </c>
      <c r="K62" s="176">
        <v>0</v>
      </c>
      <c r="L62" s="176">
        <v>0</v>
      </c>
      <c r="M62" s="176">
        <v>0</v>
      </c>
      <c r="N62" s="176">
        <v>0</v>
      </c>
      <c r="O62" s="176">
        <v>0</v>
      </c>
      <c r="P62" s="176">
        <v>0</v>
      </c>
      <c r="Q62" s="176">
        <v>0</v>
      </c>
      <c r="R62" s="176">
        <v>0</v>
      </c>
      <c r="S62" s="176">
        <v>0</v>
      </c>
      <c r="T62" s="176">
        <f t="shared" ref="T62:T68" si="6">SUM(H62:S62)</f>
        <v>41667.125</v>
      </c>
      <c r="V62" s="178">
        <f>E62/12</f>
        <v>0</v>
      </c>
    </row>
    <row r="63" spans="1:22" x14ac:dyDescent="0.3">
      <c r="A63" s="232"/>
      <c r="B63" s="228"/>
      <c r="C63" s="208"/>
      <c r="D63" s="212">
        <f>SUM(D61:D62)</f>
        <v>150003</v>
      </c>
      <c r="E63" s="208"/>
      <c r="F63" s="204"/>
      <c r="G63" s="195">
        <v>3</v>
      </c>
      <c r="H63" s="199">
        <f t="shared" si="4"/>
        <v>18750</v>
      </c>
      <c r="I63" s="176">
        <f t="shared" si="5"/>
        <v>22917.125</v>
      </c>
      <c r="J63" s="176">
        <v>0</v>
      </c>
      <c r="K63" s="176">
        <v>0</v>
      </c>
      <c r="L63" s="176">
        <v>0</v>
      </c>
      <c r="M63" s="176">
        <v>0</v>
      </c>
      <c r="N63" s="176">
        <v>0</v>
      </c>
      <c r="O63" s="176">
        <v>0</v>
      </c>
      <c r="P63" s="176">
        <v>0</v>
      </c>
      <c r="Q63" s="176">
        <v>0</v>
      </c>
      <c r="R63" s="176">
        <v>0</v>
      </c>
      <c r="S63" s="176">
        <v>0</v>
      </c>
      <c r="T63" s="176">
        <f t="shared" si="6"/>
        <v>41667.125</v>
      </c>
      <c r="V63" s="178">
        <f>E63/12</f>
        <v>0</v>
      </c>
    </row>
    <row r="64" spans="1:22" x14ac:dyDescent="0.3">
      <c r="A64" s="232"/>
      <c r="B64" s="228"/>
      <c r="C64" s="208"/>
      <c r="D64" s="212"/>
      <c r="E64" s="208"/>
      <c r="F64" s="204"/>
      <c r="G64" s="195">
        <v>4</v>
      </c>
      <c r="H64" s="199">
        <f t="shared" si="4"/>
        <v>18750</v>
      </c>
      <c r="I64" s="176">
        <f t="shared" si="5"/>
        <v>22917.125</v>
      </c>
      <c r="J64" s="176">
        <v>0</v>
      </c>
      <c r="K64" s="176">
        <v>0</v>
      </c>
      <c r="L64" s="176">
        <v>0</v>
      </c>
      <c r="M64" s="176">
        <v>0</v>
      </c>
      <c r="N64" s="176">
        <v>0</v>
      </c>
      <c r="O64" s="176">
        <v>0</v>
      </c>
      <c r="P64" s="176">
        <v>0</v>
      </c>
      <c r="Q64" s="176">
        <v>0</v>
      </c>
      <c r="R64" s="176">
        <v>0</v>
      </c>
      <c r="S64" s="176">
        <v>0</v>
      </c>
      <c r="T64" s="176">
        <f t="shared" si="6"/>
        <v>41667.125</v>
      </c>
    </row>
    <row r="65" spans="1:22" x14ac:dyDescent="0.3">
      <c r="A65" s="232"/>
      <c r="B65" s="228"/>
      <c r="C65" s="208"/>
      <c r="D65" s="212"/>
      <c r="E65" s="208"/>
      <c r="F65" s="204"/>
      <c r="G65" s="195">
        <v>5</v>
      </c>
      <c r="H65" s="199">
        <f t="shared" si="4"/>
        <v>18750</v>
      </c>
      <c r="I65" s="176">
        <f t="shared" si="5"/>
        <v>22917.125</v>
      </c>
      <c r="J65" s="176">
        <v>0</v>
      </c>
      <c r="K65" s="176">
        <v>0</v>
      </c>
      <c r="L65" s="176">
        <v>0</v>
      </c>
      <c r="M65" s="176">
        <v>0</v>
      </c>
      <c r="N65" s="176">
        <v>0</v>
      </c>
      <c r="O65" s="176">
        <v>0</v>
      </c>
      <c r="P65" s="176">
        <v>0</v>
      </c>
      <c r="Q65" s="176">
        <v>0</v>
      </c>
      <c r="R65" s="176">
        <v>0</v>
      </c>
      <c r="S65" s="176">
        <v>0</v>
      </c>
      <c r="T65" s="176">
        <f t="shared" si="6"/>
        <v>41667.125</v>
      </c>
    </row>
    <row r="66" spans="1:22" x14ac:dyDescent="0.3">
      <c r="A66" s="232"/>
      <c r="B66" s="228"/>
      <c r="C66" s="208"/>
      <c r="D66" s="212"/>
      <c r="E66" s="208"/>
      <c r="F66" s="204"/>
      <c r="G66" s="195">
        <v>6</v>
      </c>
      <c r="H66" s="199">
        <f t="shared" si="4"/>
        <v>18750</v>
      </c>
      <c r="I66" s="176">
        <f t="shared" si="5"/>
        <v>22917.125</v>
      </c>
      <c r="J66" s="176">
        <v>0</v>
      </c>
      <c r="K66" s="176">
        <v>0</v>
      </c>
      <c r="L66" s="176">
        <v>0</v>
      </c>
      <c r="M66" s="176">
        <v>0</v>
      </c>
      <c r="N66" s="176">
        <v>0</v>
      </c>
      <c r="O66" s="176">
        <v>0</v>
      </c>
      <c r="P66" s="176">
        <v>0</v>
      </c>
      <c r="Q66" s="176">
        <v>0</v>
      </c>
      <c r="R66" s="176">
        <v>0</v>
      </c>
      <c r="S66" s="176">
        <v>0</v>
      </c>
      <c r="T66" s="176">
        <f t="shared" si="6"/>
        <v>41667.125</v>
      </c>
    </row>
    <row r="67" spans="1:22" x14ac:dyDescent="0.3">
      <c r="A67" s="232"/>
      <c r="B67" s="228"/>
      <c r="C67" s="208"/>
      <c r="D67" s="212"/>
      <c r="E67" s="208"/>
      <c r="F67" s="204"/>
      <c r="G67" s="195">
        <v>7</v>
      </c>
      <c r="H67" s="199">
        <f t="shared" si="4"/>
        <v>18750</v>
      </c>
      <c r="I67" s="176">
        <f t="shared" si="5"/>
        <v>22917.125</v>
      </c>
      <c r="J67" s="176">
        <v>0</v>
      </c>
      <c r="K67" s="176">
        <v>0</v>
      </c>
      <c r="L67" s="176">
        <v>0</v>
      </c>
      <c r="M67" s="176">
        <v>0</v>
      </c>
      <c r="N67" s="176">
        <v>0</v>
      </c>
      <c r="O67" s="176">
        <v>0</v>
      </c>
      <c r="P67" s="176">
        <v>0</v>
      </c>
      <c r="Q67" s="176">
        <v>0</v>
      </c>
      <c r="R67" s="176">
        <v>0</v>
      </c>
      <c r="S67" s="176">
        <v>0</v>
      </c>
      <c r="T67" s="176">
        <f t="shared" si="6"/>
        <v>41667.125</v>
      </c>
    </row>
    <row r="68" spans="1:22" x14ac:dyDescent="0.3">
      <c r="A68" s="232"/>
      <c r="B68" s="228"/>
      <c r="C68" s="208"/>
      <c r="D68" s="212"/>
      <c r="E68" s="208"/>
      <c r="F68" s="204"/>
      <c r="G68" s="195">
        <v>8</v>
      </c>
      <c r="H68" s="199">
        <f t="shared" si="4"/>
        <v>18750</v>
      </c>
      <c r="I68" s="176">
        <f t="shared" si="5"/>
        <v>22917.125</v>
      </c>
      <c r="J68" s="176">
        <v>0</v>
      </c>
      <c r="K68" s="176">
        <v>0</v>
      </c>
      <c r="L68" s="176">
        <v>0</v>
      </c>
      <c r="M68" s="176">
        <v>0</v>
      </c>
      <c r="N68" s="176">
        <v>0</v>
      </c>
      <c r="O68" s="176">
        <v>0</v>
      </c>
      <c r="P68" s="176">
        <v>0</v>
      </c>
      <c r="Q68" s="176">
        <v>0</v>
      </c>
      <c r="R68" s="176">
        <v>0</v>
      </c>
      <c r="S68" s="176">
        <v>0</v>
      </c>
      <c r="T68" s="176">
        <f t="shared" si="6"/>
        <v>41667.125</v>
      </c>
    </row>
    <row r="69" spans="1:22" x14ac:dyDescent="0.3">
      <c r="A69" s="234"/>
      <c r="B69" s="228"/>
      <c r="C69" s="208"/>
      <c r="D69" s="212"/>
      <c r="E69" s="208"/>
      <c r="F69" s="204"/>
      <c r="G69" s="195"/>
      <c r="H69" s="199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</row>
    <row r="70" spans="1:22" x14ac:dyDescent="0.3">
      <c r="A70" s="233" t="s">
        <v>413</v>
      </c>
      <c r="B70" s="227" t="s">
        <v>414</v>
      </c>
      <c r="C70" s="208"/>
      <c r="D70" s="212">
        <v>44000</v>
      </c>
      <c r="E70" s="208">
        <f>D70*12</f>
        <v>528000</v>
      </c>
      <c r="F70" s="204" t="s">
        <v>208</v>
      </c>
      <c r="G70" s="195" t="s">
        <v>7</v>
      </c>
      <c r="H70" s="199">
        <v>11000</v>
      </c>
      <c r="I70" s="176">
        <v>0</v>
      </c>
      <c r="J70" s="176">
        <v>0</v>
      </c>
      <c r="K70" s="176">
        <v>0</v>
      </c>
      <c r="L70" s="176">
        <v>0</v>
      </c>
      <c r="M70" s="176">
        <v>0</v>
      </c>
      <c r="N70" s="176">
        <v>0</v>
      </c>
      <c r="O70" s="176">
        <v>0</v>
      </c>
      <c r="P70" s="176">
        <v>0</v>
      </c>
      <c r="Q70" s="176">
        <v>0</v>
      </c>
      <c r="R70" s="176">
        <v>0</v>
      </c>
      <c r="S70" s="176">
        <v>0</v>
      </c>
      <c r="T70" s="176">
        <f>SUM(H70:S70)</f>
        <v>11000</v>
      </c>
      <c r="V70" s="178">
        <f>E70/12</f>
        <v>44000</v>
      </c>
    </row>
    <row r="71" spans="1:22" x14ac:dyDescent="0.3">
      <c r="A71" s="232"/>
      <c r="B71" s="228"/>
      <c r="C71" s="208"/>
      <c r="D71" s="212">
        <f>-D70*10%</f>
        <v>-4400</v>
      </c>
      <c r="E71" s="208"/>
      <c r="F71" s="204"/>
      <c r="G71" s="195" t="s">
        <v>8</v>
      </c>
      <c r="H71" s="199">
        <v>11000</v>
      </c>
      <c r="I71" s="176">
        <v>0</v>
      </c>
      <c r="J71" s="176">
        <v>0</v>
      </c>
      <c r="K71" s="176">
        <v>0</v>
      </c>
      <c r="L71" s="176">
        <v>0</v>
      </c>
      <c r="M71" s="176">
        <v>0</v>
      </c>
      <c r="N71" s="176">
        <v>0</v>
      </c>
      <c r="O71" s="176">
        <v>0</v>
      </c>
      <c r="P71" s="176">
        <v>0</v>
      </c>
      <c r="Q71" s="176">
        <v>0</v>
      </c>
      <c r="R71" s="176">
        <v>0</v>
      </c>
      <c r="S71" s="176">
        <v>0</v>
      </c>
      <c r="T71" s="176">
        <f>SUM(H71:S71)</f>
        <v>11000</v>
      </c>
    </row>
    <row r="72" spans="1:22" x14ac:dyDescent="0.3">
      <c r="A72" s="232"/>
      <c r="B72" s="228"/>
      <c r="C72" s="208"/>
      <c r="D72" s="212">
        <f>SUM(D70:D71)</f>
        <v>39600</v>
      </c>
      <c r="E72" s="208"/>
      <c r="F72" s="204"/>
      <c r="G72" s="195" t="s">
        <v>4</v>
      </c>
      <c r="H72" s="199">
        <v>11000</v>
      </c>
      <c r="I72" s="176">
        <v>0</v>
      </c>
      <c r="J72" s="176">
        <v>0</v>
      </c>
      <c r="K72" s="176">
        <v>0</v>
      </c>
      <c r="L72" s="176">
        <v>0</v>
      </c>
      <c r="M72" s="176">
        <v>0</v>
      </c>
      <c r="N72" s="176">
        <v>0</v>
      </c>
      <c r="O72" s="176">
        <v>0</v>
      </c>
      <c r="P72" s="176">
        <v>0</v>
      </c>
      <c r="Q72" s="176">
        <v>0</v>
      </c>
      <c r="R72" s="176">
        <v>0</v>
      </c>
      <c r="S72" s="176">
        <v>0</v>
      </c>
      <c r="T72" s="176">
        <f>SUM(H72:S72)</f>
        <v>11000</v>
      </c>
    </row>
    <row r="73" spans="1:22" x14ac:dyDescent="0.3">
      <c r="A73" s="232"/>
      <c r="B73" s="228"/>
      <c r="C73" s="208"/>
      <c r="D73" s="212"/>
      <c r="E73" s="208"/>
      <c r="F73" s="204"/>
      <c r="G73" s="195" t="s">
        <v>5</v>
      </c>
      <c r="H73" s="199">
        <v>11000</v>
      </c>
      <c r="I73" s="176">
        <v>0</v>
      </c>
      <c r="J73" s="176">
        <v>0</v>
      </c>
      <c r="K73" s="176">
        <v>0</v>
      </c>
      <c r="L73" s="176">
        <v>0</v>
      </c>
      <c r="M73" s="176">
        <v>0</v>
      </c>
      <c r="N73" s="176">
        <v>0</v>
      </c>
      <c r="O73" s="176">
        <v>0</v>
      </c>
      <c r="P73" s="176">
        <v>0</v>
      </c>
      <c r="Q73" s="176">
        <v>0</v>
      </c>
      <c r="R73" s="176">
        <v>0</v>
      </c>
      <c r="S73" s="176">
        <v>0</v>
      </c>
      <c r="T73" s="176">
        <f>SUM(H73:S73)</f>
        <v>11000</v>
      </c>
    </row>
    <row r="74" spans="1:22" x14ac:dyDescent="0.3">
      <c r="A74" s="232"/>
      <c r="B74" s="228"/>
      <c r="C74" s="208"/>
      <c r="D74" s="212"/>
      <c r="E74" s="208"/>
      <c r="F74" s="204"/>
      <c r="G74" s="195"/>
      <c r="H74" s="199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</row>
    <row r="75" spans="1:22" x14ac:dyDescent="0.3">
      <c r="A75" s="233" t="s">
        <v>415</v>
      </c>
      <c r="B75" s="227" t="s">
        <v>416</v>
      </c>
      <c r="C75" s="208"/>
      <c r="D75" s="212">
        <v>16500</v>
      </c>
      <c r="E75" s="208">
        <f>D75*12</f>
        <v>198000</v>
      </c>
      <c r="F75" s="204" t="s">
        <v>208</v>
      </c>
      <c r="G75" s="195" t="s">
        <v>7</v>
      </c>
      <c r="H75" s="199">
        <f>16500/4</f>
        <v>4125</v>
      </c>
      <c r="I75" s="176">
        <v>0</v>
      </c>
      <c r="J75" s="176">
        <v>0</v>
      </c>
      <c r="K75" s="176">
        <v>0</v>
      </c>
      <c r="L75" s="176">
        <v>0</v>
      </c>
      <c r="M75" s="176">
        <v>0</v>
      </c>
      <c r="N75" s="176">
        <v>0</v>
      </c>
      <c r="O75" s="176">
        <v>0</v>
      </c>
      <c r="P75" s="176">
        <v>0</v>
      </c>
      <c r="Q75" s="176">
        <v>0</v>
      </c>
      <c r="R75" s="176">
        <v>0</v>
      </c>
      <c r="S75" s="176">
        <v>0</v>
      </c>
      <c r="T75" s="176">
        <f>SUM(H75:S75)</f>
        <v>4125</v>
      </c>
      <c r="V75" s="178">
        <f>E75/12</f>
        <v>16500</v>
      </c>
    </row>
    <row r="76" spans="1:22" x14ac:dyDescent="0.3">
      <c r="A76" s="232"/>
      <c r="B76" s="228"/>
      <c r="C76" s="208"/>
      <c r="D76" s="212"/>
      <c r="E76" s="208"/>
      <c r="F76" s="204"/>
      <c r="G76" s="195" t="s">
        <v>5</v>
      </c>
      <c r="H76" s="199">
        <f>16500/4</f>
        <v>4125</v>
      </c>
      <c r="I76" s="176">
        <v>0</v>
      </c>
      <c r="J76" s="176">
        <v>0</v>
      </c>
      <c r="K76" s="176">
        <v>0</v>
      </c>
      <c r="L76" s="176">
        <v>0</v>
      </c>
      <c r="M76" s="176">
        <v>0</v>
      </c>
      <c r="N76" s="176">
        <v>0</v>
      </c>
      <c r="O76" s="176">
        <v>0</v>
      </c>
      <c r="P76" s="176">
        <v>0</v>
      </c>
      <c r="Q76" s="176">
        <v>0</v>
      </c>
      <c r="R76" s="176">
        <v>0</v>
      </c>
      <c r="S76" s="176">
        <v>0</v>
      </c>
      <c r="T76" s="176">
        <f>SUM(H76:S76)</f>
        <v>4125</v>
      </c>
    </row>
    <row r="77" spans="1:22" x14ac:dyDescent="0.3">
      <c r="A77" s="232"/>
      <c r="B77" s="228"/>
      <c r="C77" s="208"/>
      <c r="D77" s="212"/>
      <c r="E77" s="208"/>
      <c r="F77" s="204"/>
      <c r="G77" s="195" t="s">
        <v>4</v>
      </c>
      <c r="H77" s="199">
        <f>16500/4</f>
        <v>4125</v>
      </c>
      <c r="I77" s="176">
        <v>0</v>
      </c>
      <c r="J77" s="176">
        <v>0</v>
      </c>
      <c r="K77" s="176">
        <v>0</v>
      </c>
      <c r="L77" s="176">
        <v>0</v>
      </c>
      <c r="M77" s="176">
        <v>0</v>
      </c>
      <c r="N77" s="176">
        <v>0</v>
      </c>
      <c r="O77" s="176">
        <v>0</v>
      </c>
      <c r="P77" s="176">
        <v>0</v>
      </c>
      <c r="Q77" s="176">
        <v>0</v>
      </c>
      <c r="R77" s="176">
        <v>0</v>
      </c>
      <c r="S77" s="176">
        <v>0</v>
      </c>
      <c r="T77" s="176">
        <f>SUM(H77:S77)</f>
        <v>4125</v>
      </c>
    </row>
    <row r="78" spans="1:22" x14ac:dyDescent="0.3">
      <c r="A78" s="232"/>
      <c r="B78" s="228"/>
      <c r="C78" s="208"/>
      <c r="D78" s="212"/>
      <c r="E78" s="208"/>
      <c r="F78" s="204"/>
      <c r="G78" s="195" t="s">
        <v>8</v>
      </c>
      <c r="H78" s="199">
        <f>16500/4</f>
        <v>4125</v>
      </c>
      <c r="I78" s="176">
        <v>0</v>
      </c>
      <c r="J78" s="176">
        <v>0</v>
      </c>
      <c r="K78" s="176">
        <v>0</v>
      </c>
      <c r="L78" s="176">
        <v>0</v>
      </c>
      <c r="M78" s="176">
        <v>0</v>
      </c>
      <c r="N78" s="176">
        <v>0</v>
      </c>
      <c r="O78" s="176">
        <v>0</v>
      </c>
      <c r="P78" s="176">
        <v>0</v>
      </c>
      <c r="Q78" s="176">
        <v>0</v>
      </c>
      <c r="R78" s="176">
        <v>0</v>
      </c>
      <c r="S78" s="176">
        <v>0</v>
      </c>
      <c r="T78" s="176">
        <f>SUM(H78:S78)</f>
        <v>4125</v>
      </c>
    </row>
    <row r="79" spans="1:22" x14ac:dyDescent="0.3">
      <c r="A79" s="232"/>
      <c r="B79" s="228"/>
      <c r="C79" s="208"/>
      <c r="D79" s="212"/>
      <c r="E79" s="208"/>
      <c r="F79" s="204"/>
      <c r="G79" s="195"/>
      <c r="H79" s="199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</row>
    <row r="80" spans="1:22" x14ac:dyDescent="0.3">
      <c r="A80" s="233" t="s">
        <v>417</v>
      </c>
      <c r="B80" s="227" t="s">
        <v>418</v>
      </c>
      <c r="C80" s="208"/>
      <c r="D80" s="212">
        <v>28000</v>
      </c>
      <c r="E80" s="208">
        <f>D80*12</f>
        <v>336000</v>
      </c>
      <c r="F80" s="204" t="s">
        <v>208</v>
      </c>
      <c r="G80" s="195" t="s">
        <v>7</v>
      </c>
      <c r="H80" s="199">
        <f>28000/4</f>
        <v>7000</v>
      </c>
      <c r="I80" s="176">
        <v>0</v>
      </c>
      <c r="J80" s="176">
        <v>0</v>
      </c>
      <c r="K80" s="176">
        <v>0</v>
      </c>
      <c r="L80" s="176">
        <v>0</v>
      </c>
      <c r="M80" s="176">
        <v>0</v>
      </c>
      <c r="N80" s="176">
        <v>0</v>
      </c>
      <c r="O80" s="176">
        <v>0</v>
      </c>
      <c r="P80" s="176">
        <v>0</v>
      </c>
      <c r="Q80" s="176">
        <v>0</v>
      </c>
      <c r="R80" s="176">
        <v>0</v>
      </c>
      <c r="S80" s="176">
        <v>0</v>
      </c>
      <c r="T80" s="176">
        <f>SUM(H80:S80)</f>
        <v>7000</v>
      </c>
      <c r="V80" s="178">
        <f>E80/12</f>
        <v>28000</v>
      </c>
    </row>
    <row r="81" spans="1:22" x14ac:dyDescent="0.3">
      <c r="A81" s="232"/>
      <c r="B81" s="228"/>
      <c r="C81" s="208"/>
      <c r="D81" s="212">
        <f>-D80*10%</f>
        <v>-2800</v>
      </c>
      <c r="E81" s="208"/>
      <c r="F81" s="204"/>
      <c r="G81" s="195" t="s">
        <v>5</v>
      </c>
      <c r="H81" s="199">
        <f>28000/4</f>
        <v>7000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176">
        <v>0</v>
      </c>
      <c r="R81" s="176">
        <v>0</v>
      </c>
      <c r="S81" s="176">
        <v>0</v>
      </c>
      <c r="T81" s="176">
        <f>SUM(H81:S81)</f>
        <v>7000</v>
      </c>
    </row>
    <row r="82" spans="1:22" x14ac:dyDescent="0.3">
      <c r="A82" s="232"/>
      <c r="B82" s="228"/>
      <c r="C82" s="208"/>
      <c r="D82" s="212">
        <f>SUM(D80:D81)</f>
        <v>25200</v>
      </c>
      <c r="E82" s="208"/>
      <c r="F82" s="204"/>
      <c r="G82" s="195" t="s">
        <v>4</v>
      </c>
      <c r="H82" s="199">
        <f>28000/4</f>
        <v>7000</v>
      </c>
      <c r="I82" s="176">
        <v>0</v>
      </c>
      <c r="J82" s="176">
        <v>0</v>
      </c>
      <c r="K82" s="176">
        <v>0</v>
      </c>
      <c r="L82" s="176">
        <v>0</v>
      </c>
      <c r="M82" s="176">
        <v>0</v>
      </c>
      <c r="N82" s="176">
        <v>0</v>
      </c>
      <c r="O82" s="176">
        <v>0</v>
      </c>
      <c r="P82" s="176">
        <v>0</v>
      </c>
      <c r="Q82" s="176">
        <v>0</v>
      </c>
      <c r="R82" s="176">
        <v>0</v>
      </c>
      <c r="S82" s="176">
        <v>0</v>
      </c>
      <c r="T82" s="176">
        <f>SUM(H82:S82)</f>
        <v>7000</v>
      </c>
      <c r="V82" s="178">
        <f>E82/12</f>
        <v>0</v>
      </c>
    </row>
    <row r="83" spans="1:22" x14ac:dyDescent="0.3">
      <c r="A83" s="232"/>
      <c r="B83" s="228"/>
      <c r="C83" s="208"/>
      <c r="D83" s="212"/>
      <c r="E83" s="208"/>
      <c r="F83" s="204"/>
      <c r="G83" s="195" t="s">
        <v>8</v>
      </c>
      <c r="H83" s="199">
        <f>28000/4</f>
        <v>7000</v>
      </c>
      <c r="I83" s="176">
        <v>0</v>
      </c>
      <c r="J83" s="176">
        <v>0</v>
      </c>
      <c r="K83" s="176">
        <v>0</v>
      </c>
      <c r="L83" s="176">
        <v>0</v>
      </c>
      <c r="M83" s="176">
        <v>0</v>
      </c>
      <c r="N83" s="176">
        <v>0</v>
      </c>
      <c r="O83" s="176">
        <v>0</v>
      </c>
      <c r="P83" s="176">
        <v>0</v>
      </c>
      <c r="Q83" s="176">
        <v>0</v>
      </c>
      <c r="R83" s="176">
        <v>0</v>
      </c>
      <c r="S83" s="176">
        <v>0</v>
      </c>
      <c r="T83" s="176">
        <f>SUM(H83:S83)</f>
        <v>7000</v>
      </c>
    </row>
    <row r="84" spans="1:22" x14ac:dyDescent="0.3">
      <c r="A84" s="232"/>
      <c r="B84" s="228"/>
      <c r="C84" s="208"/>
      <c r="D84" s="212"/>
      <c r="E84" s="208"/>
      <c r="F84" s="204"/>
      <c r="G84" s="195"/>
      <c r="H84" s="199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</row>
    <row r="85" spans="1:22" x14ac:dyDescent="0.3">
      <c r="A85" s="234"/>
      <c r="B85" s="228"/>
      <c r="C85" s="208"/>
      <c r="D85" s="212"/>
      <c r="E85" s="208"/>
      <c r="F85" s="204"/>
      <c r="G85" s="195"/>
      <c r="H85" s="199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</row>
    <row r="86" spans="1:22" x14ac:dyDescent="0.3">
      <c r="A86" s="233" t="s">
        <v>419</v>
      </c>
      <c r="B86" s="227" t="s">
        <v>420</v>
      </c>
      <c r="C86" s="208"/>
      <c r="D86" s="212">
        <v>25500</v>
      </c>
      <c r="E86" s="208">
        <f>D86*12</f>
        <v>306000</v>
      </c>
      <c r="F86" s="204" t="s">
        <v>208</v>
      </c>
      <c r="G86" s="195" t="s">
        <v>7</v>
      </c>
      <c r="H86" s="199">
        <f>25500/4</f>
        <v>6375</v>
      </c>
      <c r="I86" s="176">
        <v>0</v>
      </c>
      <c r="J86" s="176">
        <v>0</v>
      </c>
      <c r="K86" s="176">
        <v>0</v>
      </c>
      <c r="L86" s="176">
        <v>0</v>
      </c>
      <c r="M86" s="176">
        <v>0</v>
      </c>
      <c r="N86" s="176">
        <v>0</v>
      </c>
      <c r="O86" s="176">
        <v>0</v>
      </c>
      <c r="P86" s="176">
        <v>0</v>
      </c>
      <c r="Q86" s="176">
        <v>0</v>
      </c>
      <c r="R86" s="176">
        <v>0</v>
      </c>
      <c r="S86" s="176">
        <v>0</v>
      </c>
      <c r="T86" s="176">
        <f>SUM(H86:S86)</f>
        <v>6375</v>
      </c>
      <c r="V86" s="178">
        <f>E86/12</f>
        <v>25500</v>
      </c>
    </row>
    <row r="87" spans="1:22" x14ac:dyDescent="0.3">
      <c r="A87" s="232"/>
      <c r="B87" s="228"/>
      <c r="C87" s="208"/>
      <c r="D87" s="212">
        <f>-D86*10%</f>
        <v>-2550</v>
      </c>
      <c r="E87" s="208"/>
      <c r="F87" s="204"/>
      <c r="G87" s="195" t="s">
        <v>5</v>
      </c>
      <c r="H87" s="199">
        <f>25500/4</f>
        <v>6375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f>SUM(H87:S87)</f>
        <v>6375</v>
      </c>
    </row>
    <row r="88" spans="1:22" x14ac:dyDescent="0.3">
      <c r="A88" s="232"/>
      <c r="B88" s="228"/>
      <c r="C88" s="208"/>
      <c r="D88" s="212">
        <f>SUM(D86:D87)</f>
        <v>22950</v>
      </c>
      <c r="E88" s="208"/>
      <c r="F88" s="204"/>
      <c r="G88" s="195" t="s">
        <v>4</v>
      </c>
      <c r="H88" s="199">
        <f>25500/4</f>
        <v>6375</v>
      </c>
      <c r="I88" s="176">
        <v>0</v>
      </c>
      <c r="J88" s="176">
        <v>0</v>
      </c>
      <c r="K88" s="176">
        <v>0</v>
      </c>
      <c r="L88" s="176">
        <v>0</v>
      </c>
      <c r="M88" s="176">
        <v>0</v>
      </c>
      <c r="N88" s="176">
        <v>0</v>
      </c>
      <c r="O88" s="176">
        <v>0</v>
      </c>
      <c r="P88" s="176">
        <v>0</v>
      </c>
      <c r="Q88" s="176">
        <v>0</v>
      </c>
      <c r="R88" s="176">
        <v>0</v>
      </c>
      <c r="S88" s="176">
        <v>0</v>
      </c>
      <c r="T88" s="176">
        <f>SUM(H88:S88)</f>
        <v>6375</v>
      </c>
    </row>
    <row r="89" spans="1:22" x14ac:dyDescent="0.3">
      <c r="A89" s="232"/>
      <c r="B89" s="228"/>
      <c r="C89" s="208"/>
      <c r="D89" s="212"/>
      <c r="E89" s="208"/>
      <c r="F89" s="204"/>
      <c r="G89" s="195" t="s">
        <v>8</v>
      </c>
      <c r="H89" s="199">
        <f>25500/4</f>
        <v>6375</v>
      </c>
      <c r="I89" s="176">
        <v>0</v>
      </c>
      <c r="J89" s="176">
        <v>0</v>
      </c>
      <c r="K89" s="176">
        <v>0</v>
      </c>
      <c r="L89" s="176">
        <v>0</v>
      </c>
      <c r="M89" s="176">
        <v>0</v>
      </c>
      <c r="N89" s="176">
        <v>0</v>
      </c>
      <c r="O89" s="176">
        <v>0</v>
      </c>
      <c r="P89" s="176">
        <v>0</v>
      </c>
      <c r="Q89" s="176">
        <v>0</v>
      </c>
      <c r="R89" s="176">
        <v>0</v>
      </c>
      <c r="S89" s="176">
        <v>0</v>
      </c>
      <c r="T89" s="176">
        <f>SUM(H89:S89)</f>
        <v>6375</v>
      </c>
    </row>
    <row r="90" spans="1:22" x14ac:dyDescent="0.3">
      <c r="A90" s="232"/>
      <c r="B90" s="228"/>
      <c r="C90" s="208"/>
      <c r="D90" s="212"/>
      <c r="E90" s="208"/>
      <c r="F90" s="204"/>
      <c r="G90" s="195"/>
      <c r="H90" s="199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</row>
    <row r="91" spans="1:22" x14ac:dyDescent="0.3">
      <c r="A91" s="233" t="s">
        <v>421</v>
      </c>
      <c r="B91" s="227" t="s">
        <v>422</v>
      </c>
      <c r="C91" s="208"/>
      <c r="D91" s="212">
        <v>36300</v>
      </c>
      <c r="E91" s="208">
        <f>D91*12</f>
        <v>435600</v>
      </c>
      <c r="F91" s="204" t="s">
        <v>208</v>
      </c>
      <c r="G91" s="195" t="s">
        <v>7</v>
      </c>
      <c r="H91" s="199">
        <f>36300/4</f>
        <v>9075</v>
      </c>
      <c r="I91" s="176">
        <v>0</v>
      </c>
      <c r="J91" s="176">
        <v>0</v>
      </c>
      <c r="K91" s="176">
        <v>0</v>
      </c>
      <c r="L91" s="176">
        <v>0</v>
      </c>
      <c r="M91" s="176">
        <v>0</v>
      </c>
      <c r="N91" s="176">
        <v>0</v>
      </c>
      <c r="O91" s="176">
        <v>0</v>
      </c>
      <c r="P91" s="176">
        <v>0</v>
      </c>
      <c r="Q91" s="176">
        <v>0</v>
      </c>
      <c r="R91" s="176">
        <v>0</v>
      </c>
      <c r="S91" s="176">
        <v>0</v>
      </c>
      <c r="T91" s="176">
        <f>SUM(H91:S91)</f>
        <v>9075</v>
      </c>
      <c r="V91" s="178">
        <f>E91/12</f>
        <v>36300</v>
      </c>
    </row>
    <row r="92" spans="1:22" x14ac:dyDescent="0.3">
      <c r="A92" s="232"/>
      <c r="B92" s="228"/>
      <c r="C92" s="208"/>
      <c r="D92" s="212">
        <f>-D91*10%</f>
        <v>-3630</v>
      </c>
      <c r="E92" s="208"/>
      <c r="F92" s="204"/>
      <c r="G92" s="195" t="s">
        <v>5</v>
      </c>
      <c r="H92" s="199">
        <f>36300/4</f>
        <v>9075</v>
      </c>
      <c r="I92" s="176">
        <v>0</v>
      </c>
      <c r="J92" s="176">
        <v>0</v>
      </c>
      <c r="K92" s="176">
        <v>0</v>
      </c>
      <c r="L92" s="176">
        <v>0</v>
      </c>
      <c r="M92" s="176">
        <v>0</v>
      </c>
      <c r="N92" s="176">
        <v>0</v>
      </c>
      <c r="O92" s="176">
        <v>0</v>
      </c>
      <c r="P92" s="176">
        <v>0</v>
      </c>
      <c r="Q92" s="176">
        <v>0</v>
      </c>
      <c r="R92" s="176">
        <v>0</v>
      </c>
      <c r="S92" s="176">
        <v>0</v>
      </c>
      <c r="T92" s="176">
        <f>SUM(H92:S92)</f>
        <v>9075</v>
      </c>
    </row>
    <row r="93" spans="1:22" x14ac:dyDescent="0.3">
      <c r="A93" s="232"/>
      <c r="B93" s="228"/>
      <c r="C93" s="208"/>
      <c r="D93" s="212">
        <f>SUM(D91:D92)</f>
        <v>32670</v>
      </c>
      <c r="E93" s="208"/>
      <c r="F93" s="204"/>
      <c r="G93" s="195" t="s">
        <v>4</v>
      </c>
      <c r="H93" s="199">
        <f>36300/4</f>
        <v>9075</v>
      </c>
      <c r="I93" s="176">
        <v>0</v>
      </c>
      <c r="J93" s="176">
        <v>0</v>
      </c>
      <c r="K93" s="176">
        <v>0</v>
      </c>
      <c r="L93" s="176">
        <v>0</v>
      </c>
      <c r="M93" s="176">
        <v>0</v>
      </c>
      <c r="N93" s="176">
        <v>0</v>
      </c>
      <c r="O93" s="176">
        <v>0</v>
      </c>
      <c r="P93" s="176">
        <v>0</v>
      </c>
      <c r="Q93" s="176">
        <v>0</v>
      </c>
      <c r="R93" s="176">
        <v>0</v>
      </c>
      <c r="S93" s="176">
        <v>0</v>
      </c>
      <c r="T93" s="176">
        <f>SUM(H93:S93)</f>
        <v>9075</v>
      </c>
    </row>
    <row r="94" spans="1:22" x14ac:dyDescent="0.3">
      <c r="A94" s="232"/>
      <c r="B94" s="228"/>
      <c r="C94" s="208"/>
      <c r="D94" s="212"/>
      <c r="E94" s="208"/>
      <c r="F94" s="204" t="s">
        <v>494</v>
      </c>
      <c r="G94" s="195" t="s">
        <v>8</v>
      </c>
      <c r="H94" s="199">
        <f>36300/4</f>
        <v>9075</v>
      </c>
      <c r="I94" s="176">
        <v>0</v>
      </c>
      <c r="J94" s="176">
        <v>0</v>
      </c>
      <c r="K94" s="176">
        <v>0</v>
      </c>
      <c r="L94" s="176">
        <v>0</v>
      </c>
      <c r="M94" s="176">
        <v>0</v>
      </c>
      <c r="N94" s="176">
        <v>0</v>
      </c>
      <c r="O94" s="176">
        <v>0</v>
      </c>
      <c r="P94" s="176">
        <v>0</v>
      </c>
      <c r="Q94" s="176">
        <v>0</v>
      </c>
      <c r="R94" s="176">
        <v>0</v>
      </c>
      <c r="S94" s="176">
        <v>0</v>
      </c>
      <c r="T94" s="176">
        <f>SUM(H94:S94)</f>
        <v>9075</v>
      </c>
    </row>
    <row r="95" spans="1:22" x14ac:dyDescent="0.3">
      <c r="A95" s="232"/>
      <c r="B95" s="228"/>
      <c r="C95" s="208"/>
      <c r="D95" s="212"/>
      <c r="E95" s="208"/>
      <c r="F95" s="204"/>
      <c r="G95" s="195"/>
      <c r="H95" s="199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</row>
    <row r="96" spans="1:22" x14ac:dyDescent="0.3">
      <c r="A96" s="233" t="s">
        <v>423</v>
      </c>
      <c r="B96" s="227" t="s">
        <v>424</v>
      </c>
      <c r="C96" s="208">
        <f>17000*3+12000*3+17000</f>
        <v>104000</v>
      </c>
      <c r="D96" s="212"/>
      <c r="E96" s="208"/>
      <c r="F96" s="204" t="s">
        <v>396</v>
      </c>
      <c r="G96" s="195" t="s">
        <v>54</v>
      </c>
      <c r="H96" s="199">
        <f>35000+19833</f>
        <v>54833</v>
      </c>
      <c r="I96" s="176">
        <f>38500+38500</f>
        <v>77000</v>
      </c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</row>
    <row r="97" spans="1:23" x14ac:dyDescent="0.3">
      <c r="A97" s="232" t="s">
        <v>425</v>
      </c>
      <c r="B97" s="228"/>
      <c r="C97" s="208"/>
      <c r="D97" s="212"/>
      <c r="E97" s="208"/>
      <c r="F97" s="204"/>
      <c r="G97" s="195" t="s">
        <v>52</v>
      </c>
      <c r="H97" s="199">
        <f>35000+19833</f>
        <v>54833</v>
      </c>
      <c r="I97" s="176">
        <f>38500+38500</f>
        <v>77000</v>
      </c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W97" s="178">
        <f>E101/12</f>
        <v>1329814</v>
      </c>
    </row>
    <row r="98" spans="1:23" x14ac:dyDescent="0.3">
      <c r="A98" s="232"/>
      <c r="B98" s="228"/>
      <c r="C98" s="208"/>
      <c r="D98" s="212"/>
      <c r="E98" s="208"/>
      <c r="F98" s="204"/>
      <c r="G98" s="195" t="s">
        <v>53</v>
      </c>
      <c r="H98" s="199">
        <f>35000+19833</f>
        <v>54833</v>
      </c>
      <c r="I98" s="176">
        <v>38500</v>
      </c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</row>
    <row r="99" spans="1:23" x14ac:dyDescent="0.3">
      <c r="A99" s="232"/>
      <c r="B99" s="228"/>
      <c r="C99" s="208"/>
      <c r="D99" s="212"/>
      <c r="E99" s="208"/>
      <c r="F99" s="204"/>
      <c r="G99" s="195" t="s">
        <v>55</v>
      </c>
      <c r="H99" s="199"/>
      <c r="I99" s="176">
        <v>38500</v>
      </c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</row>
    <row r="100" spans="1:23" ht="14" thickBot="1" x14ac:dyDescent="0.35">
      <c r="A100" s="235"/>
      <c r="B100" s="229"/>
      <c r="C100" s="209"/>
      <c r="D100" s="213"/>
      <c r="E100" s="209"/>
      <c r="F100" s="205"/>
      <c r="G100" s="196" t="s">
        <v>49</v>
      </c>
      <c r="H100" s="201"/>
      <c r="I100" s="176">
        <v>38500</v>
      </c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</row>
    <row r="101" spans="1:23" s="219" customFormat="1" ht="14" thickBot="1" x14ac:dyDescent="0.35">
      <c r="A101" s="236" t="s">
        <v>286</v>
      </c>
      <c r="B101" s="230"/>
      <c r="C101" s="214">
        <f>SUM(C2:C100)</f>
        <v>1369000</v>
      </c>
      <c r="D101" s="215">
        <f>SUM(D2:D100)</f>
        <v>2261746.4</v>
      </c>
      <c r="E101" s="215">
        <f>SUM(E2:E100)</f>
        <v>15957768</v>
      </c>
      <c r="F101" s="216"/>
      <c r="G101" s="217"/>
      <c r="H101" s="214">
        <f>SUM(H2:H100)</f>
        <v>1477643</v>
      </c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</row>
    <row r="102" spans="1:23" x14ac:dyDescent="0.3">
      <c r="A102" s="191"/>
      <c r="B102" s="188"/>
      <c r="C102" s="189"/>
      <c r="D102" s="189"/>
      <c r="E102" s="189"/>
      <c r="F102" s="189"/>
      <c r="G102" s="192"/>
      <c r="H102" s="189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</row>
    <row r="103" spans="1:23" hidden="1" x14ac:dyDescent="0.3">
      <c r="A103" s="187" t="s">
        <v>426</v>
      </c>
      <c r="B103" s="188" t="s">
        <v>427</v>
      </c>
      <c r="C103" s="189"/>
      <c r="D103" s="189"/>
      <c r="E103" s="189"/>
      <c r="F103" s="189"/>
      <c r="G103" s="189" t="s">
        <v>428</v>
      </c>
      <c r="H103" s="190">
        <v>0</v>
      </c>
      <c r="I103" s="176">
        <v>0</v>
      </c>
      <c r="J103" s="176">
        <v>0</v>
      </c>
      <c r="K103" s="176">
        <v>0</v>
      </c>
      <c r="L103" s="176">
        <v>0</v>
      </c>
      <c r="M103" s="176">
        <v>0</v>
      </c>
      <c r="N103" s="176">
        <v>0</v>
      </c>
      <c r="O103" s="176">
        <v>0</v>
      </c>
      <c r="P103" s="176">
        <v>0</v>
      </c>
      <c r="Q103" s="176">
        <v>0</v>
      </c>
      <c r="R103" s="176">
        <v>0</v>
      </c>
      <c r="S103" s="176">
        <v>0</v>
      </c>
      <c r="T103" s="176">
        <f t="shared" ref="T103:T108" si="7">SUM(H103:S103)</f>
        <v>0</v>
      </c>
    </row>
    <row r="104" spans="1:23" hidden="1" x14ac:dyDescent="0.3">
      <c r="A104" s="184" t="s">
        <v>429</v>
      </c>
      <c r="B104" s="185" t="s">
        <v>430</v>
      </c>
      <c r="C104" s="181"/>
      <c r="D104" s="181"/>
      <c r="E104" s="181"/>
      <c r="F104" s="181"/>
      <c r="G104" s="182" t="s">
        <v>428</v>
      </c>
      <c r="H104" s="183">
        <v>0</v>
      </c>
      <c r="I104" s="176">
        <v>0</v>
      </c>
      <c r="J104" s="176">
        <v>0</v>
      </c>
      <c r="K104" s="176">
        <v>0</v>
      </c>
      <c r="L104" s="176">
        <v>0</v>
      </c>
      <c r="M104" s="176">
        <v>0</v>
      </c>
      <c r="N104" s="176">
        <v>0</v>
      </c>
      <c r="O104" s="176">
        <v>0</v>
      </c>
      <c r="P104" s="176">
        <v>0</v>
      </c>
      <c r="Q104" s="176">
        <v>0</v>
      </c>
      <c r="R104" s="176">
        <v>0</v>
      </c>
      <c r="S104" s="176">
        <v>0</v>
      </c>
      <c r="T104" s="176">
        <f t="shared" si="7"/>
        <v>0</v>
      </c>
    </row>
    <row r="105" spans="1:23" hidden="1" x14ac:dyDescent="0.3">
      <c r="A105" s="184" t="s">
        <v>431</v>
      </c>
      <c r="B105" s="185" t="s">
        <v>432</v>
      </c>
      <c r="C105" s="181"/>
      <c r="D105" s="181"/>
      <c r="E105" s="181"/>
      <c r="F105" s="181"/>
      <c r="G105" s="182" t="s">
        <v>433</v>
      </c>
      <c r="H105" s="183">
        <v>0</v>
      </c>
      <c r="I105" s="176">
        <v>0</v>
      </c>
      <c r="J105" s="176">
        <v>0</v>
      </c>
      <c r="K105" s="176">
        <v>0</v>
      </c>
      <c r="L105" s="176">
        <v>0</v>
      </c>
      <c r="M105" s="176">
        <v>0</v>
      </c>
      <c r="N105" s="176">
        <v>0</v>
      </c>
      <c r="O105" s="176">
        <v>0</v>
      </c>
      <c r="P105" s="176">
        <v>0</v>
      </c>
      <c r="Q105" s="176">
        <v>0</v>
      </c>
      <c r="R105" s="176">
        <v>0</v>
      </c>
      <c r="S105" s="176">
        <v>0</v>
      </c>
      <c r="T105" s="176">
        <f t="shared" si="7"/>
        <v>0</v>
      </c>
    </row>
    <row r="106" spans="1:23" hidden="1" x14ac:dyDescent="0.3">
      <c r="A106" s="184" t="s">
        <v>434</v>
      </c>
      <c r="B106" s="185" t="s">
        <v>435</v>
      </c>
      <c r="C106" s="181"/>
      <c r="D106" s="181"/>
      <c r="E106" s="181"/>
      <c r="F106" s="181"/>
      <c r="G106" s="182" t="s">
        <v>433</v>
      </c>
      <c r="H106" s="183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  <c r="R106" s="176">
        <v>0</v>
      </c>
      <c r="S106" s="176">
        <v>0</v>
      </c>
      <c r="T106" s="176">
        <f t="shared" si="7"/>
        <v>0</v>
      </c>
    </row>
    <row r="107" spans="1:23" hidden="1" x14ac:dyDescent="0.3">
      <c r="A107" s="184" t="s">
        <v>436</v>
      </c>
      <c r="B107" s="185" t="s">
        <v>437</v>
      </c>
      <c r="C107" s="181"/>
      <c r="D107" s="181"/>
      <c r="E107" s="181"/>
      <c r="F107" s="181"/>
      <c r="G107" s="182" t="s">
        <v>438</v>
      </c>
      <c r="H107" s="183">
        <v>0</v>
      </c>
      <c r="I107" s="176">
        <v>0</v>
      </c>
      <c r="J107" s="176">
        <v>0</v>
      </c>
      <c r="K107" s="176">
        <v>0</v>
      </c>
      <c r="L107" s="176">
        <v>0</v>
      </c>
      <c r="M107" s="176">
        <v>0</v>
      </c>
      <c r="N107" s="176">
        <v>0</v>
      </c>
      <c r="O107" s="176">
        <v>0</v>
      </c>
      <c r="P107" s="176">
        <v>0</v>
      </c>
      <c r="Q107" s="176">
        <v>0</v>
      </c>
      <c r="R107" s="176">
        <v>0</v>
      </c>
      <c r="S107" s="176">
        <v>0</v>
      </c>
      <c r="T107" s="176">
        <f t="shared" si="7"/>
        <v>0</v>
      </c>
    </row>
    <row r="108" spans="1:23" hidden="1" x14ac:dyDescent="0.3">
      <c r="A108" s="184" t="s">
        <v>439</v>
      </c>
      <c r="B108" s="185" t="s">
        <v>440</v>
      </c>
      <c r="C108" s="186"/>
      <c r="D108" s="186"/>
      <c r="E108" s="186"/>
      <c r="F108" s="186"/>
      <c r="G108" s="185" t="s">
        <v>441</v>
      </c>
      <c r="H108" s="183">
        <v>0</v>
      </c>
      <c r="I108" s="176">
        <v>0</v>
      </c>
      <c r="J108" s="176">
        <v>0</v>
      </c>
      <c r="K108" s="176">
        <v>0</v>
      </c>
      <c r="L108" s="176">
        <v>0</v>
      </c>
      <c r="M108" s="176">
        <v>0</v>
      </c>
      <c r="N108" s="176">
        <v>0</v>
      </c>
      <c r="O108" s="176">
        <v>0</v>
      </c>
      <c r="P108" s="176">
        <v>0</v>
      </c>
      <c r="Q108" s="176">
        <v>0</v>
      </c>
      <c r="R108" s="176">
        <v>0</v>
      </c>
      <c r="S108" s="176">
        <v>0</v>
      </c>
      <c r="T108" s="176">
        <f t="shared" si="7"/>
        <v>0</v>
      </c>
    </row>
    <row r="109" spans="1:23" hidden="1" x14ac:dyDescent="0.3"/>
    <row r="111" spans="1:23" x14ac:dyDescent="0.3">
      <c r="G111" s="177" t="s">
        <v>352</v>
      </c>
      <c r="H111" s="180">
        <f>H101*10%</f>
        <v>147764.30000000002</v>
      </c>
    </row>
    <row r="112" spans="1:23" x14ac:dyDescent="0.3">
      <c r="G112" s="177" t="s">
        <v>559</v>
      </c>
      <c r="H112" s="180">
        <f>H101-H111</f>
        <v>1329878.7</v>
      </c>
    </row>
    <row r="114" spans="7:8" x14ac:dyDescent="0.3">
      <c r="G114" s="177" t="s">
        <v>499</v>
      </c>
      <c r="H114" s="180">
        <v>1318377.5</v>
      </c>
    </row>
    <row r="116" spans="7:8" x14ac:dyDescent="0.3">
      <c r="G116" s="177" t="s">
        <v>558</v>
      </c>
      <c r="H116" s="180">
        <f>H112-H114</f>
        <v>11501.199999999953</v>
      </c>
    </row>
  </sheetData>
  <printOptions gridLines="1"/>
  <pageMargins left="0.19685039370078741" right="0.19685039370078741" top="0.19685039370078741" bottom="0.19685039370078741" header="0" footer="0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6"/>
  <sheetViews>
    <sheetView topLeftCell="A4" workbookViewId="0">
      <selection activeCell="H10" sqref="H10"/>
    </sheetView>
  </sheetViews>
  <sheetFormatPr defaultRowHeight="14.5" x14ac:dyDescent="0.35"/>
  <cols>
    <col min="1" max="1" width="4.36328125" customWidth="1"/>
    <col min="2" max="2" width="28.1796875" customWidth="1"/>
    <col min="3" max="3" width="14.90625" customWidth="1"/>
  </cols>
  <sheetData>
    <row r="1" spans="2:3" ht="15" thickBot="1" x14ac:dyDescent="0.4"/>
    <row r="2" spans="2:3" x14ac:dyDescent="0.35">
      <c r="B2" s="771" t="s">
        <v>237</v>
      </c>
      <c r="C2" s="771" t="s">
        <v>305</v>
      </c>
    </row>
    <row r="3" spans="2:3" ht="15" thickBot="1" x14ac:dyDescent="0.4">
      <c r="B3" s="772"/>
      <c r="C3" s="772"/>
    </row>
    <row r="4" spans="2:3" x14ac:dyDescent="0.35">
      <c r="B4" s="16" t="s">
        <v>238</v>
      </c>
      <c r="C4" s="72"/>
    </row>
    <row r="5" spans="2:3" x14ac:dyDescent="0.35">
      <c r="B5" s="41" t="s">
        <v>66</v>
      </c>
      <c r="C5" s="68"/>
    </row>
    <row r="6" spans="2:3" x14ac:dyDescent="0.35">
      <c r="B6" s="41" t="s">
        <v>252</v>
      </c>
      <c r="C6" s="68"/>
    </row>
    <row r="7" spans="2:3" x14ac:dyDescent="0.35">
      <c r="B7" s="41" t="s">
        <v>70</v>
      </c>
      <c r="C7" s="68"/>
    </row>
    <row r="8" spans="2:3" x14ac:dyDescent="0.35">
      <c r="B8" s="41" t="s">
        <v>253</v>
      </c>
      <c r="C8" s="68"/>
    </row>
    <row r="9" spans="2:3" x14ac:dyDescent="0.35">
      <c r="B9" s="18" t="s">
        <v>239</v>
      </c>
      <c r="C9" s="68"/>
    </row>
    <row r="10" spans="2:3" x14ac:dyDescent="0.35">
      <c r="B10" s="41" t="s">
        <v>254</v>
      </c>
      <c r="C10" s="68"/>
    </row>
    <row r="11" spans="2:3" x14ac:dyDescent="0.35">
      <c r="B11" s="41" t="s">
        <v>255</v>
      </c>
      <c r="C11" s="68"/>
    </row>
    <row r="12" spans="2:3" x14ac:dyDescent="0.35">
      <c r="B12" s="41" t="s">
        <v>256</v>
      </c>
      <c r="C12" s="68"/>
    </row>
    <row r="13" spans="2:3" x14ac:dyDescent="0.35">
      <c r="B13" s="41" t="s">
        <v>257</v>
      </c>
      <c r="C13" s="68"/>
    </row>
    <row r="14" spans="2:3" x14ac:dyDescent="0.35">
      <c r="B14" s="18" t="s">
        <v>240</v>
      </c>
      <c r="C14" s="68"/>
    </row>
    <row r="15" spans="2:3" x14ac:dyDescent="0.35">
      <c r="B15" s="45" t="s">
        <v>258</v>
      </c>
      <c r="C15" s="68"/>
    </row>
    <row r="16" spans="2:3" x14ac:dyDescent="0.35">
      <c r="B16" s="18" t="s">
        <v>259</v>
      </c>
      <c r="C16" s="68"/>
    </row>
    <row r="17" spans="2:3" x14ac:dyDescent="0.35">
      <c r="B17" s="17" t="s">
        <v>268</v>
      </c>
      <c r="C17" s="68"/>
    </row>
    <row r="18" spans="2:3" x14ac:dyDescent="0.35">
      <c r="B18" s="17" t="s">
        <v>269</v>
      </c>
      <c r="C18" s="68"/>
    </row>
    <row r="19" spans="2:3" x14ac:dyDescent="0.35">
      <c r="B19" s="86" t="s">
        <v>287</v>
      </c>
      <c r="C19" s="68"/>
    </row>
    <row r="20" spans="2:3" x14ac:dyDescent="0.35">
      <c r="B20" s="86" t="s">
        <v>288</v>
      </c>
      <c r="C20" s="68"/>
    </row>
    <row r="21" spans="2:3" x14ac:dyDescent="0.35">
      <c r="B21" s="18" t="s">
        <v>260</v>
      </c>
      <c r="C21" s="68"/>
    </row>
    <row r="22" spans="2:3" x14ac:dyDescent="0.35">
      <c r="B22" s="17" t="s">
        <v>289</v>
      </c>
      <c r="C22" s="68"/>
    </row>
    <row r="23" spans="2:3" x14ac:dyDescent="0.35">
      <c r="B23" s="17" t="s">
        <v>290</v>
      </c>
      <c r="C23" s="68"/>
    </row>
    <row r="24" spans="2:3" x14ac:dyDescent="0.35">
      <c r="B24" s="17" t="s">
        <v>291</v>
      </c>
      <c r="C24" s="68"/>
    </row>
    <row r="25" spans="2:3" ht="29" x14ac:dyDescent="0.35">
      <c r="B25" s="18" t="s">
        <v>261</v>
      </c>
      <c r="C25" s="68"/>
    </row>
    <row r="26" spans="2:3" x14ac:dyDescent="0.35">
      <c r="B26" s="17" t="s">
        <v>292</v>
      </c>
      <c r="C26" s="68"/>
    </row>
    <row r="27" spans="2:3" x14ac:dyDescent="0.35">
      <c r="B27" s="17" t="s">
        <v>293</v>
      </c>
      <c r="C27" s="68"/>
    </row>
    <row r="28" spans="2:3" x14ac:dyDescent="0.35">
      <c r="B28" s="17" t="s">
        <v>294</v>
      </c>
      <c r="C28" s="68"/>
    </row>
    <row r="29" spans="2:3" x14ac:dyDescent="0.35">
      <c r="B29" s="17" t="s">
        <v>298</v>
      </c>
      <c r="C29" s="68"/>
    </row>
    <row r="30" spans="2:3" x14ac:dyDescent="0.35">
      <c r="B30" s="17" t="s">
        <v>299</v>
      </c>
      <c r="C30" s="68"/>
    </row>
    <row r="31" spans="2:3" x14ac:dyDescent="0.35">
      <c r="B31" s="18" t="s">
        <v>262</v>
      </c>
      <c r="C31" s="68"/>
    </row>
    <row r="32" spans="2:3" x14ac:dyDescent="0.35">
      <c r="B32" s="17" t="s">
        <v>297</v>
      </c>
      <c r="C32" s="68"/>
    </row>
    <row r="33" spans="2:3" x14ac:dyDescent="0.35">
      <c r="B33" s="17" t="s">
        <v>296</v>
      </c>
      <c r="C33" s="68"/>
    </row>
    <row r="34" spans="2:3" x14ac:dyDescent="0.35">
      <c r="B34" s="17" t="s">
        <v>295</v>
      </c>
      <c r="C34" s="68"/>
    </row>
    <row r="35" spans="2:3" ht="29" x14ac:dyDescent="0.35">
      <c r="B35" s="17" t="s">
        <v>300</v>
      </c>
      <c r="C35" s="68"/>
    </row>
    <row r="36" spans="2:3" x14ac:dyDescent="0.35">
      <c r="B36" s="17" t="s">
        <v>133</v>
      </c>
      <c r="C36" s="68"/>
    </row>
    <row r="37" spans="2:3" ht="29" x14ac:dyDescent="0.35">
      <c r="B37" s="17" t="s">
        <v>301</v>
      </c>
      <c r="C37" s="68"/>
    </row>
    <row r="38" spans="2:3" x14ac:dyDescent="0.35">
      <c r="B38" s="17" t="s">
        <v>302</v>
      </c>
      <c r="C38" s="68"/>
    </row>
    <row r="39" spans="2:3" ht="43.5" x14ac:dyDescent="0.35">
      <c r="B39" s="17" t="s">
        <v>304</v>
      </c>
      <c r="C39" s="68"/>
    </row>
    <row r="40" spans="2:3" x14ac:dyDescent="0.35">
      <c r="B40" s="17" t="s">
        <v>303</v>
      </c>
      <c r="C40" s="68"/>
    </row>
    <row r="41" spans="2:3" x14ac:dyDescent="0.35">
      <c r="B41" s="17"/>
      <c r="C41" s="68"/>
    </row>
    <row r="42" spans="2:3" x14ac:dyDescent="0.35">
      <c r="B42" s="18" t="s">
        <v>241</v>
      </c>
      <c r="C42" s="69"/>
    </row>
    <row r="43" spans="2:3" ht="43.5" x14ac:dyDescent="0.35">
      <c r="B43" s="19" t="s">
        <v>264</v>
      </c>
      <c r="C43" s="68"/>
    </row>
    <row r="44" spans="2:3" x14ac:dyDescent="0.35">
      <c r="B44" s="20" t="s">
        <v>242</v>
      </c>
      <c r="C44" s="68"/>
    </row>
    <row r="45" spans="2:3" x14ac:dyDescent="0.35">
      <c r="B45" s="20" t="s">
        <v>243</v>
      </c>
      <c r="C45" s="68"/>
    </row>
    <row r="46" spans="2:3" ht="44" thickBot="1" x14ac:dyDescent="0.4">
      <c r="B46" s="71" t="s">
        <v>244</v>
      </c>
      <c r="C46" s="70"/>
    </row>
  </sheetData>
  <mergeCells count="2">
    <mergeCell ref="B2:B3"/>
    <mergeCell ref="C2:C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0"/>
  <sheetViews>
    <sheetView workbookViewId="0">
      <pane xSplit="2" ySplit="2" topLeftCell="F3" activePane="bottomRight" state="frozen"/>
      <selection pane="topRight" activeCell="C1" sqref="C1"/>
      <selection pane="bottomLeft" activeCell="A2" sqref="A2"/>
      <selection pane="bottomRight" activeCell="F32" sqref="F32"/>
    </sheetView>
  </sheetViews>
  <sheetFormatPr defaultColWidth="8.90625" defaultRowHeight="13.5" x14ac:dyDescent="0.3"/>
  <cols>
    <col min="1" max="1" width="12.90625" style="220" bestFit="1" customWidth="1"/>
    <col min="2" max="2" width="24.453125" style="220" bestFit="1" customWidth="1"/>
    <col min="3" max="3" width="12.08984375" style="221" bestFit="1" customWidth="1"/>
    <col min="4" max="4" width="10.6328125" style="221" bestFit="1" customWidth="1"/>
    <col min="5" max="5" width="42.36328125" style="221" bestFit="1" customWidth="1"/>
    <col min="6" max="6" width="42.54296875" style="220" bestFit="1" customWidth="1"/>
    <col min="7" max="7" width="14.6328125" style="222" bestFit="1" customWidth="1"/>
    <col min="8" max="8" width="12.6328125" style="222" bestFit="1" customWidth="1"/>
    <col min="9" max="9" width="13.6328125" style="222" bestFit="1" customWidth="1"/>
    <col min="10" max="10" width="14.6328125" style="222" bestFit="1" customWidth="1"/>
    <col min="11" max="11" width="8.90625" style="223"/>
    <col min="12" max="16384" width="8.90625" style="220"/>
  </cols>
  <sheetData>
    <row r="1" spans="1:10" x14ac:dyDescent="0.3">
      <c r="A1" s="220" t="s">
        <v>443</v>
      </c>
      <c r="B1" s="220" t="s">
        <v>444</v>
      </c>
      <c r="G1" s="222">
        <f>SUBTOTAL(9,G3:G20)</f>
        <v>12560600</v>
      </c>
      <c r="H1" s="222">
        <f>SUBTOTAL(9,H3:H20)</f>
        <v>1301298.722882</v>
      </c>
      <c r="I1" s="222">
        <f>SUBTOTAL(9,I3:I20)</f>
        <v>-1215000</v>
      </c>
      <c r="J1" s="222">
        <f>SUBTOTAL(9,J3:J20)</f>
        <v>12646898.722882001</v>
      </c>
    </row>
    <row r="2" spans="1:10" x14ac:dyDescent="0.3">
      <c r="C2" s="224" t="s">
        <v>445</v>
      </c>
      <c r="D2" s="224" t="s">
        <v>315</v>
      </c>
      <c r="E2" s="224" t="s">
        <v>446</v>
      </c>
      <c r="F2" s="224" t="s">
        <v>447</v>
      </c>
      <c r="G2" s="225" t="s">
        <v>448</v>
      </c>
      <c r="H2" s="225" t="s">
        <v>449</v>
      </c>
      <c r="I2" s="225" t="s">
        <v>450</v>
      </c>
      <c r="J2" s="225" t="s">
        <v>451</v>
      </c>
    </row>
    <row r="3" spans="1:10" x14ac:dyDescent="0.3">
      <c r="A3" s="220" t="s">
        <v>452</v>
      </c>
      <c r="B3" s="220" t="s">
        <v>453</v>
      </c>
      <c r="C3" s="221" t="s">
        <v>14</v>
      </c>
      <c r="D3" s="221" t="s">
        <v>454</v>
      </c>
      <c r="E3" s="220" t="s">
        <v>455</v>
      </c>
      <c r="F3" s="220" t="s">
        <v>456</v>
      </c>
      <c r="G3" s="222">
        <v>1620000</v>
      </c>
      <c r="H3" s="222">
        <f>1770000/12</f>
        <v>147500</v>
      </c>
      <c r="I3" s="222">
        <v>-1215000</v>
      </c>
      <c r="J3" s="222">
        <f t="shared" ref="J3:J14" si="0">SUM(G3:I3)</f>
        <v>552500</v>
      </c>
    </row>
    <row r="4" spans="1:10" x14ac:dyDescent="0.3">
      <c r="A4" s="220" t="s">
        <v>118</v>
      </c>
      <c r="B4" s="220" t="s">
        <v>119</v>
      </c>
      <c r="C4" s="221" t="s">
        <v>14</v>
      </c>
      <c r="D4" s="221" t="s">
        <v>457</v>
      </c>
      <c r="E4" s="220" t="s">
        <v>458</v>
      </c>
      <c r="F4" s="220" t="s">
        <v>459</v>
      </c>
      <c r="G4" s="222">
        <v>139050</v>
      </c>
      <c r="H4" s="222">
        <f>ROUNDUP(151927/12,0)</f>
        <v>12661</v>
      </c>
      <c r="I4" s="222">
        <v>0</v>
      </c>
      <c r="J4" s="222">
        <f t="shared" si="0"/>
        <v>151711</v>
      </c>
    </row>
    <row r="5" spans="1:10" x14ac:dyDescent="0.3">
      <c r="A5" s="220" t="s">
        <v>118</v>
      </c>
      <c r="B5" s="220" t="s">
        <v>119</v>
      </c>
      <c r="C5" s="221" t="s">
        <v>14</v>
      </c>
      <c r="D5" s="221" t="s">
        <v>457</v>
      </c>
      <c r="E5" s="220" t="s">
        <v>458</v>
      </c>
      <c r="F5" s="220" t="s">
        <v>460</v>
      </c>
      <c r="G5" s="222">
        <f>90000/4</f>
        <v>22500</v>
      </c>
      <c r="H5" s="222">
        <f>ROUNDUP(25000*118%/12,0)</f>
        <v>2459</v>
      </c>
      <c r="I5" s="222">
        <v>0</v>
      </c>
      <c r="J5" s="222">
        <f t="shared" si="0"/>
        <v>24959</v>
      </c>
    </row>
    <row r="6" spans="1:10" x14ac:dyDescent="0.3">
      <c r="A6" s="220" t="s">
        <v>118</v>
      </c>
      <c r="B6" s="220" t="s">
        <v>119</v>
      </c>
      <c r="C6" s="221" t="s">
        <v>14</v>
      </c>
      <c r="D6" s="221" t="s">
        <v>457</v>
      </c>
      <c r="E6" s="220" t="s">
        <v>458</v>
      </c>
      <c r="F6" s="220" t="s">
        <v>461</v>
      </c>
      <c r="G6" s="222">
        <f>90000/4</f>
        <v>22500</v>
      </c>
      <c r="H6" s="222">
        <f>ROUNDUP(25000*118%/12,0)</f>
        <v>2459</v>
      </c>
      <c r="I6" s="222">
        <v>0</v>
      </c>
      <c r="J6" s="222">
        <f t="shared" si="0"/>
        <v>24959</v>
      </c>
    </row>
    <row r="7" spans="1:10" x14ac:dyDescent="0.3">
      <c r="A7" s="220" t="s">
        <v>118</v>
      </c>
      <c r="B7" s="220" t="s">
        <v>119</v>
      </c>
      <c r="C7" s="221" t="s">
        <v>14</v>
      </c>
      <c r="D7" s="221" t="s">
        <v>457</v>
      </c>
      <c r="E7" s="220" t="s">
        <v>458</v>
      </c>
      <c r="F7" s="220" t="s">
        <v>462</v>
      </c>
      <c r="G7" s="222">
        <f>90000/4</f>
        <v>22500</v>
      </c>
      <c r="H7" s="222">
        <f>ROUNDUP(25000*118%/12,0)</f>
        <v>2459</v>
      </c>
      <c r="I7" s="222">
        <v>0</v>
      </c>
      <c r="J7" s="222">
        <f t="shared" si="0"/>
        <v>24959</v>
      </c>
    </row>
    <row r="8" spans="1:10" x14ac:dyDescent="0.3">
      <c r="A8" s="220" t="s">
        <v>118</v>
      </c>
      <c r="B8" s="220" t="s">
        <v>119</v>
      </c>
      <c r="C8" s="221" t="s">
        <v>14</v>
      </c>
      <c r="D8" s="221" t="s">
        <v>457</v>
      </c>
      <c r="E8" s="220" t="s">
        <v>458</v>
      </c>
      <c r="F8" s="220" t="s">
        <v>463</v>
      </c>
      <c r="G8" s="222">
        <f>90000/4</f>
        <v>22500</v>
      </c>
      <c r="H8" s="222">
        <f>ROUNDUP(25000*118%/12,0)</f>
        <v>2459</v>
      </c>
      <c r="I8" s="222">
        <v>0</v>
      </c>
      <c r="J8" s="222">
        <f t="shared" si="0"/>
        <v>24959</v>
      </c>
    </row>
    <row r="9" spans="1:10" x14ac:dyDescent="0.3">
      <c r="A9" s="220" t="s">
        <v>81</v>
      </c>
      <c r="B9" s="220" t="s">
        <v>464</v>
      </c>
      <c r="C9" s="221" t="s">
        <v>22</v>
      </c>
      <c r="D9" s="221" t="s">
        <v>465</v>
      </c>
      <c r="E9" s="220" t="s">
        <v>466</v>
      </c>
      <c r="F9" s="220" t="s">
        <v>467</v>
      </c>
      <c r="G9" s="222">
        <f>ROUNDUP(23500*2/3,0)</f>
        <v>15667</v>
      </c>
      <c r="H9" s="222">
        <f>ROUNDUP(23500/3,0)</f>
        <v>7834</v>
      </c>
      <c r="I9" s="222">
        <v>0</v>
      </c>
      <c r="J9" s="222">
        <f t="shared" si="0"/>
        <v>23501</v>
      </c>
    </row>
    <row r="10" spans="1:10" x14ac:dyDescent="0.3">
      <c r="A10" s="220" t="s">
        <v>81</v>
      </c>
      <c r="B10" s="220" t="s">
        <v>464</v>
      </c>
      <c r="C10" s="221" t="s">
        <v>23</v>
      </c>
      <c r="D10" s="221" t="s">
        <v>465</v>
      </c>
      <c r="E10" s="220" t="s">
        <v>466</v>
      </c>
      <c r="F10" s="220" t="s">
        <v>468</v>
      </c>
      <c r="G10" s="222">
        <f>ROUNDUP(23500*2/3,0)</f>
        <v>15667</v>
      </c>
      <c r="H10" s="222">
        <f>ROUNDUP(23500/3,0)</f>
        <v>7834</v>
      </c>
      <c r="I10" s="222">
        <v>0</v>
      </c>
      <c r="J10" s="222">
        <f t="shared" si="0"/>
        <v>23501</v>
      </c>
    </row>
    <row r="11" spans="1:10" x14ac:dyDescent="0.3">
      <c r="A11" s="220" t="s">
        <v>81</v>
      </c>
      <c r="B11" s="220" t="s">
        <v>464</v>
      </c>
      <c r="C11" s="221" t="s">
        <v>24</v>
      </c>
      <c r="D11" s="221" t="s">
        <v>465</v>
      </c>
      <c r="E11" s="220" t="s">
        <v>466</v>
      </c>
      <c r="F11" s="220" t="s">
        <v>469</v>
      </c>
      <c r="G11" s="222">
        <f>ROUNDUP(23500*2/3,0)-1</f>
        <v>15666</v>
      </c>
      <c r="H11" s="222">
        <f>ROUNDUP(23500/3,0)</f>
        <v>7834</v>
      </c>
      <c r="I11" s="222">
        <v>0</v>
      </c>
      <c r="J11" s="222">
        <f t="shared" si="0"/>
        <v>23500</v>
      </c>
    </row>
    <row r="12" spans="1:10" x14ac:dyDescent="0.3">
      <c r="A12" s="220" t="s">
        <v>81</v>
      </c>
      <c r="B12" s="220" t="s">
        <v>464</v>
      </c>
      <c r="C12" s="221" t="s">
        <v>30</v>
      </c>
      <c r="D12" s="221" t="s">
        <v>470</v>
      </c>
      <c r="E12" s="220" t="s">
        <v>471</v>
      </c>
      <c r="F12" s="220" t="s">
        <v>472</v>
      </c>
      <c r="G12" s="222">
        <f>22400*3</f>
        <v>67200</v>
      </c>
      <c r="H12" s="222">
        <v>22400</v>
      </c>
      <c r="I12" s="222">
        <v>0</v>
      </c>
      <c r="J12" s="222">
        <f t="shared" si="0"/>
        <v>89600</v>
      </c>
    </row>
    <row r="13" spans="1:10" x14ac:dyDescent="0.3">
      <c r="A13" s="220" t="s">
        <v>83</v>
      </c>
      <c r="B13" s="220" t="s">
        <v>473</v>
      </c>
      <c r="D13" s="221" t="s">
        <v>474</v>
      </c>
      <c r="E13" s="220" t="s">
        <v>475</v>
      </c>
      <c r="F13" s="220" t="s">
        <v>476</v>
      </c>
      <c r="G13" s="222">
        <f>29500*3</f>
        <v>88500</v>
      </c>
      <c r="H13" s="222">
        <v>29500</v>
      </c>
      <c r="I13" s="222">
        <v>0</v>
      </c>
      <c r="J13" s="222">
        <f t="shared" si="0"/>
        <v>118000</v>
      </c>
    </row>
    <row r="14" spans="1:10" x14ac:dyDescent="0.3">
      <c r="A14" s="220" t="s">
        <v>83</v>
      </c>
      <c r="B14" s="220" t="s">
        <v>473</v>
      </c>
      <c r="D14" s="221" t="s">
        <v>474</v>
      </c>
      <c r="E14" s="220" t="s">
        <v>475</v>
      </c>
      <c r="F14" s="220" t="s">
        <v>477</v>
      </c>
      <c r="G14" s="222">
        <f>2950*3</f>
        <v>8850</v>
      </c>
      <c r="H14" s="222">
        <v>2950</v>
      </c>
      <c r="I14" s="222">
        <v>0</v>
      </c>
      <c r="J14" s="222">
        <f t="shared" si="0"/>
        <v>11800</v>
      </c>
    </row>
    <row r="15" spans="1:10" x14ac:dyDescent="0.3">
      <c r="A15" s="220" t="s">
        <v>96</v>
      </c>
      <c r="B15" s="220" t="s">
        <v>97</v>
      </c>
      <c r="C15" s="221" t="s">
        <v>14</v>
      </c>
      <c r="E15" s="220"/>
      <c r="F15" s="220" t="s">
        <v>478</v>
      </c>
      <c r="G15" s="222">
        <v>10500000</v>
      </c>
      <c r="H15" s="222">
        <f>10500000/12</f>
        <v>875000</v>
      </c>
      <c r="I15" s="222">
        <v>0</v>
      </c>
      <c r="J15" s="222">
        <f t="shared" ref="J15:J23" si="1">SUM(G15:I15)</f>
        <v>11375000</v>
      </c>
    </row>
    <row r="16" spans="1:10" x14ac:dyDescent="0.3">
      <c r="A16" s="220" t="s">
        <v>479</v>
      </c>
      <c r="B16" s="220" t="s">
        <v>480</v>
      </c>
      <c r="C16" s="221" t="s">
        <v>17</v>
      </c>
      <c r="D16" s="221" t="s">
        <v>481</v>
      </c>
      <c r="E16" s="220" t="s">
        <v>482</v>
      </c>
      <c r="F16" s="220" t="s">
        <v>483</v>
      </c>
      <c r="G16" s="222">
        <v>0</v>
      </c>
      <c r="H16" s="222">
        <v>0</v>
      </c>
      <c r="I16" s="222">
        <v>0</v>
      </c>
      <c r="J16" s="222">
        <f t="shared" si="1"/>
        <v>0</v>
      </c>
    </row>
    <row r="17" spans="1:10" x14ac:dyDescent="0.3">
      <c r="A17" s="220" t="s">
        <v>484</v>
      </c>
      <c r="B17" s="220" t="s">
        <v>485</v>
      </c>
      <c r="C17" s="221" t="s">
        <v>7</v>
      </c>
      <c r="D17" s="221" t="s">
        <v>486</v>
      </c>
      <c r="E17" s="220" t="s">
        <v>284</v>
      </c>
      <c r="F17" s="220" t="s">
        <v>487</v>
      </c>
      <c r="G17" s="222">
        <v>0</v>
      </c>
      <c r="H17" s="222">
        <v>50042.766083999995</v>
      </c>
      <c r="I17" s="222">
        <v>0</v>
      </c>
      <c r="J17" s="222">
        <f t="shared" si="1"/>
        <v>50042.766083999995</v>
      </c>
    </row>
    <row r="18" spans="1:10" x14ac:dyDescent="0.3">
      <c r="A18" s="220" t="s">
        <v>484</v>
      </c>
      <c r="B18" s="220" t="s">
        <v>485</v>
      </c>
      <c r="C18" s="221" t="s">
        <v>24</v>
      </c>
      <c r="D18" s="221" t="s">
        <v>486</v>
      </c>
      <c r="E18" s="220" t="s">
        <v>284</v>
      </c>
      <c r="F18" s="220" t="s">
        <v>488</v>
      </c>
      <c r="G18" s="222">
        <v>0</v>
      </c>
      <c r="H18" s="222">
        <v>28626.077427</v>
      </c>
      <c r="I18" s="222">
        <v>0</v>
      </c>
      <c r="J18" s="222">
        <f t="shared" si="1"/>
        <v>28626.077427</v>
      </c>
    </row>
    <row r="19" spans="1:10" x14ac:dyDescent="0.3">
      <c r="A19" s="220" t="s">
        <v>484</v>
      </c>
      <c r="B19" s="220" t="s">
        <v>485</v>
      </c>
      <c r="C19" s="221" t="s">
        <v>48</v>
      </c>
      <c r="D19" s="221" t="s">
        <v>486</v>
      </c>
      <c r="E19" s="220" t="s">
        <v>284</v>
      </c>
      <c r="F19" s="220" t="s">
        <v>489</v>
      </c>
      <c r="G19" s="222">
        <v>0</v>
      </c>
      <c r="H19" s="222">
        <v>34876.636487999996</v>
      </c>
      <c r="I19" s="222">
        <v>0</v>
      </c>
      <c r="J19" s="222">
        <f t="shared" si="1"/>
        <v>34876.636487999996</v>
      </c>
    </row>
    <row r="20" spans="1:10" x14ac:dyDescent="0.3">
      <c r="A20" s="220" t="s">
        <v>484</v>
      </c>
      <c r="B20" s="220" t="s">
        <v>485</v>
      </c>
      <c r="C20" s="221" t="s">
        <v>54</v>
      </c>
      <c r="D20" s="221" t="s">
        <v>486</v>
      </c>
      <c r="E20" s="220" t="s">
        <v>284</v>
      </c>
      <c r="F20" s="220" t="s">
        <v>490</v>
      </c>
      <c r="G20" s="222">
        <v>0</v>
      </c>
      <c r="H20" s="222">
        <v>64404.242882999999</v>
      </c>
      <c r="I20" s="222">
        <v>0</v>
      </c>
      <c r="J20" s="222">
        <f t="shared" si="1"/>
        <v>64404.242882999999</v>
      </c>
    </row>
    <row r="21" spans="1:10" x14ac:dyDescent="0.3">
      <c r="A21" s="220" t="s">
        <v>484</v>
      </c>
      <c r="B21" s="220" t="s">
        <v>485</v>
      </c>
      <c r="C21" s="221" t="s">
        <v>13</v>
      </c>
      <c r="D21" s="221" t="s">
        <v>486</v>
      </c>
      <c r="E21" s="220" t="s">
        <v>284</v>
      </c>
      <c r="F21" s="220" t="s">
        <v>491</v>
      </c>
      <c r="G21" s="222">
        <v>0</v>
      </c>
      <c r="H21" s="222">
        <v>46149.990392999993</v>
      </c>
      <c r="I21" s="222">
        <v>0</v>
      </c>
      <c r="J21" s="222">
        <f t="shared" si="1"/>
        <v>46149.990392999993</v>
      </c>
    </row>
    <row r="22" spans="1:10" x14ac:dyDescent="0.3">
      <c r="A22" s="220" t="s">
        <v>484</v>
      </c>
      <c r="B22" s="220" t="s">
        <v>485</v>
      </c>
      <c r="C22" s="221" t="s">
        <v>43</v>
      </c>
      <c r="D22" s="221" t="s">
        <v>486</v>
      </c>
      <c r="E22" s="220" t="s">
        <v>284</v>
      </c>
      <c r="F22" s="220" t="s">
        <v>492</v>
      </c>
      <c r="G22" s="222">
        <v>0</v>
      </c>
      <c r="H22" s="222">
        <v>92609.371830000004</v>
      </c>
      <c r="I22" s="222">
        <v>0</v>
      </c>
      <c r="J22" s="222">
        <f t="shared" si="1"/>
        <v>92609.371830000004</v>
      </c>
    </row>
    <row r="23" spans="1:10" x14ac:dyDescent="0.3">
      <c r="A23" s="220" t="s">
        <v>484</v>
      </c>
      <c r="B23" s="220" t="s">
        <v>485</v>
      </c>
      <c r="C23" s="221" t="s">
        <v>20</v>
      </c>
      <c r="D23" s="221" t="s">
        <v>486</v>
      </c>
      <c r="E23" s="220" t="s">
        <v>284</v>
      </c>
      <c r="F23" s="220" t="s">
        <v>493</v>
      </c>
      <c r="G23" s="222">
        <v>0</v>
      </c>
      <c r="H23" s="222">
        <v>60781.790265000003</v>
      </c>
      <c r="I23" s="222">
        <v>0</v>
      </c>
      <c r="J23" s="222">
        <f t="shared" si="1"/>
        <v>60781.790265000003</v>
      </c>
    </row>
    <row r="24" spans="1:10" x14ac:dyDescent="0.3">
      <c r="A24" s="220" t="s">
        <v>185</v>
      </c>
      <c r="B24" s="220" t="s">
        <v>186</v>
      </c>
      <c r="E24" s="220"/>
      <c r="G24" s="222">
        <v>985849</v>
      </c>
      <c r="H24" s="222">
        <v>77500</v>
      </c>
    </row>
    <row r="25" spans="1:10" x14ac:dyDescent="0.3">
      <c r="E25" s="220"/>
    </row>
    <row r="26" spans="1:10" x14ac:dyDescent="0.3">
      <c r="E26" s="220"/>
    </row>
    <row r="27" spans="1:10" x14ac:dyDescent="0.3">
      <c r="E27" s="220"/>
    </row>
    <row r="28" spans="1:10" x14ac:dyDescent="0.3">
      <c r="E28" s="220"/>
    </row>
    <row r="29" spans="1:10" x14ac:dyDescent="0.3">
      <c r="E29" s="220"/>
    </row>
    <row r="30" spans="1:10" x14ac:dyDescent="0.3">
      <c r="E30" s="22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K10"/>
  <sheetViews>
    <sheetView workbookViewId="0">
      <selection activeCell="F19" sqref="F19"/>
    </sheetView>
  </sheetViews>
  <sheetFormatPr defaultRowHeight="14.5" x14ac:dyDescent="0.35"/>
  <cols>
    <col min="1" max="1" width="8.7265625" style="64"/>
    <col min="2" max="2" width="31.54296875" customWidth="1"/>
  </cols>
  <sheetData>
    <row r="2" spans="1:11" x14ac:dyDescent="0.35">
      <c r="A2" s="62" t="s">
        <v>275</v>
      </c>
      <c r="B2" s="62" t="s">
        <v>273</v>
      </c>
      <c r="C2" s="61">
        <v>45383</v>
      </c>
      <c r="D2" s="61">
        <v>45413</v>
      </c>
      <c r="E2" s="61">
        <v>45444</v>
      </c>
      <c r="F2" s="61">
        <v>45474</v>
      </c>
      <c r="G2" s="61">
        <v>45505</v>
      </c>
      <c r="H2" s="61">
        <v>45536</v>
      </c>
      <c r="I2" s="61">
        <v>45566</v>
      </c>
      <c r="J2" s="61">
        <v>45597</v>
      </c>
      <c r="K2" s="61">
        <v>45627</v>
      </c>
    </row>
    <row r="3" spans="1:11" x14ac:dyDescent="0.35">
      <c r="A3" s="73">
        <v>1</v>
      </c>
      <c r="B3" s="67" t="s">
        <v>292</v>
      </c>
      <c r="C3" s="74"/>
      <c r="D3" s="58"/>
      <c r="E3" s="58"/>
      <c r="F3" s="58"/>
      <c r="G3" s="58"/>
      <c r="H3" s="58"/>
      <c r="I3" s="58"/>
      <c r="J3" s="58"/>
      <c r="K3" s="58"/>
    </row>
    <row r="4" spans="1:11" x14ac:dyDescent="0.35">
      <c r="A4" s="73">
        <v>2</v>
      </c>
      <c r="B4" s="67" t="s">
        <v>293</v>
      </c>
      <c r="C4" s="74"/>
      <c r="D4" s="58"/>
      <c r="E4" s="58"/>
      <c r="F4" s="58"/>
      <c r="G4" s="58"/>
      <c r="H4" s="58"/>
      <c r="I4" s="58"/>
      <c r="J4" s="58"/>
      <c r="K4" s="58"/>
    </row>
    <row r="5" spans="1:11" x14ac:dyDescent="0.35">
      <c r="A5" s="73">
        <v>3</v>
      </c>
      <c r="B5" s="67" t="s">
        <v>294</v>
      </c>
      <c r="C5" s="74"/>
      <c r="D5" s="58"/>
      <c r="E5" s="58"/>
      <c r="F5" s="58"/>
      <c r="G5" s="58"/>
      <c r="H5" s="58"/>
      <c r="I5" s="58"/>
      <c r="J5" s="58"/>
      <c r="K5" s="58"/>
    </row>
    <row r="6" spans="1:11" x14ac:dyDescent="0.35">
      <c r="A6" s="73">
        <v>4</v>
      </c>
      <c r="B6" s="67" t="s">
        <v>298</v>
      </c>
      <c r="C6" s="74"/>
      <c r="D6" s="58"/>
      <c r="E6" s="58"/>
      <c r="F6" s="58"/>
      <c r="G6" s="58"/>
      <c r="H6" s="58"/>
      <c r="I6" s="58"/>
      <c r="J6" s="58"/>
      <c r="K6" s="58"/>
    </row>
    <row r="7" spans="1:11" x14ac:dyDescent="0.35">
      <c r="A7" s="73">
        <v>5</v>
      </c>
      <c r="B7" s="67" t="s">
        <v>299</v>
      </c>
      <c r="C7" s="74"/>
      <c r="D7" s="58"/>
      <c r="E7" s="58"/>
      <c r="F7" s="58"/>
      <c r="G7" s="58"/>
      <c r="H7" s="58"/>
      <c r="I7" s="58"/>
      <c r="J7" s="58"/>
      <c r="K7" s="58"/>
    </row>
    <row r="8" spans="1:11" s="46" customFormat="1" x14ac:dyDescent="0.35">
      <c r="A8" s="62"/>
      <c r="B8" s="59" t="s">
        <v>286</v>
      </c>
      <c r="C8" s="59">
        <f>SUM(C3:C7)</f>
        <v>0</v>
      </c>
      <c r="D8" s="59">
        <f t="shared" ref="D8:K8" si="0">SUM(D3:D7)</f>
        <v>0</v>
      </c>
      <c r="E8" s="59">
        <f t="shared" si="0"/>
        <v>0</v>
      </c>
      <c r="F8" s="59">
        <f t="shared" si="0"/>
        <v>0</v>
      </c>
      <c r="G8" s="59">
        <f t="shared" si="0"/>
        <v>0</v>
      </c>
      <c r="H8" s="59">
        <f t="shared" si="0"/>
        <v>0</v>
      </c>
      <c r="I8" s="59">
        <f t="shared" si="0"/>
        <v>0</v>
      </c>
      <c r="J8" s="59">
        <f t="shared" si="0"/>
        <v>0</v>
      </c>
      <c r="K8" s="59">
        <f t="shared" si="0"/>
        <v>0</v>
      </c>
    </row>
    <row r="9" spans="1:11" x14ac:dyDescent="0.35">
      <c r="A9" s="63"/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1" x14ac:dyDescent="0.35">
      <c r="A10" s="63"/>
      <c r="B10" s="58"/>
      <c r="C10" s="58"/>
      <c r="D10" s="58"/>
      <c r="E10" s="58"/>
      <c r="F10" s="58"/>
      <c r="G10" s="58"/>
      <c r="H10" s="58"/>
      <c r="I10" s="58"/>
      <c r="J10" s="58"/>
      <c r="K10" s="5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K14"/>
  <sheetViews>
    <sheetView workbookViewId="0">
      <selection activeCell="B8" sqref="B8"/>
    </sheetView>
  </sheetViews>
  <sheetFormatPr defaultRowHeight="14.5" x14ac:dyDescent="0.35"/>
  <cols>
    <col min="2" max="2" width="16" customWidth="1"/>
    <col min="3" max="11" width="15.6328125" customWidth="1"/>
  </cols>
  <sheetData>
    <row r="2" spans="1:11" x14ac:dyDescent="0.35">
      <c r="A2" s="62" t="s">
        <v>275</v>
      </c>
      <c r="B2" s="62" t="s">
        <v>273</v>
      </c>
      <c r="C2" s="61">
        <v>45383</v>
      </c>
      <c r="D2" s="61">
        <v>45413</v>
      </c>
      <c r="E2" s="61">
        <v>45444</v>
      </c>
      <c r="F2" s="61">
        <v>45474</v>
      </c>
      <c r="G2" s="61">
        <v>45505</v>
      </c>
      <c r="H2" s="61">
        <v>45536</v>
      </c>
      <c r="I2" s="61">
        <v>45566</v>
      </c>
      <c r="J2" s="61">
        <v>45597</v>
      </c>
      <c r="K2" s="61">
        <v>45627</v>
      </c>
    </row>
    <row r="3" spans="1:11" ht="29" x14ac:dyDescent="0.35">
      <c r="A3" s="73">
        <v>1</v>
      </c>
      <c r="B3" s="67" t="s">
        <v>297</v>
      </c>
      <c r="C3" s="74"/>
      <c r="D3" s="58"/>
      <c r="E3" s="58"/>
      <c r="F3" s="58"/>
      <c r="G3" s="58"/>
      <c r="H3" s="58"/>
      <c r="I3" s="58"/>
      <c r="J3" s="58"/>
      <c r="K3" s="58"/>
    </row>
    <row r="4" spans="1:11" ht="29" x14ac:dyDescent="0.35">
      <c r="A4" s="73">
        <v>2</v>
      </c>
      <c r="B4" s="67" t="s">
        <v>296</v>
      </c>
      <c r="C4" s="74"/>
      <c r="D4" s="58"/>
      <c r="E4" s="58"/>
      <c r="F4" s="58"/>
      <c r="G4" s="58"/>
      <c r="H4" s="58"/>
      <c r="I4" s="58"/>
      <c r="J4" s="58"/>
      <c r="K4" s="58"/>
    </row>
    <row r="5" spans="1:11" x14ac:dyDescent="0.35">
      <c r="A5" s="73">
        <v>3</v>
      </c>
      <c r="B5" s="67" t="s">
        <v>295</v>
      </c>
      <c r="C5" s="74"/>
      <c r="D5" s="58"/>
      <c r="E5" s="58"/>
      <c r="F5" s="58"/>
      <c r="G5" s="58"/>
      <c r="H5" s="58"/>
      <c r="I5" s="58"/>
      <c r="J5" s="58"/>
      <c r="K5" s="58"/>
    </row>
    <row r="6" spans="1:11" ht="43.5" x14ac:dyDescent="0.35">
      <c r="A6" s="73">
        <v>4</v>
      </c>
      <c r="B6" s="67" t="s">
        <v>300</v>
      </c>
      <c r="C6" s="74"/>
      <c r="D6" s="58"/>
      <c r="E6" s="58"/>
      <c r="F6" s="58"/>
      <c r="G6" s="58"/>
      <c r="H6" s="58"/>
      <c r="I6" s="58"/>
      <c r="J6" s="58"/>
      <c r="K6" s="58"/>
    </row>
    <row r="7" spans="1:11" ht="29" x14ac:dyDescent="0.35">
      <c r="A7" s="73">
        <v>5</v>
      </c>
      <c r="B7" s="67" t="s">
        <v>133</v>
      </c>
      <c r="C7" s="74"/>
      <c r="D7" s="58"/>
      <c r="E7" s="58"/>
      <c r="F7" s="58"/>
      <c r="G7" s="58"/>
      <c r="H7" s="58"/>
      <c r="I7" s="58"/>
      <c r="J7" s="58"/>
      <c r="K7" s="58"/>
    </row>
    <row r="8" spans="1:11" ht="43.5" x14ac:dyDescent="0.35">
      <c r="A8" s="73">
        <v>6</v>
      </c>
      <c r="B8" s="67" t="s">
        <v>301</v>
      </c>
      <c r="C8" s="74"/>
      <c r="D8" s="58"/>
      <c r="E8" s="58"/>
      <c r="F8" s="58"/>
      <c r="G8" s="58"/>
      <c r="H8" s="58"/>
      <c r="I8" s="58"/>
      <c r="J8" s="58"/>
      <c r="K8" s="58"/>
    </row>
    <row r="9" spans="1:11" ht="29" x14ac:dyDescent="0.35">
      <c r="A9" s="73">
        <v>7</v>
      </c>
      <c r="B9" s="67" t="s">
        <v>302</v>
      </c>
      <c r="C9" s="74"/>
      <c r="D9" s="58"/>
      <c r="E9" s="58"/>
      <c r="F9" s="58"/>
      <c r="G9" s="58"/>
      <c r="H9" s="58"/>
      <c r="I9" s="58"/>
      <c r="J9" s="58"/>
      <c r="K9" s="58"/>
    </row>
    <row r="10" spans="1:11" ht="58" x14ac:dyDescent="0.35">
      <c r="A10" s="73">
        <v>8</v>
      </c>
      <c r="B10" s="67" t="s">
        <v>304</v>
      </c>
      <c r="C10" s="74"/>
      <c r="D10" s="58"/>
      <c r="E10" s="58"/>
      <c r="F10" s="58"/>
      <c r="G10" s="58"/>
      <c r="H10" s="58"/>
      <c r="I10" s="58"/>
      <c r="J10" s="58"/>
      <c r="K10" s="58"/>
    </row>
    <row r="11" spans="1:11" x14ac:dyDescent="0.35">
      <c r="A11" s="63">
        <v>9</v>
      </c>
      <c r="B11" s="17" t="s">
        <v>303</v>
      </c>
      <c r="C11" s="58"/>
      <c r="D11" s="58"/>
      <c r="E11" s="58"/>
      <c r="F11" s="58"/>
      <c r="G11" s="58"/>
      <c r="H11" s="58"/>
      <c r="I11" s="58"/>
      <c r="J11" s="58"/>
      <c r="K11" s="58"/>
    </row>
    <row r="12" spans="1:11" x14ac:dyDescent="0.35">
      <c r="A12" s="62"/>
      <c r="B12" s="59" t="s">
        <v>286</v>
      </c>
      <c r="C12" s="59">
        <f>SUM(C3:C7)</f>
        <v>0</v>
      </c>
      <c r="D12" s="59">
        <f t="shared" ref="D12:K12" si="0">SUM(D3:D7)</f>
        <v>0</v>
      </c>
      <c r="E12" s="59">
        <f t="shared" si="0"/>
        <v>0</v>
      </c>
      <c r="F12" s="59">
        <f t="shared" si="0"/>
        <v>0</v>
      </c>
      <c r="G12" s="59">
        <f t="shared" si="0"/>
        <v>0</v>
      </c>
      <c r="H12" s="59">
        <f t="shared" si="0"/>
        <v>0</v>
      </c>
      <c r="I12" s="59">
        <f t="shared" si="0"/>
        <v>0</v>
      </c>
      <c r="J12" s="59">
        <f t="shared" si="0"/>
        <v>0</v>
      </c>
      <c r="K12" s="59">
        <f t="shared" si="0"/>
        <v>0</v>
      </c>
    </row>
    <row r="13" spans="1:11" x14ac:dyDescent="0.35">
      <c r="A13" s="63"/>
      <c r="B13" s="58"/>
      <c r="C13" s="58"/>
      <c r="D13" s="58"/>
      <c r="E13" s="58"/>
      <c r="F13" s="58"/>
      <c r="G13" s="58"/>
      <c r="H13" s="58"/>
      <c r="I13" s="58"/>
      <c r="J13" s="58"/>
      <c r="K13" s="58"/>
    </row>
    <row r="14" spans="1:11" x14ac:dyDescent="0.35">
      <c r="A14" s="63"/>
      <c r="B14" s="58"/>
      <c r="C14" s="58"/>
      <c r="D14" s="58"/>
      <c r="E14" s="58"/>
      <c r="F14" s="58"/>
      <c r="G14" s="58"/>
      <c r="H14" s="58"/>
      <c r="I14" s="58"/>
      <c r="J14" s="58"/>
      <c r="K14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04"/>
  <sheetViews>
    <sheetView topLeftCell="A5" workbookViewId="0">
      <selection activeCell="G6" sqref="G6"/>
    </sheetView>
  </sheetViews>
  <sheetFormatPr defaultColWidth="9.1796875" defaultRowHeight="14.5" x14ac:dyDescent="0.35"/>
  <cols>
    <col min="1" max="1" width="7.453125" customWidth="1"/>
    <col min="2" max="2" width="11.453125" customWidth="1"/>
    <col min="3" max="3" width="37.1796875" customWidth="1"/>
    <col min="4" max="4" width="7.90625" customWidth="1"/>
    <col min="5" max="5" width="34" bestFit="1" customWidth="1"/>
    <col min="6" max="6" width="17.54296875" customWidth="1"/>
    <col min="7" max="7" width="21" customWidth="1"/>
    <col min="8" max="8" width="12.81640625" customWidth="1"/>
  </cols>
  <sheetData>
    <row r="1" spans="1:8" ht="15" customHeight="1" x14ac:dyDescent="0.35">
      <c r="A1" s="10"/>
      <c r="B1" s="10" t="s">
        <v>0</v>
      </c>
      <c r="C1" s="10"/>
      <c r="D1" s="10"/>
      <c r="E1" s="10"/>
      <c r="F1" s="10"/>
      <c r="G1" s="10"/>
      <c r="H1" s="10"/>
    </row>
    <row r="2" spans="1:8" ht="15" customHeight="1" x14ac:dyDescent="0.35">
      <c r="A2" s="10"/>
      <c r="B2" s="10" t="s">
        <v>1</v>
      </c>
      <c r="C2" s="10"/>
      <c r="D2" s="10"/>
      <c r="E2" s="10"/>
      <c r="F2" s="10"/>
      <c r="G2" s="10"/>
      <c r="H2" s="10"/>
    </row>
    <row r="3" spans="1:8" ht="15.75" customHeight="1" x14ac:dyDescent="0.35">
      <c r="A3" s="11"/>
      <c r="B3" s="11" t="s">
        <v>2</v>
      </c>
      <c r="C3" s="11"/>
      <c r="D3" s="11"/>
      <c r="E3" s="11"/>
      <c r="F3" s="11"/>
      <c r="G3" s="11"/>
      <c r="H3" s="11"/>
    </row>
    <row r="4" spans="1:8" ht="15" customHeight="1" x14ac:dyDescent="0.35">
      <c r="A4" s="10"/>
      <c r="B4" s="10" t="s">
        <v>306</v>
      </c>
      <c r="C4" s="10"/>
      <c r="D4" s="10"/>
      <c r="E4" s="10"/>
      <c r="F4" s="10"/>
      <c r="G4" s="10"/>
      <c r="H4" s="10"/>
    </row>
    <row r="5" spans="1:8" ht="15" customHeight="1" x14ac:dyDescent="0.35">
      <c r="A5" s="10"/>
      <c r="B5" s="10" t="s">
        <v>3</v>
      </c>
      <c r="C5" s="10"/>
      <c r="D5" s="10"/>
      <c r="E5" s="10"/>
      <c r="F5" s="10"/>
      <c r="G5" s="10"/>
      <c r="H5" s="10"/>
    </row>
    <row r="6" spans="1:8" ht="15" customHeight="1" x14ac:dyDescent="0.35">
      <c r="A6" s="2" t="s">
        <v>324</v>
      </c>
      <c r="B6" s="1" t="s">
        <v>315</v>
      </c>
      <c r="C6" s="2" t="s">
        <v>237</v>
      </c>
      <c r="D6" s="2" t="s">
        <v>313</v>
      </c>
      <c r="E6" s="2" t="s">
        <v>267</v>
      </c>
      <c r="F6" s="2" t="s">
        <v>316</v>
      </c>
      <c r="G6" s="2" t="s">
        <v>317</v>
      </c>
      <c r="H6" s="1" t="s">
        <v>326</v>
      </c>
    </row>
    <row r="7" spans="1:8" ht="15" customHeight="1" x14ac:dyDescent="0.35">
      <c r="A7" s="77">
        <v>45383</v>
      </c>
      <c r="B7" s="3" t="s">
        <v>57</v>
      </c>
      <c r="C7" s="4" t="s">
        <v>58</v>
      </c>
      <c r="D7" s="4" t="s">
        <v>314</v>
      </c>
      <c r="E7" s="4" t="s">
        <v>253</v>
      </c>
      <c r="F7" s="4" t="s">
        <v>214</v>
      </c>
      <c r="G7" s="4" t="s">
        <v>216</v>
      </c>
      <c r="H7" s="5">
        <f>VLOOKUP(C7,'TB Apr 24'!$B$13:$E$103,4,0)</f>
        <v>0</v>
      </c>
    </row>
    <row r="8" spans="1:8" ht="15" customHeight="1" x14ac:dyDescent="0.35">
      <c r="A8" s="77">
        <v>45383</v>
      </c>
      <c r="B8" s="3" t="s">
        <v>307</v>
      </c>
      <c r="C8" s="4" t="s">
        <v>308</v>
      </c>
      <c r="D8" s="4" t="s">
        <v>314</v>
      </c>
      <c r="E8" s="4" t="s">
        <v>253</v>
      </c>
      <c r="F8" s="4" t="s">
        <v>214</v>
      </c>
      <c r="G8" s="4" t="s">
        <v>216</v>
      </c>
      <c r="H8" s="5">
        <f>VLOOKUP(C8,'TB Apr 24'!$B$13:$E$103,4,0)</f>
        <v>0</v>
      </c>
    </row>
    <row r="9" spans="1:8" ht="15" customHeight="1" x14ac:dyDescent="0.35">
      <c r="A9" s="77">
        <v>45383</v>
      </c>
      <c r="B9" s="3" t="s">
        <v>59</v>
      </c>
      <c r="C9" s="4" t="s">
        <v>60</v>
      </c>
      <c r="D9" s="4" t="s">
        <v>314</v>
      </c>
      <c r="E9" s="4" t="s">
        <v>253</v>
      </c>
      <c r="F9" s="4" t="s">
        <v>214</v>
      </c>
      <c r="G9" s="4" t="s">
        <v>216</v>
      </c>
      <c r="H9" s="5">
        <f>VLOOKUP(C9,'TB Apr 24'!$B$13:$E$103,4,0)</f>
        <v>-3.24</v>
      </c>
    </row>
    <row r="10" spans="1:8" ht="15" customHeight="1" x14ac:dyDescent="0.35">
      <c r="A10" s="77">
        <v>45383</v>
      </c>
      <c r="B10" s="3" t="s">
        <v>61</v>
      </c>
      <c r="C10" s="4" t="s">
        <v>62</v>
      </c>
      <c r="D10" s="4" t="s">
        <v>314</v>
      </c>
      <c r="E10" s="4" t="s">
        <v>66</v>
      </c>
      <c r="F10" s="4" t="s">
        <v>214</v>
      </c>
      <c r="G10" s="4" t="s">
        <v>216</v>
      </c>
      <c r="H10" s="5">
        <f>VLOOKUP(C10,'TB Apr 24'!$B$13:$E$103,4,0)</f>
        <v>-120165.39</v>
      </c>
    </row>
    <row r="11" spans="1:8" ht="15" customHeight="1" x14ac:dyDescent="0.35">
      <c r="A11" s="77">
        <v>45383</v>
      </c>
      <c r="B11" s="3" t="s">
        <v>63</v>
      </c>
      <c r="C11" s="4" t="s">
        <v>64</v>
      </c>
      <c r="D11" s="4" t="s">
        <v>314</v>
      </c>
      <c r="E11" s="4" t="s">
        <v>252</v>
      </c>
      <c r="F11" s="4" t="s">
        <v>214</v>
      </c>
      <c r="G11" s="4" t="s">
        <v>216</v>
      </c>
      <c r="H11" s="5">
        <f>VLOOKUP(C11,'TB Apr 24'!$B$13:$E$103,4,0)</f>
        <v>0</v>
      </c>
    </row>
    <row r="12" spans="1:8" ht="15" customHeight="1" x14ac:dyDescent="0.35">
      <c r="A12" s="77">
        <v>45383</v>
      </c>
      <c r="B12" s="3" t="s">
        <v>65</v>
      </c>
      <c r="C12" s="4" t="s">
        <v>66</v>
      </c>
      <c r="D12" s="4" t="s">
        <v>314</v>
      </c>
      <c r="E12" s="4" t="s">
        <v>66</v>
      </c>
      <c r="F12" s="4" t="s">
        <v>214</v>
      </c>
      <c r="G12" s="4" t="s">
        <v>216</v>
      </c>
      <c r="H12" s="5">
        <f>VLOOKUP(C12,'TB Apr 24'!$B$13:$E$103,4,0)</f>
        <v>-828852.87</v>
      </c>
    </row>
    <row r="13" spans="1:8" ht="15" customHeight="1" x14ac:dyDescent="0.35">
      <c r="A13" s="77">
        <v>45383</v>
      </c>
      <c r="B13" s="3" t="s">
        <v>67</v>
      </c>
      <c r="C13" s="4" t="s">
        <v>68</v>
      </c>
      <c r="D13" s="4" t="s">
        <v>314</v>
      </c>
      <c r="E13" s="4" t="s">
        <v>252</v>
      </c>
      <c r="F13" s="4" t="s">
        <v>214</v>
      </c>
      <c r="G13" s="4" t="s">
        <v>216</v>
      </c>
      <c r="H13" s="5">
        <f>VLOOKUP(C13,'TB Apr 24'!$B$13:$E$103,4,0)</f>
        <v>-176597.09</v>
      </c>
    </row>
    <row r="14" spans="1:8" ht="15" customHeight="1" x14ac:dyDescent="0.35">
      <c r="A14" s="77">
        <v>45383</v>
      </c>
      <c r="B14" s="3" t="s">
        <v>69</v>
      </c>
      <c r="C14" s="4" t="s">
        <v>70</v>
      </c>
      <c r="D14" s="4" t="s">
        <v>314</v>
      </c>
      <c r="E14" s="4" t="s">
        <v>70</v>
      </c>
      <c r="F14" s="4" t="s">
        <v>214</v>
      </c>
      <c r="G14" s="4" t="s">
        <v>216</v>
      </c>
      <c r="H14" s="5">
        <f>VLOOKUP(C14,'TB Apr 24'!$B$13:$E$103,4,0)</f>
        <v>0</v>
      </c>
    </row>
    <row r="15" spans="1:8" ht="15" customHeight="1" x14ac:dyDescent="0.35">
      <c r="A15" s="77">
        <v>45383</v>
      </c>
      <c r="B15" s="3" t="s">
        <v>71</v>
      </c>
      <c r="C15" s="4" t="s">
        <v>72</v>
      </c>
      <c r="D15" s="4" t="s">
        <v>314</v>
      </c>
      <c r="E15" s="4" t="s">
        <v>253</v>
      </c>
      <c r="F15" s="4" t="s">
        <v>214</v>
      </c>
      <c r="G15" s="4" t="s">
        <v>216</v>
      </c>
      <c r="H15" s="5">
        <f>VLOOKUP(C15,'TB Apr 24'!$B$13:$E$103,4,0)</f>
        <v>0</v>
      </c>
    </row>
    <row r="16" spans="1:8" ht="15" customHeight="1" x14ac:dyDescent="0.35">
      <c r="A16" s="77">
        <v>45383</v>
      </c>
      <c r="B16" s="3" t="s">
        <v>73</v>
      </c>
      <c r="C16" s="4" t="s">
        <v>74</v>
      </c>
      <c r="D16" s="4" t="s">
        <v>314</v>
      </c>
      <c r="E16" s="4" t="s">
        <v>253</v>
      </c>
      <c r="F16" s="4" t="s">
        <v>214</v>
      </c>
      <c r="G16" s="4" t="s">
        <v>216</v>
      </c>
      <c r="H16" s="5">
        <f>VLOOKUP(C16,'TB Apr 24'!$B$13:$E$103,4,0)</f>
        <v>-5641.62</v>
      </c>
    </row>
    <row r="17" spans="1:8" ht="15" customHeight="1" x14ac:dyDescent="0.35">
      <c r="A17" s="77">
        <v>45383</v>
      </c>
      <c r="B17" s="3" t="s">
        <v>75</v>
      </c>
      <c r="C17" s="4" t="s">
        <v>76</v>
      </c>
      <c r="D17" s="4" t="s">
        <v>314</v>
      </c>
      <c r="E17" s="4" t="s">
        <v>253</v>
      </c>
      <c r="F17" s="4" t="s">
        <v>214</v>
      </c>
      <c r="G17" s="4" t="s">
        <v>216</v>
      </c>
      <c r="H17" s="5">
        <f>VLOOKUP(C17,'TB Apr 24'!$B$13:$E$103,4,0)</f>
        <v>0</v>
      </c>
    </row>
    <row r="18" spans="1:8" ht="15" customHeight="1" x14ac:dyDescent="0.35">
      <c r="A18" s="77">
        <v>45383</v>
      </c>
      <c r="B18" s="3" t="s">
        <v>77</v>
      </c>
      <c r="C18" s="4" t="s">
        <v>78</v>
      </c>
      <c r="D18" s="4" t="s">
        <v>314</v>
      </c>
      <c r="E18" s="4" t="s">
        <v>253</v>
      </c>
      <c r="F18" s="4" t="s">
        <v>214</v>
      </c>
      <c r="G18" s="4" t="s">
        <v>216</v>
      </c>
      <c r="H18" s="5">
        <f>VLOOKUP(C18,'TB Apr 24'!$B$13:$E$103,4,0)</f>
        <v>-22754.55</v>
      </c>
    </row>
    <row r="19" spans="1:8" ht="15" customHeight="1" x14ac:dyDescent="0.35">
      <c r="A19" s="77">
        <v>45383</v>
      </c>
      <c r="B19" s="3" t="s">
        <v>79</v>
      </c>
      <c r="C19" s="4" t="s">
        <v>80</v>
      </c>
      <c r="D19" s="4" t="s">
        <v>314</v>
      </c>
      <c r="E19" s="4" t="s">
        <v>253</v>
      </c>
      <c r="F19" s="4" t="s">
        <v>214</v>
      </c>
      <c r="G19" s="4" t="s">
        <v>216</v>
      </c>
      <c r="H19" s="5">
        <f>VLOOKUP(C19,'TB Apr 24'!$B$13:$E$103,4,0)</f>
        <v>0</v>
      </c>
    </row>
    <row r="20" spans="1:8" ht="15" customHeight="1" x14ac:dyDescent="0.35">
      <c r="A20" s="77">
        <v>45383</v>
      </c>
      <c r="B20" s="3" t="s">
        <v>81</v>
      </c>
      <c r="C20" s="4" t="s">
        <v>82</v>
      </c>
      <c r="D20" s="4" t="s">
        <v>314</v>
      </c>
      <c r="E20" s="4" t="s">
        <v>319</v>
      </c>
      <c r="F20" s="4" t="s">
        <v>214</v>
      </c>
      <c r="G20" s="4" t="s">
        <v>216</v>
      </c>
      <c r="H20" s="5">
        <f>VLOOKUP(C20,'TB Apr 24'!$B$13:$E$103,4,0)</f>
        <v>0</v>
      </c>
    </row>
    <row r="21" spans="1:8" ht="15" customHeight="1" x14ac:dyDescent="0.35">
      <c r="A21" s="77">
        <v>45383</v>
      </c>
      <c r="B21" s="3" t="s">
        <v>83</v>
      </c>
      <c r="C21" s="4" t="s">
        <v>84</v>
      </c>
      <c r="D21" s="4" t="s">
        <v>314</v>
      </c>
      <c r="E21" s="4" t="s">
        <v>319</v>
      </c>
      <c r="F21" s="4" t="s">
        <v>214</v>
      </c>
      <c r="G21" s="4" t="s">
        <v>216</v>
      </c>
      <c r="H21" s="5">
        <f>VLOOKUP(C21,'TB Apr 24'!$B$13:$E$103,4,0)</f>
        <v>0</v>
      </c>
    </row>
    <row r="22" spans="1:8" ht="15" customHeight="1" x14ac:dyDescent="0.35">
      <c r="A22" s="77">
        <v>45383</v>
      </c>
      <c r="B22" s="3" t="s">
        <v>85</v>
      </c>
      <c r="C22" s="4" t="s">
        <v>86</v>
      </c>
      <c r="D22" s="4" t="s">
        <v>314</v>
      </c>
      <c r="E22" s="4" t="s">
        <v>291</v>
      </c>
      <c r="F22" s="4" t="s">
        <v>214</v>
      </c>
      <c r="G22" s="4" t="s">
        <v>216</v>
      </c>
      <c r="H22" s="5">
        <f>VLOOKUP(C22,'TB Apr 24'!$B$13:$E$103,4,0)</f>
        <v>0</v>
      </c>
    </row>
    <row r="23" spans="1:8" ht="15" customHeight="1" x14ac:dyDescent="0.35">
      <c r="A23" s="77">
        <v>45383</v>
      </c>
      <c r="B23" s="3" t="s">
        <v>88</v>
      </c>
      <c r="C23" s="4" t="s">
        <v>89</v>
      </c>
      <c r="D23" s="4" t="s">
        <v>314</v>
      </c>
      <c r="E23" s="4" t="s">
        <v>300</v>
      </c>
      <c r="F23" s="4" t="s">
        <v>214</v>
      </c>
      <c r="G23" s="4" t="s">
        <v>216</v>
      </c>
      <c r="H23" s="5">
        <f>VLOOKUP(C23,'TB Apr 24'!$B$13:$E$103,4,0)</f>
        <v>52394</v>
      </c>
    </row>
    <row r="24" spans="1:8" ht="15" customHeight="1" x14ac:dyDescent="0.35">
      <c r="A24" s="77">
        <v>45383</v>
      </c>
      <c r="B24" s="3" t="s">
        <v>90</v>
      </c>
      <c r="C24" s="4" t="s">
        <v>91</v>
      </c>
      <c r="D24" s="4" t="s">
        <v>314</v>
      </c>
      <c r="E24" s="4" t="s">
        <v>300</v>
      </c>
      <c r="F24" s="4" t="s">
        <v>214</v>
      </c>
      <c r="G24" s="4" t="s">
        <v>216</v>
      </c>
      <c r="H24" s="5">
        <f>VLOOKUP(C24,'TB Apr 24'!$B$13:$E$103,4,0)</f>
        <v>9925</v>
      </c>
    </row>
    <row r="25" spans="1:8" ht="15" customHeight="1" x14ac:dyDescent="0.35">
      <c r="A25" s="77">
        <v>45383</v>
      </c>
      <c r="B25" s="3" t="s">
        <v>92</v>
      </c>
      <c r="C25" s="4" t="s">
        <v>93</v>
      </c>
      <c r="D25" s="4" t="s">
        <v>314</v>
      </c>
      <c r="E25" s="4" t="s">
        <v>300</v>
      </c>
      <c r="F25" s="4" t="s">
        <v>214</v>
      </c>
      <c r="G25" s="4" t="s">
        <v>216</v>
      </c>
      <c r="H25" s="5">
        <f>VLOOKUP(C25,'TB Apr 24'!$B$13:$E$103,4,0)</f>
        <v>0</v>
      </c>
    </row>
    <row r="26" spans="1:8" ht="15" customHeight="1" x14ac:dyDescent="0.35">
      <c r="A26" s="77">
        <v>45383</v>
      </c>
      <c r="B26" s="3" t="s">
        <v>94</v>
      </c>
      <c r="C26" s="4" t="s">
        <v>95</v>
      </c>
      <c r="D26" s="4" t="s">
        <v>314</v>
      </c>
      <c r="E26" s="4" t="s">
        <v>289</v>
      </c>
      <c r="F26" s="4" t="s">
        <v>214</v>
      </c>
      <c r="G26" s="4" t="s">
        <v>216</v>
      </c>
      <c r="H26" s="5">
        <f>VLOOKUP(C26,'TB Apr 24'!$B$13:$E$103,4,0)</f>
        <v>447364.5</v>
      </c>
    </row>
    <row r="27" spans="1:8" ht="15" customHeight="1" x14ac:dyDescent="0.35">
      <c r="A27" s="77">
        <v>45383</v>
      </c>
      <c r="B27" s="3" t="s">
        <v>96</v>
      </c>
      <c r="C27" s="4" t="s">
        <v>97</v>
      </c>
      <c r="D27" s="4" t="s">
        <v>314</v>
      </c>
      <c r="E27" s="4" t="s">
        <v>289</v>
      </c>
      <c r="F27" s="4" t="s">
        <v>214</v>
      </c>
      <c r="G27" s="4" t="s">
        <v>216</v>
      </c>
      <c r="H27" s="5">
        <f>VLOOKUP(C27,'TB Apr 24'!$B$13:$E$103,4,0)</f>
        <v>0</v>
      </c>
    </row>
    <row r="28" spans="1:8" ht="15" customHeight="1" x14ac:dyDescent="0.35">
      <c r="A28" s="77">
        <v>45383</v>
      </c>
      <c r="B28" s="3" t="s">
        <v>309</v>
      </c>
      <c r="C28" s="4" t="s">
        <v>310</v>
      </c>
      <c r="D28" s="4" t="s">
        <v>314</v>
      </c>
      <c r="E28" s="4" t="s">
        <v>289</v>
      </c>
      <c r="F28" s="4" t="s">
        <v>214</v>
      </c>
      <c r="G28" s="4" t="s">
        <v>216</v>
      </c>
      <c r="H28" s="5">
        <f>VLOOKUP(C28,'TB Apr 24'!$B$13:$E$103,4,0)</f>
        <v>0</v>
      </c>
    </row>
    <row r="29" spans="1:8" ht="15" customHeight="1" x14ac:dyDescent="0.35">
      <c r="A29" s="77">
        <v>45383</v>
      </c>
      <c r="B29" s="3" t="s">
        <v>98</v>
      </c>
      <c r="C29" s="4" t="s">
        <v>99</v>
      </c>
      <c r="D29" s="4" t="s">
        <v>314</v>
      </c>
      <c r="E29" s="4" t="s">
        <v>289</v>
      </c>
      <c r="F29" s="4" t="s">
        <v>214</v>
      </c>
      <c r="G29" s="4" t="s">
        <v>216</v>
      </c>
      <c r="H29" s="5">
        <f>VLOOKUP(C29,'TB Apr 24'!$B$13:$E$103,4,0)</f>
        <v>0</v>
      </c>
    </row>
    <row r="30" spans="1:8" ht="15" customHeight="1" x14ac:dyDescent="0.35">
      <c r="A30" s="77">
        <v>45383</v>
      </c>
      <c r="B30" s="3" t="s">
        <v>100</v>
      </c>
      <c r="C30" s="4" t="s">
        <v>101</v>
      </c>
      <c r="D30" s="4" t="s">
        <v>314</v>
      </c>
      <c r="E30" s="4" t="s">
        <v>291</v>
      </c>
      <c r="F30" s="4" t="s">
        <v>214</v>
      </c>
      <c r="G30" s="4" t="s">
        <v>216</v>
      </c>
      <c r="H30" s="5">
        <f>VLOOKUP(C30,'TB Apr 24'!$B$13:$E$103,4,0)</f>
        <v>0</v>
      </c>
    </row>
    <row r="31" spans="1:8" ht="15" customHeight="1" x14ac:dyDescent="0.35">
      <c r="A31" s="77">
        <v>45383</v>
      </c>
      <c r="B31" s="3" t="s">
        <v>102</v>
      </c>
      <c r="C31" s="4" t="s">
        <v>103</v>
      </c>
      <c r="D31" s="4" t="s">
        <v>314</v>
      </c>
      <c r="E31" s="4" t="s">
        <v>291</v>
      </c>
      <c r="F31" s="4" t="s">
        <v>214</v>
      </c>
      <c r="G31" s="4" t="s">
        <v>216</v>
      </c>
      <c r="H31" s="5">
        <f>VLOOKUP(C31,'TB Apr 24'!$B$13:$E$103,4,0)</f>
        <v>0</v>
      </c>
    </row>
    <row r="32" spans="1:8" ht="15" customHeight="1" x14ac:dyDescent="0.35">
      <c r="A32" s="77">
        <v>45383</v>
      </c>
      <c r="B32" s="3" t="s">
        <v>104</v>
      </c>
      <c r="C32" s="4" t="s">
        <v>105</v>
      </c>
      <c r="D32" s="4" t="s">
        <v>314</v>
      </c>
      <c r="E32" s="4" t="s">
        <v>291</v>
      </c>
      <c r="F32" s="4" t="s">
        <v>214</v>
      </c>
      <c r="G32" s="4" t="s">
        <v>216</v>
      </c>
      <c r="H32" s="5">
        <f>VLOOKUP(C32,'TB Apr 24'!$B$13:$E$103,4,0)</f>
        <v>0</v>
      </c>
    </row>
    <row r="33" spans="1:8" ht="15" customHeight="1" x14ac:dyDescent="0.35">
      <c r="A33" s="77">
        <v>45383</v>
      </c>
      <c r="B33" s="3" t="s">
        <v>106</v>
      </c>
      <c r="C33" s="4" t="s">
        <v>107</v>
      </c>
      <c r="D33" s="4" t="s">
        <v>314</v>
      </c>
      <c r="E33" s="4" t="s">
        <v>321</v>
      </c>
      <c r="F33" s="4" t="s">
        <v>214</v>
      </c>
      <c r="G33" s="4" t="s">
        <v>216</v>
      </c>
      <c r="H33" s="5">
        <f>VLOOKUP(C33,'TB Apr 24'!$B$13:$E$103,4,0)</f>
        <v>0</v>
      </c>
    </row>
    <row r="34" spans="1:8" ht="15" customHeight="1" x14ac:dyDescent="0.35">
      <c r="A34" s="77">
        <v>45383</v>
      </c>
      <c r="B34" s="3" t="s">
        <v>108</v>
      </c>
      <c r="C34" s="4" t="s">
        <v>109</v>
      </c>
      <c r="D34" s="4" t="s">
        <v>314</v>
      </c>
      <c r="E34" s="4" t="s">
        <v>321</v>
      </c>
      <c r="F34" s="4" t="s">
        <v>214</v>
      </c>
      <c r="G34" s="4" t="s">
        <v>216</v>
      </c>
      <c r="H34" s="5">
        <f>VLOOKUP(C34,'TB Apr 24'!$B$13:$E$103,4,0)</f>
        <v>0</v>
      </c>
    </row>
    <row r="35" spans="1:8" ht="15" customHeight="1" x14ac:dyDescent="0.35">
      <c r="A35" s="77">
        <v>45383</v>
      </c>
      <c r="B35" s="3" t="s">
        <v>110</v>
      </c>
      <c r="C35" s="4" t="s">
        <v>111</v>
      </c>
      <c r="D35" s="4" t="s">
        <v>314</v>
      </c>
      <c r="E35" s="4" t="s">
        <v>320</v>
      </c>
      <c r="F35" s="4" t="s">
        <v>214</v>
      </c>
      <c r="G35" s="4" t="s">
        <v>216</v>
      </c>
      <c r="H35" s="5">
        <f>VLOOKUP(C35,'TB Apr 24'!$B$13:$E$103,4,0)</f>
        <v>0</v>
      </c>
    </row>
    <row r="36" spans="1:8" ht="15" customHeight="1" x14ac:dyDescent="0.35">
      <c r="A36" s="77">
        <v>45383</v>
      </c>
      <c r="B36" s="3" t="s">
        <v>112</v>
      </c>
      <c r="C36" s="4" t="s">
        <v>113</v>
      </c>
      <c r="D36" s="4" t="s">
        <v>314</v>
      </c>
      <c r="E36" s="4" t="s">
        <v>321</v>
      </c>
      <c r="F36" s="4" t="s">
        <v>214</v>
      </c>
      <c r="G36" s="4" t="s">
        <v>216</v>
      </c>
      <c r="H36" s="5">
        <f>VLOOKUP(C36,'TB Apr 24'!$B$13:$E$103,4,0)</f>
        <v>2958</v>
      </c>
    </row>
    <row r="37" spans="1:8" ht="15" customHeight="1" x14ac:dyDescent="0.35">
      <c r="A37" s="77">
        <v>45383</v>
      </c>
      <c r="B37" s="3" t="s">
        <v>311</v>
      </c>
      <c r="C37" s="4" t="s">
        <v>312</v>
      </c>
      <c r="D37" s="4" t="s">
        <v>314</v>
      </c>
      <c r="E37" s="4" t="s">
        <v>288</v>
      </c>
      <c r="F37" s="4" t="s">
        <v>214</v>
      </c>
      <c r="G37" s="4" t="s">
        <v>216</v>
      </c>
      <c r="H37" s="5">
        <f>VLOOKUP(C37,'TB Apr 24'!$B$13:$E$103,4,0)</f>
        <v>0</v>
      </c>
    </row>
    <row r="38" spans="1:8" ht="15" customHeight="1" x14ac:dyDescent="0.35">
      <c r="A38" s="77">
        <v>45383</v>
      </c>
      <c r="B38" s="3" t="s">
        <v>114</v>
      </c>
      <c r="C38" s="4" t="s">
        <v>115</v>
      </c>
      <c r="D38" s="4" t="s">
        <v>314</v>
      </c>
      <c r="E38" s="4" t="s">
        <v>294</v>
      </c>
      <c r="F38" s="4" t="s">
        <v>214</v>
      </c>
      <c r="G38" s="4" t="s">
        <v>216</v>
      </c>
      <c r="H38" s="5">
        <f>VLOOKUP(C38,'TB Apr 24'!$B$13:$E$103,4,0)</f>
        <v>0</v>
      </c>
    </row>
    <row r="39" spans="1:8" ht="15" customHeight="1" x14ac:dyDescent="0.35">
      <c r="A39" s="77">
        <v>45383</v>
      </c>
      <c r="B39" s="3" t="s">
        <v>116</v>
      </c>
      <c r="C39" s="4" t="s">
        <v>117</v>
      </c>
      <c r="D39" s="4" t="s">
        <v>314</v>
      </c>
      <c r="E39" s="4" t="s">
        <v>296</v>
      </c>
      <c r="F39" s="4" t="s">
        <v>214</v>
      </c>
      <c r="G39" s="4" t="s">
        <v>216</v>
      </c>
      <c r="H39" s="5">
        <f>VLOOKUP(C39,'TB Apr 24'!$B$13:$E$103,4,0)</f>
        <v>0</v>
      </c>
    </row>
    <row r="40" spans="1:8" ht="15" customHeight="1" x14ac:dyDescent="0.35">
      <c r="A40" s="77">
        <v>45383</v>
      </c>
      <c r="B40" s="3" t="s">
        <v>118</v>
      </c>
      <c r="C40" s="4" t="s">
        <v>119</v>
      </c>
      <c r="D40" s="4" t="s">
        <v>314</v>
      </c>
      <c r="E40" s="4" t="s">
        <v>296</v>
      </c>
      <c r="F40" s="4" t="s">
        <v>214</v>
      </c>
      <c r="G40" s="4" t="s">
        <v>216</v>
      </c>
      <c r="H40" s="5">
        <f>VLOOKUP(C40,'TB Apr 24'!$B$13:$E$103,4,0)</f>
        <v>0</v>
      </c>
    </row>
    <row r="41" spans="1:8" ht="15" customHeight="1" x14ac:dyDescent="0.35">
      <c r="A41" s="77">
        <v>45383</v>
      </c>
      <c r="B41" s="3" t="s">
        <v>120</v>
      </c>
      <c r="C41" s="4" t="s">
        <v>121</v>
      </c>
      <c r="D41" s="4" t="s">
        <v>314</v>
      </c>
      <c r="E41" s="4" t="s">
        <v>322</v>
      </c>
      <c r="F41" s="4" t="s">
        <v>214</v>
      </c>
      <c r="G41" s="4" t="s">
        <v>216</v>
      </c>
      <c r="H41" s="5">
        <f>VLOOKUP(C41,'TB Apr 24'!$B$13:$E$103,4,0)</f>
        <v>929</v>
      </c>
    </row>
    <row r="42" spans="1:8" ht="15" customHeight="1" x14ac:dyDescent="0.35">
      <c r="A42" s="77">
        <v>45383</v>
      </c>
      <c r="B42" s="3" t="s">
        <v>122</v>
      </c>
      <c r="C42" s="4" t="s">
        <v>123</v>
      </c>
      <c r="D42" s="4" t="s">
        <v>314</v>
      </c>
      <c r="E42" s="4" t="s">
        <v>322</v>
      </c>
      <c r="F42" s="4" t="s">
        <v>214</v>
      </c>
      <c r="G42" s="4" t="s">
        <v>216</v>
      </c>
      <c r="H42" s="5">
        <f>VLOOKUP(C42,'TB Apr 24'!$B$13:$E$103,4,0)</f>
        <v>6143</v>
      </c>
    </row>
    <row r="43" spans="1:8" ht="15" customHeight="1" x14ac:dyDescent="0.35">
      <c r="A43" s="77">
        <v>45383</v>
      </c>
      <c r="B43" s="3" t="s">
        <v>124</v>
      </c>
      <c r="C43" s="4" t="s">
        <v>125</v>
      </c>
      <c r="D43" s="4" t="s">
        <v>314</v>
      </c>
      <c r="E43" s="4" t="s">
        <v>322</v>
      </c>
      <c r="F43" s="4" t="s">
        <v>214</v>
      </c>
      <c r="G43" s="4" t="s">
        <v>216</v>
      </c>
      <c r="H43" s="5">
        <f>VLOOKUP(C43,'TB Apr 24'!$B$13:$E$103,4,0)</f>
        <v>3931</v>
      </c>
    </row>
    <row r="44" spans="1:8" ht="15" customHeight="1" x14ac:dyDescent="0.35">
      <c r="A44" s="77">
        <v>45383</v>
      </c>
      <c r="B44" s="3" t="s">
        <v>126</v>
      </c>
      <c r="C44" s="4" t="s">
        <v>127</v>
      </c>
      <c r="D44" s="4" t="s">
        <v>314</v>
      </c>
      <c r="E44" s="4" t="s">
        <v>291</v>
      </c>
      <c r="F44" s="4" t="s">
        <v>214</v>
      </c>
      <c r="G44" s="4" t="s">
        <v>216</v>
      </c>
      <c r="H44" s="5">
        <f>VLOOKUP(C44,'TB Apr 24'!$B$13:$E$103,4,0)</f>
        <v>0</v>
      </c>
    </row>
    <row r="45" spans="1:8" ht="15" customHeight="1" x14ac:dyDescent="0.35">
      <c r="A45" s="77">
        <v>45383</v>
      </c>
      <c r="B45" s="3" t="s">
        <v>128</v>
      </c>
      <c r="C45" s="4" t="s">
        <v>129</v>
      </c>
      <c r="D45" s="4" t="s">
        <v>314</v>
      </c>
      <c r="E45" s="4" t="s">
        <v>322</v>
      </c>
      <c r="F45" s="4" t="s">
        <v>214</v>
      </c>
      <c r="G45" s="4" t="s">
        <v>216</v>
      </c>
      <c r="H45" s="5">
        <f>VLOOKUP(C45,'TB Apr 24'!$B$13:$E$103,4,0)</f>
        <v>3848</v>
      </c>
    </row>
    <row r="46" spans="1:8" ht="15" customHeight="1" x14ac:dyDescent="0.35">
      <c r="A46" s="77">
        <v>45383</v>
      </c>
      <c r="B46" s="3" t="s">
        <v>130</v>
      </c>
      <c r="C46" s="4" t="s">
        <v>131</v>
      </c>
      <c r="D46" s="4" t="s">
        <v>314</v>
      </c>
      <c r="E46" s="4" t="s">
        <v>322</v>
      </c>
      <c r="F46" s="4" t="s">
        <v>214</v>
      </c>
      <c r="G46" s="4" t="s">
        <v>216</v>
      </c>
      <c r="H46" s="5">
        <f>VLOOKUP(C46,'TB Apr 24'!$B$13:$E$103,4,0)</f>
        <v>0</v>
      </c>
    </row>
    <row r="47" spans="1:8" ht="15" customHeight="1" x14ac:dyDescent="0.35">
      <c r="A47" s="77">
        <v>45383</v>
      </c>
      <c r="B47" s="3" t="s">
        <v>132</v>
      </c>
      <c r="C47" s="4" t="s">
        <v>133</v>
      </c>
      <c r="D47" s="4" t="s">
        <v>314</v>
      </c>
      <c r="E47" s="4" t="s">
        <v>320</v>
      </c>
      <c r="F47" s="4" t="s">
        <v>214</v>
      </c>
      <c r="G47" s="4" t="s">
        <v>216</v>
      </c>
      <c r="H47" s="5">
        <f>VLOOKUP(C47,'TB Apr 24'!$B$13:$E$103,4,0)</f>
        <v>1800</v>
      </c>
    </row>
    <row r="48" spans="1:8" ht="15" customHeight="1" x14ac:dyDescent="0.35">
      <c r="A48" s="77">
        <v>45383</v>
      </c>
      <c r="B48" s="3" t="s">
        <v>134</v>
      </c>
      <c r="C48" s="4" t="s">
        <v>135</v>
      </c>
      <c r="D48" s="4" t="s">
        <v>314</v>
      </c>
      <c r="E48" s="4" t="s">
        <v>299</v>
      </c>
      <c r="F48" s="4" t="s">
        <v>214</v>
      </c>
      <c r="G48" s="4" t="s">
        <v>216</v>
      </c>
      <c r="H48" s="5">
        <f>VLOOKUP(C48,'TB Apr 24'!$B$13:$E$103,4,0)</f>
        <v>0</v>
      </c>
    </row>
    <row r="49" spans="1:8" ht="15" customHeight="1" x14ac:dyDescent="0.35">
      <c r="A49" s="77">
        <v>45383</v>
      </c>
      <c r="B49" s="3" t="s">
        <v>136</v>
      </c>
      <c r="C49" s="4" t="s">
        <v>137</v>
      </c>
      <c r="D49" s="4" t="s">
        <v>314</v>
      </c>
      <c r="E49" s="4" t="s">
        <v>322</v>
      </c>
      <c r="F49" s="4" t="s">
        <v>214</v>
      </c>
      <c r="G49" s="4" t="s">
        <v>216</v>
      </c>
      <c r="H49" s="5">
        <f>VLOOKUP(C49,'TB Apr 24'!$B$13:$E$103,4,0)</f>
        <v>0</v>
      </c>
    </row>
    <row r="50" spans="1:8" ht="15" customHeight="1" x14ac:dyDescent="0.35">
      <c r="A50" s="77">
        <v>45383</v>
      </c>
      <c r="B50" s="3" t="s">
        <v>138</v>
      </c>
      <c r="C50" s="4" t="s">
        <v>139</v>
      </c>
      <c r="D50" s="4" t="s">
        <v>314</v>
      </c>
      <c r="E50" s="4" t="s">
        <v>294</v>
      </c>
      <c r="F50" s="4" t="s">
        <v>214</v>
      </c>
      <c r="G50" s="4" t="s">
        <v>216</v>
      </c>
      <c r="H50" s="5">
        <f>VLOOKUP(C50,'TB Apr 24'!$B$13:$E$103,4,0)</f>
        <v>2288</v>
      </c>
    </row>
    <row r="51" spans="1:8" ht="15" customHeight="1" x14ac:dyDescent="0.35">
      <c r="A51" s="77">
        <v>45383</v>
      </c>
      <c r="B51" s="3" t="s">
        <v>140</v>
      </c>
      <c r="C51" s="4" t="s">
        <v>141</v>
      </c>
      <c r="D51" s="4" t="s">
        <v>314</v>
      </c>
      <c r="E51" s="4" t="s">
        <v>268</v>
      </c>
      <c r="F51" s="4" t="s">
        <v>214</v>
      </c>
      <c r="G51" s="4" t="s">
        <v>216</v>
      </c>
      <c r="H51" s="5">
        <f>VLOOKUP(C51,'TB Apr 24'!$B$13:$E$103,4,0)</f>
        <v>126941.62360000001</v>
      </c>
    </row>
    <row r="52" spans="1:8" ht="15" customHeight="1" x14ac:dyDescent="0.35">
      <c r="A52" s="77">
        <v>45383</v>
      </c>
      <c r="B52" s="3" t="s">
        <v>142</v>
      </c>
      <c r="C52" s="4" t="s">
        <v>143</v>
      </c>
      <c r="D52" s="4" t="s">
        <v>314</v>
      </c>
      <c r="E52" s="4" t="s">
        <v>269</v>
      </c>
      <c r="F52" s="4" t="s">
        <v>214</v>
      </c>
      <c r="G52" s="4" t="s">
        <v>216</v>
      </c>
      <c r="H52" s="5">
        <f>VLOOKUP(C52,'TB Apr 24'!$B$13:$E$103,4,0)</f>
        <v>84876</v>
      </c>
    </row>
    <row r="53" spans="1:8" ht="15" customHeight="1" x14ac:dyDescent="0.35">
      <c r="A53" s="77">
        <v>45383</v>
      </c>
      <c r="B53" s="3" t="s">
        <v>144</v>
      </c>
      <c r="C53" s="4" t="s">
        <v>145</v>
      </c>
      <c r="D53" s="4" t="s">
        <v>314</v>
      </c>
      <c r="E53" s="4" t="s">
        <v>288</v>
      </c>
      <c r="F53" s="4" t="s">
        <v>214</v>
      </c>
      <c r="G53" s="4" t="s">
        <v>216</v>
      </c>
      <c r="H53" s="5">
        <f>VLOOKUP(C53,'TB Apr 24'!$B$13:$E$103,4,0)</f>
        <v>42332</v>
      </c>
    </row>
    <row r="54" spans="1:8" ht="15" customHeight="1" x14ac:dyDescent="0.35">
      <c r="A54" s="77">
        <v>45383</v>
      </c>
      <c r="B54" s="3" t="s">
        <v>146</v>
      </c>
      <c r="C54" s="4" t="s">
        <v>147</v>
      </c>
      <c r="D54" s="4" t="s">
        <v>314</v>
      </c>
      <c r="E54" s="4" t="s">
        <v>288</v>
      </c>
      <c r="F54" s="4" t="s">
        <v>214</v>
      </c>
      <c r="G54" s="4" t="s">
        <v>216</v>
      </c>
      <c r="H54" s="5">
        <f>VLOOKUP(C54,'TB Apr 24'!$B$13:$E$103,4,0)</f>
        <v>15273.1</v>
      </c>
    </row>
    <row r="55" spans="1:8" ht="15" customHeight="1" x14ac:dyDescent="0.35">
      <c r="A55" s="77">
        <v>45383</v>
      </c>
      <c r="B55" s="3" t="s">
        <v>148</v>
      </c>
      <c r="C55" s="4" t="s">
        <v>149</v>
      </c>
      <c r="D55" s="4" t="s">
        <v>314</v>
      </c>
      <c r="E55" s="4" t="s">
        <v>287</v>
      </c>
      <c r="F55" s="4" t="s">
        <v>214</v>
      </c>
      <c r="G55" s="4" t="s">
        <v>216</v>
      </c>
      <c r="H55" s="5">
        <f>VLOOKUP(C55,'TB Apr 24'!$B$13:$E$103,4,0)</f>
        <v>74235</v>
      </c>
    </row>
    <row r="56" spans="1:8" ht="15" customHeight="1" x14ac:dyDescent="0.35">
      <c r="A56" s="77">
        <v>45383</v>
      </c>
      <c r="B56" s="3" t="s">
        <v>150</v>
      </c>
      <c r="C56" s="4" t="s">
        <v>87</v>
      </c>
      <c r="D56" s="4" t="s">
        <v>314</v>
      </c>
      <c r="E56" s="4" t="s">
        <v>288</v>
      </c>
      <c r="F56" s="4" t="s">
        <v>214</v>
      </c>
      <c r="G56" s="4" t="s">
        <v>216</v>
      </c>
      <c r="H56" s="5">
        <f>VLOOKUP(C56,'TB Apr 24'!$B$13:$E$103,4,0)</f>
        <v>0</v>
      </c>
    </row>
    <row r="57" spans="1:8" ht="15" customHeight="1" x14ac:dyDescent="0.35">
      <c r="A57" s="77">
        <v>45383</v>
      </c>
      <c r="B57" s="3" t="s">
        <v>151</v>
      </c>
      <c r="C57" s="4" t="s">
        <v>152</v>
      </c>
      <c r="D57" s="4" t="s">
        <v>314</v>
      </c>
      <c r="E57" s="4" t="s">
        <v>288</v>
      </c>
      <c r="F57" s="4" t="s">
        <v>214</v>
      </c>
      <c r="G57" s="4" t="s">
        <v>216</v>
      </c>
      <c r="H57" s="5">
        <f>VLOOKUP(C57,'TB Apr 24'!$B$13:$E$103,4,0)</f>
        <v>0</v>
      </c>
    </row>
    <row r="58" spans="1:8" ht="15" customHeight="1" x14ac:dyDescent="0.35">
      <c r="A58" s="77">
        <v>45383</v>
      </c>
      <c r="B58" s="3" t="s">
        <v>153</v>
      </c>
      <c r="C58" s="4" t="s">
        <v>154</v>
      </c>
      <c r="D58" s="4" t="s">
        <v>314</v>
      </c>
      <c r="E58" s="4" t="s">
        <v>288</v>
      </c>
      <c r="F58" s="4" t="s">
        <v>214</v>
      </c>
      <c r="G58" s="4" t="s">
        <v>216</v>
      </c>
      <c r="H58" s="5">
        <f>VLOOKUP(C58,'TB Apr 24'!$B$13:$E$103,4,0)</f>
        <v>4138</v>
      </c>
    </row>
    <row r="59" spans="1:8" ht="15" customHeight="1" x14ac:dyDescent="0.35">
      <c r="A59" s="77">
        <v>45383</v>
      </c>
      <c r="B59" s="3" t="s">
        <v>155</v>
      </c>
      <c r="C59" s="4" t="s">
        <v>156</v>
      </c>
      <c r="D59" s="4" t="s">
        <v>314</v>
      </c>
      <c r="E59" s="4" t="s">
        <v>288</v>
      </c>
      <c r="F59" s="4" t="s">
        <v>214</v>
      </c>
      <c r="G59" s="4" t="s">
        <v>216</v>
      </c>
      <c r="H59" s="5">
        <f>VLOOKUP(C59,'TB Apr 24'!$B$13:$E$103,4,0)</f>
        <v>0</v>
      </c>
    </row>
    <row r="60" spans="1:8" ht="15" customHeight="1" x14ac:dyDescent="0.35">
      <c r="A60" s="77">
        <v>45383</v>
      </c>
      <c r="B60" s="3" t="s">
        <v>157</v>
      </c>
      <c r="C60" s="4" t="s">
        <v>158</v>
      </c>
      <c r="D60" s="4" t="s">
        <v>314</v>
      </c>
      <c r="E60" s="4" t="s">
        <v>292</v>
      </c>
      <c r="F60" s="4" t="s">
        <v>214</v>
      </c>
      <c r="G60" s="4" t="s">
        <v>216</v>
      </c>
      <c r="H60" s="5">
        <f>VLOOKUP(C60,'TB Apr 24'!$B$13:$E$103,4,0)</f>
        <v>0</v>
      </c>
    </row>
    <row r="61" spans="1:8" ht="15" customHeight="1" x14ac:dyDescent="0.35">
      <c r="A61" s="77">
        <v>45383</v>
      </c>
      <c r="B61" s="3" t="s">
        <v>159</v>
      </c>
      <c r="C61" s="4" t="s">
        <v>160</v>
      </c>
      <c r="D61" s="4" t="s">
        <v>314</v>
      </c>
      <c r="E61" s="4" t="s">
        <v>323</v>
      </c>
      <c r="F61" s="4" t="s">
        <v>214</v>
      </c>
      <c r="G61" s="4" t="s">
        <v>216</v>
      </c>
      <c r="H61" s="5">
        <f>VLOOKUP(C61,'TB Apr 24'!$B$13:$E$103,4,0)</f>
        <v>2761</v>
      </c>
    </row>
    <row r="62" spans="1:8" ht="15" customHeight="1" x14ac:dyDescent="0.35">
      <c r="A62" s="77">
        <v>45383</v>
      </c>
      <c r="B62" s="3" t="s">
        <v>161</v>
      </c>
      <c r="C62" s="4" t="s">
        <v>162</v>
      </c>
      <c r="D62" s="4" t="s">
        <v>314</v>
      </c>
      <c r="E62" s="4" t="s">
        <v>323</v>
      </c>
      <c r="F62" s="4" t="s">
        <v>214</v>
      </c>
      <c r="G62" s="4" t="s">
        <v>216</v>
      </c>
      <c r="H62" s="5">
        <f>VLOOKUP(C62,'TB Apr 24'!$B$13:$E$103,4,0)</f>
        <v>0</v>
      </c>
    </row>
    <row r="63" spans="1:8" ht="15" customHeight="1" x14ac:dyDescent="0.35">
      <c r="A63" s="77">
        <v>45383</v>
      </c>
      <c r="B63" s="3" t="s">
        <v>163</v>
      </c>
      <c r="C63" s="4" t="s">
        <v>164</v>
      </c>
      <c r="D63" s="4" t="s">
        <v>314</v>
      </c>
      <c r="E63" s="4" t="s">
        <v>319</v>
      </c>
      <c r="F63" s="4" t="s">
        <v>214</v>
      </c>
      <c r="G63" s="4" t="s">
        <v>216</v>
      </c>
      <c r="H63" s="5">
        <f>VLOOKUP(C63,'TB Apr 24'!$B$13:$E$103,4,0)</f>
        <v>0</v>
      </c>
    </row>
    <row r="64" spans="1:8" ht="15" customHeight="1" x14ac:dyDescent="0.35">
      <c r="A64" s="77">
        <v>45383</v>
      </c>
      <c r="B64" s="3" t="s">
        <v>165</v>
      </c>
      <c r="C64" s="4" t="s">
        <v>166</v>
      </c>
      <c r="D64" s="4" t="s">
        <v>314</v>
      </c>
      <c r="E64" s="4" t="s">
        <v>304</v>
      </c>
      <c r="F64" s="4" t="s">
        <v>214</v>
      </c>
      <c r="G64" s="4" t="s">
        <v>216</v>
      </c>
      <c r="H64" s="5">
        <f>VLOOKUP(C64,'TB Apr 24'!$B$13:$E$103,4,0)</f>
        <v>31267</v>
      </c>
    </row>
    <row r="65" spans="1:8" ht="15" customHeight="1" x14ac:dyDescent="0.35">
      <c r="A65" s="77">
        <v>45383</v>
      </c>
      <c r="B65" s="3" t="s">
        <v>167</v>
      </c>
      <c r="C65" s="4" t="s">
        <v>168</v>
      </c>
      <c r="D65" s="4" t="s">
        <v>314</v>
      </c>
      <c r="E65" s="4" t="s">
        <v>322</v>
      </c>
      <c r="F65" s="4" t="s">
        <v>214</v>
      </c>
      <c r="G65" s="4" t="s">
        <v>216</v>
      </c>
      <c r="H65" s="5">
        <f>VLOOKUP(C65,'TB Apr 24'!$B$13:$E$103,4,0)</f>
        <v>0</v>
      </c>
    </row>
    <row r="66" spans="1:8" ht="15" customHeight="1" x14ac:dyDescent="0.35">
      <c r="A66" s="77">
        <v>45383</v>
      </c>
      <c r="B66" s="3" t="s">
        <v>169</v>
      </c>
      <c r="C66" s="4" t="s">
        <v>170</v>
      </c>
      <c r="D66" s="4" t="s">
        <v>314</v>
      </c>
      <c r="E66" s="4" t="s">
        <v>304</v>
      </c>
      <c r="F66" s="4" t="s">
        <v>214</v>
      </c>
      <c r="G66" s="4" t="s">
        <v>216</v>
      </c>
      <c r="H66" s="5">
        <f>VLOOKUP(C66,'TB Apr 24'!$B$13:$E$103,4,0)</f>
        <v>11703</v>
      </c>
    </row>
    <row r="67" spans="1:8" ht="15" customHeight="1" x14ac:dyDescent="0.35">
      <c r="A67" s="77">
        <v>45383</v>
      </c>
      <c r="B67" s="3" t="s">
        <v>171</v>
      </c>
      <c r="C67" s="4" t="s">
        <v>172</v>
      </c>
      <c r="D67" s="4" t="s">
        <v>314</v>
      </c>
      <c r="E67" s="4" t="s">
        <v>303</v>
      </c>
      <c r="F67" s="4" t="s">
        <v>214</v>
      </c>
      <c r="G67" s="4" t="s">
        <v>216</v>
      </c>
      <c r="H67" s="5">
        <f>VLOOKUP(C67,'TB Apr 24'!$B$13:$E$103,4,0)</f>
        <v>0</v>
      </c>
    </row>
    <row r="68" spans="1:8" ht="15" customHeight="1" x14ac:dyDescent="0.35">
      <c r="A68" s="77">
        <v>45383</v>
      </c>
      <c r="B68" s="3" t="s">
        <v>173</v>
      </c>
      <c r="C68" s="4" t="s">
        <v>174</v>
      </c>
      <c r="D68" s="4" t="s">
        <v>314</v>
      </c>
      <c r="E68" s="4" t="s">
        <v>257</v>
      </c>
      <c r="F68" s="4" t="s">
        <v>214</v>
      </c>
      <c r="G68" s="4" t="s">
        <v>216</v>
      </c>
      <c r="H68" s="5">
        <f>VLOOKUP(C68,'TB Apr 24'!$B$13:$E$103,4,0)</f>
        <v>0</v>
      </c>
    </row>
    <row r="69" spans="1:8" ht="15" customHeight="1" x14ac:dyDescent="0.35">
      <c r="A69" s="77">
        <v>45383</v>
      </c>
      <c r="B69" s="3" t="s">
        <v>175</v>
      </c>
      <c r="C69" s="4" t="s">
        <v>176</v>
      </c>
      <c r="D69" s="4" t="s">
        <v>314</v>
      </c>
      <c r="E69" s="4" t="s">
        <v>257</v>
      </c>
      <c r="F69" s="4" t="s">
        <v>214</v>
      </c>
      <c r="G69" s="4" t="s">
        <v>216</v>
      </c>
      <c r="H69" s="5">
        <f>VLOOKUP(C69,'TB Apr 24'!$B$13:$E$103,4,0)</f>
        <v>0</v>
      </c>
    </row>
    <row r="70" spans="1:8" ht="15" customHeight="1" x14ac:dyDescent="0.35">
      <c r="A70" s="77">
        <v>45383</v>
      </c>
      <c r="B70" s="3" t="s">
        <v>177</v>
      </c>
      <c r="C70" s="4" t="s">
        <v>178</v>
      </c>
      <c r="D70" s="4" t="s">
        <v>314</v>
      </c>
      <c r="E70" s="4" t="s">
        <v>257</v>
      </c>
      <c r="F70" s="4" t="s">
        <v>214</v>
      </c>
      <c r="G70" s="4" t="s">
        <v>216</v>
      </c>
      <c r="H70" s="5">
        <f>VLOOKUP(C70,'TB Apr 24'!$B$13:$E$103,4,0)</f>
        <v>0</v>
      </c>
    </row>
    <row r="71" spans="1:8" ht="15" customHeight="1" x14ac:dyDescent="0.35">
      <c r="A71" s="77">
        <v>45383</v>
      </c>
      <c r="B71" s="3" t="s">
        <v>179</v>
      </c>
      <c r="C71" s="4" t="s">
        <v>180</v>
      </c>
      <c r="D71" s="4" t="s">
        <v>314</v>
      </c>
      <c r="E71" s="4" t="s">
        <v>322</v>
      </c>
      <c r="F71" s="4" t="s">
        <v>214</v>
      </c>
      <c r="G71" s="4" t="s">
        <v>216</v>
      </c>
      <c r="H71" s="5">
        <f>VLOOKUP(C71,'TB Apr 24'!$B$13:$E$103,4,0)</f>
        <v>0</v>
      </c>
    </row>
    <row r="72" spans="1:8" ht="15" customHeight="1" x14ac:dyDescent="0.35">
      <c r="A72" s="77">
        <v>45383</v>
      </c>
      <c r="B72" s="3" t="s">
        <v>181</v>
      </c>
      <c r="C72" s="4" t="s">
        <v>182</v>
      </c>
      <c r="D72" s="4" t="s">
        <v>314</v>
      </c>
      <c r="E72" s="4" t="s">
        <v>290</v>
      </c>
      <c r="F72" s="4" t="s">
        <v>214</v>
      </c>
      <c r="G72" s="4" t="s">
        <v>216</v>
      </c>
      <c r="H72" s="5">
        <f>VLOOKUP(C72,'TB Apr 24'!$B$13:$E$103,4,0)</f>
        <v>2970</v>
      </c>
    </row>
    <row r="73" spans="1:8" ht="15" customHeight="1" x14ac:dyDescent="0.35">
      <c r="A73" s="77">
        <v>45383</v>
      </c>
      <c r="B73" s="3" t="s">
        <v>183</v>
      </c>
      <c r="C73" s="4" t="s">
        <v>184</v>
      </c>
      <c r="D73" s="4" t="s">
        <v>314</v>
      </c>
      <c r="E73" s="4" t="s">
        <v>290</v>
      </c>
      <c r="F73" s="4" t="s">
        <v>214</v>
      </c>
      <c r="G73" s="4" t="s">
        <v>216</v>
      </c>
      <c r="H73" s="5">
        <f>VLOOKUP(C73,'TB Apr 24'!$B$13:$E$103,4,0)</f>
        <v>0</v>
      </c>
    </row>
    <row r="74" spans="1:8" ht="15" customHeight="1" x14ac:dyDescent="0.35">
      <c r="A74" s="77">
        <v>45383</v>
      </c>
      <c r="B74" s="3" t="s">
        <v>185</v>
      </c>
      <c r="C74" s="4" t="s">
        <v>186</v>
      </c>
      <c r="D74" s="4" t="s">
        <v>314</v>
      </c>
      <c r="E74" s="4" t="s">
        <v>290</v>
      </c>
      <c r="F74" s="4" t="s">
        <v>214</v>
      </c>
      <c r="G74" s="4" t="s">
        <v>216</v>
      </c>
      <c r="H74" s="5">
        <f>VLOOKUP(C74,'TB Apr 24'!$B$13:$E$103,4,0)</f>
        <v>37575</v>
      </c>
    </row>
    <row r="75" spans="1:8" ht="15" customHeight="1" x14ac:dyDescent="0.35">
      <c r="A75" s="77">
        <v>45383</v>
      </c>
      <c r="B75" s="3" t="s">
        <v>187</v>
      </c>
      <c r="C75" s="4" t="s">
        <v>188</v>
      </c>
      <c r="D75" s="4" t="s">
        <v>314</v>
      </c>
      <c r="E75" s="4" t="s">
        <v>291</v>
      </c>
      <c r="F75" s="4" t="s">
        <v>214</v>
      </c>
      <c r="G75" s="4" t="s">
        <v>216</v>
      </c>
      <c r="H75" s="5">
        <f>VLOOKUP(C75,'TB Apr 24'!$B$13:$E$103,4,0)</f>
        <v>44285</v>
      </c>
    </row>
    <row r="76" spans="1:8" ht="15" customHeight="1" x14ac:dyDescent="0.35">
      <c r="A76" s="77">
        <v>45383</v>
      </c>
      <c r="B76" s="3" t="s">
        <v>189</v>
      </c>
      <c r="C76" s="4" t="s">
        <v>190</v>
      </c>
      <c r="D76" s="4" t="s">
        <v>314</v>
      </c>
      <c r="E76" s="4" t="s">
        <v>254</v>
      </c>
      <c r="F76" s="4" t="s">
        <v>214</v>
      </c>
      <c r="G76" s="4" t="s">
        <v>216</v>
      </c>
      <c r="H76" s="5">
        <f>VLOOKUP(C76,'TB Apr 24'!$B$13:$E$103,4,0)</f>
        <v>0</v>
      </c>
    </row>
    <row r="77" spans="1:8" ht="15" customHeight="1" x14ac:dyDescent="0.35">
      <c r="A77" s="77">
        <v>45383</v>
      </c>
      <c r="B77" s="3" t="s">
        <v>191</v>
      </c>
      <c r="C77" s="4" t="s">
        <v>192</v>
      </c>
      <c r="D77" s="4" t="s">
        <v>314</v>
      </c>
      <c r="E77" s="4" t="s">
        <v>254</v>
      </c>
      <c r="F77" s="4" t="s">
        <v>214</v>
      </c>
      <c r="G77" s="4" t="s">
        <v>216</v>
      </c>
      <c r="H77" s="5">
        <f>VLOOKUP(C77,'TB Apr 24'!$B$13:$E$103,4,0)</f>
        <v>0</v>
      </c>
    </row>
    <row r="78" spans="1:8" ht="15" customHeight="1" x14ac:dyDescent="0.35">
      <c r="A78" s="77">
        <v>45383</v>
      </c>
      <c r="B78" s="3" t="s">
        <v>193</v>
      </c>
      <c r="C78" s="4" t="s">
        <v>194</v>
      </c>
      <c r="D78" s="4" t="s">
        <v>314</v>
      </c>
      <c r="E78" s="4" t="s">
        <v>254</v>
      </c>
      <c r="F78" s="4" t="s">
        <v>214</v>
      </c>
      <c r="G78" s="4" t="s">
        <v>216</v>
      </c>
      <c r="H78" s="5">
        <f>VLOOKUP(C78,'TB Apr 24'!$B$13:$E$103,4,0)</f>
        <v>317569.74000000005</v>
      </c>
    </row>
    <row r="79" spans="1:8" ht="15" customHeight="1" x14ac:dyDescent="0.35">
      <c r="A79" s="77">
        <v>45383</v>
      </c>
      <c r="B79" s="3" t="s">
        <v>195</v>
      </c>
      <c r="C79" s="4" t="s">
        <v>196</v>
      </c>
      <c r="D79" s="4" t="s">
        <v>314</v>
      </c>
      <c r="E79" s="4" t="s">
        <v>255</v>
      </c>
      <c r="F79" s="4" t="s">
        <v>214</v>
      </c>
      <c r="G79" s="4" t="s">
        <v>216</v>
      </c>
      <c r="H79" s="5">
        <f>VLOOKUP(C79,'TB Apr 24'!$B$13:$E$103,4,0)</f>
        <v>0</v>
      </c>
    </row>
    <row r="80" spans="1:8" ht="15" customHeight="1" x14ac:dyDescent="0.35">
      <c r="A80" s="77">
        <v>45383</v>
      </c>
      <c r="B80" s="3" t="s">
        <v>197</v>
      </c>
      <c r="C80" s="4" t="s">
        <v>198</v>
      </c>
      <c r="D80" s="4" t="s">
        <v>314</v>
      </c>
      <c r="E80" s="4" t="s">
        <v>255</v>
      </c>
      <c r="F80" s="4" t="s">
        <v>214</v>
      </c>
      <c r="G80" s="4" t="s">
        <v>216</v>
      </c>
      <c r="H80" s="5">
        <f>VLOOKUP(C80,'TB Apr 24'!$B$13:$E$103,4,0)</f>
        <v>0</v>
      </c>
    </row>
    <row r="81" spans="1:8" ht="15" customHeight="1" x14ac:dyDescent="0.35">
      <c r="A81" s="77">
        <v>45383</v>
      </c>
      <c r="B81" s="3" t="s">
        <v>199</v>
      </c>
      <c r="C81" s="4" t="s">
        <v>200</v>
      </c>
      <c r="D81" s="4" t="s">
        <v>314</v>
      </c>
      <c r="E81" s="4" t="s">
        <v>254</v>
      </c>
      <c r="F81" s="4" t="s">
        <v>214</v>
      </c>
      <c r="G81" s="4" t="s">
        <v>216</v>
      </c>
      <c r="H81" s="5">
        <f>VLOOKUP(C81,'TB Apr 24'!$B$13:$E$103,4,0)</f>
        <v>0</v>
      </c>
    </row>
    <row r="82" spans="1:8" ht="15" customHeight="1" x14ac:dyDescent="0.35">
      <c r="A82" s="77">
        <v>45383</v>
      </c>
      <c r="B82" s="3" t="s">
        <v>201</v>
      </c>
      <c r="C82" s="4" t="s">
        <v>202</v>
      </c>
      <c r="D82" s="4" t="s">
        <v>314</v>
      </c>
      <c r="E82" s="4" t="s">
        <v>254</v>
      </c>
      <c r="F82" s="4" t="s">
        <v>214</v>
      </c>
      <c r="G82" s="4" t="s">
        <v>216</v>
      </c>
      <c r="H82" s="5">
        <f>VLOOKUP(C82,'TB Apr 24'!$B$13:$E$103,4,0)</f>
        <v>0</v>
      </c>
    </row>
    <row r="83" spans="1:8" ht="15" customHeight="1" x14ac:dyDescent="0.35">
      <c r="A83" s="77">
        <v>45383</v>
      </c>
      <c r="B83" s="3" t="s">
        <v>203</v>
      </c>
      <c r="C83" s="4" t="s">
        <v>204</v>
      </c>
      <c r="D83" s="4" t="s">
        <v>314</v>
      </c>
      <c r="E83" s="4" t="s">
        <v>256</v>
      </c>
      <c r="F83" s="4" t="s">
        <v>214</v>
      </c>
      <c r="G83" s="4" t="s">
        <v>216</v>
      </c>
      <c r="H83" s="5">
        <f>VLOOKUP(C83,'TB Apr 24'!$B$13:$E$103,4,0)</f>
        <v>0</v>
      </c>
    </row>
    <row r="84" spans="1:8" ht="15" customHeight="1" x14ac:dyDescent="0.35">
      <c r="A84" s="77">
        <v>45383</v>
      </c>
      <c r="B84" s="3" t="s">
        <v>205</v>
      </c>
      <c r="C84" s="6" t="s">
        <v>206</v>
      </c>
      <c r="D84" s="4" t="s">
        <v>314</v>
      </c>
      <c r="E84" s="6" t="s">
        <v>322</v>
      </c>
      <c r="F84" s="78" t="s">
        <v>214</v>
      </c>
      <c r="G84" s="78" t="s">
        <v>216</v>
      </c>
      <c r="H84" s="80">
        <f>VLOOKUP(C84,'TB Apr 24'!$B$13:$E$103,4,0)</f>
        <v>0</v>
      </c>
    </row>
    <row r="85" spans="1:8" x14ac:dyDescent="0.35">
      <c r="A85" s="77">
        <v>45383</v>
      </c>
      <c r="B85" s="3" t="s">
        <v>57</v>
      </c>
      <c r="C85" s="4" t="s">
        <v>58</v>
      </c>
      <c r="D85" s="4" t="s">
        <v>314</v>
      </c>
      <c r="E85" s="4" t="s">
        <v>253</v>
      </c>
      <c r="F85" t="s">
        <v>214</v>
      </c>
      <c r="G85" t="s">
        <v>217</v>
      </c>
      <c r="H85" s="7">
        <f>VLOOKUP(C85,'TB Apr 24'!$B$13:$F$103,5,0)</f>
        <v>0</v>
      </c>
    </row>
    <row r="86" spans="1:8" x14ac:dyDescent="0.35">
      <c r="A86" s="77">
        <v>45383</v>
      </c>
      <c r="B86" s="3" t="s">
        <v>307</v>
      </c>
      <c r="C86" s="4" t="s">
        <v>308</v>
      </c>
      <c r="D86" s="4" t="s">
        <v>314</v>
      </c>
      <c r="E86" s="4" t="s">
        <v>253</v>
      </c>
      <c r="F86" t="s">
        <v>214</v>
      </c>
      <c r="G86" t="s">
        <v>217</v>
      </c>
      <c r="H86" s="7">
        <f>VLOOKUP(C86,'TB Apr 24'!$B$13:$F$103,5,0)</f>
        <v>0</v>
      </c>
    </row>
    <row r="87" spans="1:8" x14ac:dyDescent="0.35">
      <c r="A87" s="77">
        <v>45383</v>
      </c>
      <c r="B87" s="3" t="s">
        <v>59</v>
      </c>
      <c r="C87" s="4" t="s">
        <v>60</v>
      </c>
      <c r="D87" s="4" t="s">
        <v>314</v>
      </c>
      <c r="E87" s="4" t="s">
        <v>253</v>
      </c>
      <c r="F87" t="s">
        <v>214</v>
      </c>
      <c r="G87" t="s">
        <v>217</v>
      </c>
      <c r="H87" s="7">
        <f>VLOOKUP(C87,'TB Apr 24'!$B$13:$F$103,5,0)</f>
        <v>-24.05</v>
      </c>
    </row>
    <row r="88" spans="1:8" x14ac:dyDescent="0.35">
      <c r="A88" s="77">
        <v>45383</v>
      </c>
      <c r="B88" s="3" t="s">
        <v>61</v>
      </c>
      <c r="C88" s="4" t="s">
        <v>62</v>
      </c>
      <c r="D88" s="4" t="s">
        <v>314</v>
      </c>
      <c r="E88" s="4" t="s">
        <v>66</v>
      </c>
      <c r="F88" t="s">
        <v>214</v>
      </c>
      <c r="G88" t="s">
        <v>217</v>
      </c>
      <c r="H88" s="7">
        <f>VLOOKUP(C88,'TB Apr 24'!$B$13:$F$103,5,0)</f>
        <v>-282436.05</v>
      </c>
    </row>
    <row r="89" spans="1:8" x14ac:dyDescent="0.35">
      <c r="A89" s="77">
        <v>45383</v>
      </c>
      <c r="B89" s="3" t="s">
        <v>63</v>
      </c>
      <c r="C89" s="4" t="s">
        <v>64</v>
      </c>
      <c r="D89" s="4" t="s">
        <v>314</v>
      </c>
      <c r="E89" s="4" t="s">
        <v>252</v>
      </c>
      <c r="F89" t="s">
        <v>214</v>
      </c>
      <c r="G89" t="s">
        <v>217</v>
      </c>
      <c r="H89" s="7">
        <f>VLOOKUP(C89,'TB Apr 24'!$B$13:$F$103,5,0)</f>
        <v>0</v>
      </c>
    </row>
    <row r="90" spans="1:8" x14ac:dyDescent="0.35">
      <c r="A90" s="77">
        <v>45383</v>
      </c>
      <c r="B90" s="3" t="s">
        <v>65</v>
      </c>
      <c r="C90" s="4" t="s">
        <v>66</v>
      </c>
      <c r="D90" s="4" t="s">
        <v>314</v>
      </c>
      <c r="E90" s="4" t="s">
        <v>66</v>
      </c>
      <c r="F90" t="s">
        <v>214</v>
      </c>
      <c r="G90" t="s">
        <v>217</v>
      </c>
      <c r="H90" s="7">
        <f>VLOOKUP(C90,'TB Apr 24'!$B$13:$F$103,5,0)</f>
        <v>-1085092.93</v>
      </c>
    </row>
    <row r="91" spans="1:8" x14ac:dyDescent="0.35">
      <c r="A91" s="77">
        <v>45383</v>
      </c>
      <c r="B91" s="3" t="s">
        <v>67</v>
      </c>
      <c r="C91" s="4" t="s">
        <v>68</v>
      </c>
      <c r="D91" s="4" t="s">
        <v>314</v>
      </c>
      <c r="E91" s="4" t="s">
        <v>252</v>
      </c>
      <c r="F91" t="s">
        <v>214</v>
      </c>
      <c r="G91" t="s">
        <v>217</v>
      </c>
      <c r="H91" s="7">
        <f>VLOOKUP(C91,'TB Apr 24'!$B$13:$F$103,5,0)</f>
        <v>-168776.09</v>
      </c>
    </row>
    <row r="92" spans="1:8" x14ac:dyDescent="0.35">
      <c r="A92" s="77">
        <v>45383</v>
      </c>
      <c r="B92" s="3" t="s">
        <v>69</v>
      </c>
      <c r="C92" s="4" t="s">
        <v>70</v>
      </c>
      <c r="D92" s="4" t="s">
        <v>314</v>
      </c>
      <c r="E92" s="4" t="s">
        <v>70</v>
      </c>
      <c r="F92" t="s">
        <v>214</v>
      </c>
      <c r="G92" t="s">
        <v>217</v>
      </c>
      <c r="H92" s="7">
        <f>VLOOKUP(C92,'TB Apr 24'!$B$13:$F$103,5,0)</f>
        <v>0</v>
      </c>
    </row>
    <row r="93" spans="1:8" x14ac:dyDescent="0.35">
      <c r="A93" s="77">
        <v>45383</v>
      </c>
      <c r="B93" s="3" t="s">
        <v>71</v>
      </c>
      <c r="C93" s="4" t="s">
        <v>72</v>
      </c>
      <c r="D93" s="4" t="s">
        <v>314</v>
      </c>
      <c r="E93" s="4" t="s">
        <v>253</v>
      </c>
      <c r="F93" t="s">
        <v>214</v>
      </c>
      <c r="G93" t="s">
        <v>217</v>
      </c>
      <c r="H93" s="7">
        <f>VLOOKUP(C93,'TB Apr 24'!$B$13:$F$103,5,0)</f>
        <v>0</v>
      </c>
    </row>
    <row r="94" spans="1:8" x14ac:dyDescent="0.35">
      <c r="A94" s="77">
        <v>45383</v>
      </c>
      <c r="B94" s="3" t="s">
        <v>73</v>
      </c>
      <c r="C94" s="4" t="s">
        <v>74</v>
      </c>
      <c r="D94" s="4" t="s">
        <v>314</v>
      </c>
      <c r="E94" s="4" t="s">
        <v>253</v>
      </c>
      <c r="F94" t="s">
        <v>214</v>
      </c>
      <c r="G94" t="s">
        <v>217</v>
      </c>
      <c r="H94" s="7">
        <f>VLOOKUP(C94,'TB Apr 24'!$B$13:$F$103,5,0)</f>
        <v>-1725</v>
      </c>
    </row>
    <row r="95" spans="1:8" x14ac:dyDescent="0.35">
      <c r="A95" s="77">
        <v>45383</v>
      </c>
      <c r="B95" s="3" t="s">
        <v>75</v>
      </c>
      <c r="C95" s="4" t="s">
        <v>76</v>
      </c>
      <c r="D95" s="4" t="s">
        <v>314</v>
      </c>
      <c r="E95" s="4" t="s">
        <v>253</v>
      </c>
      <c r="F95" t="s">
        <v>214</v>
      </c>
      <c r="G95" t="s">
        <v>217</v>
      </c>
      <c r="H95" s="7">
        <f>VLOOKUP(C95,'TB Apr 24'!$B$13:$F$103,5,0)</f>
        <v>0</v>
      </c>
    </row>
    <row r="96" spans="1:8" x14ac:dyDescent="0.35">
      <c r="A96" s="77">
        <v>45383</v>
      </c>
      <c r="B96" s="3" t="s">
        <v>77</v>
      </c>
      <c r="C96" s="4" t="s">
        <v>78</v>
      </c>
      <c r="D96" s="4" t="s">
        <v>314</v>
      </c>
      <c r="E96" s="4" t="s">
        <v>253</v>
      </c>
      <c r="F96" t="s">
        <v>214</v>
      </c>
      <c r="G96" t="s">
        <v>217</v>
      </c>
      <c r="H96" s="7">
        <f>VLOOKUP(C96,'TB Apr 24'!$B$13:$F$103,5,0)</f>
        <v>-32495.93</v>
      </c>
    </row>
    <row r="97" spans="1:8" x14ac:dyDescent="0.35">
      <c r="A97" s="77">
        <v>45383</v>
      </c>
      <c r="B97" s="3" t="s">
        <v>79</v>
      </c>
      <c r="C97" s="4" t="s">
        <v>80</v>
      </c>
      <c r="D97" s="4" t="s">
        <v>314</v>
      </c>
      <c r="E97" s="4" t="s">
        <v>253</v>
      </c>
      <c r="F97" t="s">
        <v>214</v>
      </c>
      <c r="G97" t="s">
        <v>217</v>
      </c>
      <c r="H97" s="7">
        <f>VLOOKUP(C97,'TB Apr 24'!$B$13:$F$103,5,0)</f>
        <v>0</v>
      </c>
    </row>
    <row r="98" spans="1:8" x14ac:dyDescent="0.35">
      <c r="A98" s="77">
        <v>45383</v>
      </c>
      <c r="B98" s="3" t="s">
        <v>81</v>
      </c>
      <c r="C98" s="4" t="s">
        <v>82</v>
      </c>
      <c r="D98" s="4" t="s">
        <v>314</v>
      </c>
      <c r="E98" s="4" t="s">
        <v>319</v>
      </c>
      <c r="F98" t="s">
        <v>214</v>
      </c>
      <c r="G98" t="s">
        <v>217</v>
      </c>
      <c r="H98" s="7">
        <f>VLOOKUP(C98,'TB Apr 24'!$B$13:$F$103,5,0)</f>
        <v>0</v>
      </c>
    </row>
    <row r="99" spans="1:8" x14ac:dyDescent="0.35">
      <c r="A99" s="77">
        <v>45383</v>
      </c>
      <c r="B99" s="3" t="s">
        <v>83</v>
      </c>
      <c r="C99" s="4" t="s">
        <v>84</v>
      </c>
      <c r="D99" s="4" t="s">
        <v>314</v>
      </c>
      <c r="E99" s="4" t="s">
        <v>319</v>
      </c>
      <c r="F99" t="s">
        <v>214</v>
      </c>
      <c r="G99" t="s">
        <v>217</v>
      </c>
      <c r="H99" s="7">
        <f>VLOOKUP(C99,'TB Apr 24'!$B$13:$F$103,5,0)</f>
        <v>0</v>
      </c>
    </row>
    <row r="100" spans="1:8" x14ac:dyDescent="0.35">
      <c r="A100" s="77">
        <v>45383</v>
      </c>
      <c r="B100" s="3" t="s">
        <v>85</v>
      </c>
      <c r="C100" s="4" t="s">
        <v>86</v>
      </c>
      <c r="D100" s="4" t="s">
        <v>314</v>
      </c>
      <c r="E100" s="4" t="s">
        <v>291</v>
      </c>
      <c r="F100" t="s">
        <v>214</v>
      </c>
      <c r="G100" t="s">
        <v>217</v>
      </c>
      <c r="H100" s="7">
        <f>VLOOKUP(C100,'TB Apr 24'!$B$13:$F$103,5,0)</f>
        <v>0</v>
      </c>
    </row>
    <row r="101" spans="1:8" x14ac:dyDescent="0.35">
      <c r="A101" s="77">
        <v>45383</v>
      </c>
      <c r="B101" s="3" t="s">
        <v>88</v>
      </c>
      <c r="C101" s="4" t="s">
        <v>89</v>
      </c>
      <c r="D101" s="4" t="s">
        <v>314</v>
      </c>
      <c r="E101" s="4" t="s">
        <v>300</v>
      </c>
      <c r="F101" t="s">
        <v>214</v>
      </c>
      <c r="G101" t="s">
        <v>217</v>
      </c>
      <c r="H101" s="7">
        <f>VLOOKUP(C101,'TB Apr 24'!$B$13:$F$103,5,0)</f>
        <v>14795</v>
      </c>
    </row>
    <row r="102" spans="1:8" x14ac:dyDescent="0.35">
      <c r="A102" s="77">
        <v>45383</v>
      </c>
      <c r="B102" s="3" t="s">
        <v>90</v>
      </c>
      <c r="C102" s="4" t="s">
        <v>91</v>
      </c>
      <c r="D102" s="4" t="s">
        <v>314</v>
      </c>
      <c r="E102" s="4" t="s">
        <v>300</v>
      </c>
      <c r="F102" t="s">
        <v>214</v>
      </c>
      <c r="G102" t="s">
        <v>217</v>
      </c>
      <c r="H102" s="7">
        <f>VLOOKUP(C102,'TB Apr 24'!$B$13:$F$103,5,0)</f>
        <v>3575</v>
      </c>
    </row>
    <row r="103" spans="1:8" x14ac:dyDescent="0.35">
      <c r="A103" s="77">
        <v>45383</v>
      </c>
      <c r="B103" s="3" t="s">
        <v>92</v>
      </c>
      <c r="C103" s="4" t="s">
        <v>93</v>
      </c>
      <c r="D103" s="4" t="s">
        <v>314</v>
      </c>
      <c r="E103" s="4" t="s">
        <v>300</v>
      </c>
      <c r="F103" t="s">
        <v>214</v>
      </c>
      <c r="G103" t="s">
        <v>217</v>
      </c>
      <c r="H103" s="7">
        <f>VLOOKUP(C103,'TB Apr 24'!$B$13:$F$103,5,0)</f>
        <v>0</v>
      </c>
    </row>
    <row r="104" spans="1:8" x14ac:dyDescent="0.35">
      <c r="A104" s="77">
        <v>45383</v>
      </c>
      <c r="B104" s="3" t="s">
        <v>94</v>
      </c>
      <c r="C104" s="4" t="s">
        <v>95</v>
      </c>
      <c r="D104" s="4" t="s">
        <v>314</v>
      </c>
      <c r="E104" s="4" t="s">
        <v>289</v>
      </c>
      <c r="F104" t="s">
        <v>214</v>
      </c>
      <c r="G104" t="s">
        <v>217</v>
      </c>
      <c r="H104" s="7">
        <f>VLOOKUP(C104,'TB Apr 24'!$B$13:$F$103,5,0)</f>
        <v>500169.5</v>
      </c>
    </row>
    <row r="105" spans="1:8" x14ac:dyDescent="0.35">
      <c r="A105" s="77">
        <v>45383</v>
      </c>
      <c r="B105" s="3" t="s">
        <v>96</v>
      </c>
      <c r="C105" s="4" t="s">
        <v>97</v>
      </c>
      <c r="D105" s="4" t="s">
        <v>314</v>
      </c>
      <c r="E105" s="4" t="s">
        <v>289</v>
      </c>
      <c r="F105" t="s">
        <v>214</v>
      </c>
      <c r="G105" t="s">
        <v>217</v>
      </c>
      <c r="H105" s="7">
        <f>VLOOKUP(C105,'TB Apr 24'!$B$13:$F$103,5,0)</f>
        <v>0</v>
      </c>
    </row>
    <row r="106" spans="1:8" x14ac:dyDescent="0.35">
      <c r="A106" s="77">
        <v>45383</v>
      </c>
      <c r="B106" s="3" t="s">
        <v>309</v>
      </c>
      <c r="C106" s="4" t="s">
        <v>310</v>
      </c>
      <c r="D106" s="4" t="s">
        <v>314</v>
      </c>
      <c r="E106" s="4" t="s">
        <v>289</v>
      </c>
      <c r="F106" t="s">
        <v>214</v>
      </c>
      <c r="G106" t="s">
        <v>217</v>
      </c>
      <c r="H106" s="7">
        <f>VLOOKUP(C106,'TB Apr 24'!$B$13:$F$103,5,0)</f>
        <v>0</v>
      </c>
    </row>
    <row r="107" spans="1:8" x14ac:dyDescent="0.35">
      <c r="A107" s="77">
        <v>45383</v>
      </c>
      <c r="B107" s="3" t="s">
        <v>98</v>
      </c>
      <c r="C107" s="4" t="s">
        <v>99</v>
      </c>
      <c r="D107" s="4" t="s">
        <v>314</v>
      </c>
      <c r="E107" s="4" t="s">
        <v>289</v>
      </c>
      <c r="F107" t="s">
        <v>214</v>
      </c>
      <c r="G107" t="s">
        <v>217</v>
      </c>
      <c r="H107" s="7">
        <f>VLOOKUP(C107,'TB Apr 24'!$B$13:$F$103,5,0)</f>
        <v>0</v>
      </c>
    </row>
    <row r="108" spans="1:8" x14ac:dyDescent="0.35">
      <c r="A108" s="77">
        <v>45383</v>
      </c>
      <c r="B108" s="3" t="s">
        <v>100</v>
      </c>
      <c r="C108" s="4" t="s">
        <v>101</v>
      </c>
      <c r="D108" s="4" t="s">
        <v>314</v>
      </c>
      <c r="E108" s="4" t="s">
        <v>291</v>
      </c>
      <c r="F108" t="s">
        <v>214</v>
      </c>
      <c r="G108" t="s">
        <v>217</v>
      </c>
      <c r="H108" s="7">
        <f>VLOOKUP(C108,'TB Apr 24'!$B$13:$F$103,5,0)</f>
        <v>0</v>
      </c>
    </row>
    <row r="109" spans="1:8" x14ac:dyDescent="0.35">
      <c r="A109" s="77">
        <v>45383</v>
      </c>
      <c r="B109" s="3" t="s">
        <v>102</v>
      </c>
      <c r="C109" s="4" t="s">
        <v>103</v>
      </c>
      <c r="D109" s="4" t="s">
        <v>314</v>
      </c>
      <c r="E109" s="4" t="s">
        <v>291</v>
      </c>
      <c r="F109" t="s">
        <v>214</v>
      </c>
      <c r="G109" t="s">
        <v>217</v>
      </c>
      <c r="H109" s="7">
        <f>VLOOKUP(C109,'TB Apr 24'!$B$13:$F$103,5,0)</f>
        <v>0</v>
      </c>
    </row>
    <row r="110" spans="1:8" x14ac:dyDescent="0.35">
      <c r="A110" s="77">
        <v>45383</v>
      </c>
      <c r="B110" s="3" t="s">
        <v>104</v>
      </c>
      <c r="C110" s="4" t="s">
        <v>105</v>
      </c>
      <c r="D110" s="4" t="s">
        <v>314</v>
      </c>
      <c r="E110" s="4" t="s">
        <v>291</v>
      </c>
      <c r="F110" t="s">
        <v>214</v>
      </c>
      <c r="G110" t="s">
        <v>217</v>
      </c>
      <c r="H110" s="7">
        <f>VLOOKUP(C110,'TB Apr 24'!$B$13:$F$103,5,0)</f>
        <v>1200</v>
      </c>
    </row>
    <row r="111" spans="1:8" x14ac:dyDescent="0.35">
      <c r="A111" s="77">
        <v>45383</v>
      </c>
      <c r="B111" s="3" t="s">
        <v>106</v>
      </c>
      <c r="C111" s="4" t="s">
        <v>107</v>
      </c>
      <c r="D111" s="4" t="s">
        <v>314</v>
      </c>
      <c r="E111" s="4" t="s">
        <v>321</v>
      </c>
      <c r="F111" t="s">
        <v>214</v>
      </c>
      <c r="G111" t="s">
        <v>217</v>
      </c>
      <c r="H111" s="7">
        <f>VLOOKUP(C111,'TB Apr 24'!$B$13:$F$103,5,0)</f>
        <v>0</v>
      </c>
    </row>
    <row r="112" spans="1:8" x14ac:dyDescent="0.35">
      <c r="A112" s="77">
        <v>45383</v>
      </c>
      <c r="B112" s="3" t="s">
        <v>108</v>
      </c>
      <c r="C112" s="4" t="s">
        <v>109</v>
      </c>
      <c r="D112" s="4" t="s">
        <v>314</v>
      </c>
      <c r="E112" s="4" t="s">
        <v>321</v>
      </c>
      <c r="F112" t="s">
        <v>214</v>
      </c>
      <c r="G112" t="s">
        <v>217</v>
      </c>
      <c r="H112" s="7">
        <f>VLOOKUP(C112,'TB Apr 24'!$B$13:$F$103,5,0)</f>
        <v>0</v>
      </c>
    </row>
    <row r="113" spans="1:8" x14ac:dyDescent="0.35">
      <c r="A113" s="77">
        <v>45383</v>
      </c>
      <c r="B113" s="3" t="s">
        <v>110</v>
      </c>
      <c r="C113" s="4" t="s">
        <v>111</v>
      </c>
      <c r="D113" s="4" t="s">
        <v>314</v>
      </c>
      <c r="E113" s="4" t="s">
        <v>320</v>
      </c>
      <c r="F113" t="s">
        <v>214</v>
      </c>
      <c r="G113" t="s">
        <v>217</v>
      </c>
      <c r="H113" s="7">
        <f>VLOOKUP(C113,'TB Apr 24'!$B$13:$F$103,5,0)</f>
        <v>0</v>
      </c>
    </row>
    <row r="114" spans="1:8" x14ac:dyDescent="0.35">
      <c r="A114" s="77">
        <v>45383</v>
      </c>
      <c r="B114" s="3" t="s">
        <v>112</v>
      </c>
      <c r="C114" s="4" t="s">
        <v>113</v>
      </c>
      <c r="D114" s="4" t="s">
        <v>314</v>
      </c>
      <c r="E114" s="4" t="s">
        <v>321</v>
      </c>
      <c r="F114" t="s">
        <v>214</v>
      </c>
      <c r="G114" t="s">
        <v>217</v>
      </c>
      <c r="H114" s="7">
        <f>VLOOKUP(C114,'TB Apr 24'!$B$13:$F$103,5,0)</f>
        <v>0</v>
      </c>
    </row>
    <row r="115" spans="1:8" x14ac:dyDescent="0.35">
      <c r="A115" s="77">
        <v>45383</v>
      </c>
      <c r="B115" s="3" t="s">
        <v>311</v>
      </c>
      <c r="C115" s="4" t="s">
        <v>312</v>
      </c>
      <c r="D115" s="4" t="s">
        <v>314</v>
      </c>
      <c r="E115" s="4" t="s">
        <v>288</v>
      </c>
      <c r="F115" t="s">
        <v>214</v>
      </c>
      <c r="G115" t="s">
        <v>217</v>
      </c>
      <c r="H115" s="7">
        <f>VLOOKUP(C115,'TB Apr 24'!$B$13:$F$103,5,0)</f>
        <v>0</v>
      </c>
    </row>
    <row r="116" spans="1:8" x14ac:dyDescent="0.35">
      <c r="A116" s="77">
        <v>45383</v>
      </c>
      <c r="B116" s="3" t="s">
        <v>114</v>
      </c>
      <c r="C116" s="4" t="s">
        <v>115</v>
      </c>
      <c r="D116" s="4" t="s">
        <v>314</v>
      </c>
      <c r="E116" s="4" t="s">
        <v>294</v>
      </c>
      <c r="F116" t="s">
        <v>214</v>
      </c>
      <c r="G116" t="s">
        <v>217</v>
      </c>
      <c r="H116" s="7">
        <f>VLOOKUP(C116,'TB Apr 24'!$B$13:$F$103,5,0)</f>
        <v>0</v>
      </c>
    </row>
    <row r="117" spans="1:8" x14ac:dyDescent="0.35">
      <c r="A117" s="77">
        <v>45383</v>
      </c>
      <c r="B117" s="3" t="s">
        <v>116</v>
      </c>
      <c r="C117" s="4" t="s">
        <v>117</v>
      </c>
      <c r="D117" s="4" t="s">
        <v>314</v>
      </c>
      <c r="E117" s="4" t="s">
        <v>296</v>
      </c>
      <c r="F117" t="s">
        <v>214</v>
      </c>
      <c r="G117" t="s">
        <v>217</v>
      </c>
      <c r="H117" s="7">
        <f>VLOOKUP(C117,'TB Apr 24'!$B$13:$F$103,5,0)</f>
        <v>0</v>
      </c>
    </row>
    <row r="118" spans="1:8" x14ac:dyDescent="0.35">
      <c r="A118" s="77">
        <v>45383</v>
      </c>
      <c r="B118" s="3" t="s">
        <v>118</v>
      </c>
      <c r="C118" s="4" t="s">
        <v>119</v>
      </c>
      <c r="D118" s="4" t="s">
        <v>314</v>
      </c>
      <c r="E118" s="4" t="s">
        <v>296</v>
      </c>
      <c r="F118" t="s">
        <v>214</v>
      </c>
      <c r="G118" t="s">
        <v>217</v>
      </c>
      <c r="H118" s="7">
        <f>VLOOKUP(C118,'TB Apr 24'!$B$13:$F$103,5,0)</f>
        <v>0</v>
      </c>
    </row>
    <row r="119" spans="1:8" x14ac:dyDescent="0.35">
      <c r="A119" s="77">
        <v>45383</v>
      </c>
      <c r="B119" s="3" t="s">
        <v>120</v>
      </c>
      <c r="C119" s="4" t="s">
        <v>121</v>
      </c>
      <c r="D119" s="4" t="s">
        <v>314</v>
      </c>
      <c r="E119" s="4" t="s">
        <v>322</v>
      </c>
      <c r="F119" t="s">
        <v>214</v>
      </c>
      <c r="G119" t="s">
        <v>217</v>
      </c>
      <c r="H119" s="7">
        <f>VLOOKUP(C119,'TB Apr 24'!$B$13:$F$103,5,0)</f>
        <v>417</v>
      </c>
    </row>
    <row r="120" spans="1:8" x14ac:dyDescent="0.35">
      <c r="A120" s="77">
        <v>45383</v>
      </c>
      <c r="B120" s="3" t="s">
        <v>122</v>
      </c>
      <c r="C120" s="4" t="s">
        <v>123</v>
      </c>
      <c r="D120" s="4" t="s">
        <v>314</v>
      </c>
      <c r="E120" s="4" t="s">
        <v>322</v>
      </c>
      <c r="F120" t="s">
        <v>214</v>
      </c>
      <c r="G120" t="s">
        <v>217</v>
      </c>
      <c r="H120" s="7">
        <f>VLOOKUP(C120,'TB Apr 24'!$B$13:$F$103,5,0)</f>
        <v>860</v>
      </c>
    </row>
    <row r="121" spans="1:8" x14ac:dyDescent="0.35">
      <c r="A121" s="77">
        <v>45383</v>
      </c>
      <c r="B121" s="3" t="s">
        <v>124</v>
      </c>
      <c r="C121" s="4" t="s">
        <v>125</v>
      </c>
      <c r="D121" s="4" t="s">
        <v>314</v>
      </c>
      <c r="E121" s="4" t="s">
        <v>322</v>
      </c>
      <c r="F121" t="s">
        <v>214</v>
      </c>
      <c r="G121" t="s">
        <v>217</v>
      </c>
      <c r="H121" s="7">
        <f>VLOOKUP(C121,'TB Apr 24'!$B$13:$F$103,5,0)</f>
        <v>3931</v>
      </c>
    </row>
    <row r="122" spans="1:8" x14ac:dyDescent="0.35">
      <c r="A122" s="77">
        <v>45383</v>
      </c>
      <c r="B122" s="3" t="s">
        <v>126</v>
      </c>
      <c r="C122" s="4" t="s">
        <v>127</v>
      </c>
      <c r="D122" s="4" t="s">
        <v>314</v>
      </c>
      <c r="E122" s="4" t="s">
        <v>291</v>
      </c>
      <c r="F122" t="s">
        <v>214</v>
      </c>
      <c r="G122" t="s">
        <v>217</v>
      </c>
      <c r="H122" s="7">
        <f>VLOOKUP(C122,'TB Apr 24'!$B$13:$F$103,5,0)</f>
        <v>0</v>
      </c>
    </row>
    <row r="123" spans="1:8" x14ac:dyDescent="0.35">
      <c r="A123" s="77">
        <v>45383</v>
      </c>
      <c r="B123" s="3" t="s">
        <v>128</v>
      </c>
      <c r="C123" s="4" t="s">
        <v>129</v>
      </c>
      <c r="D123" s="4" t="s">
        <v>314</v>
      </c>
      <c r="E123" s="4" t="s">
        <v>322</v>
      </c>
      <c r="F123" t="s">
        <v>214</v>
      </c>
      <c r="G123" t="s">
        <v>217</v>
      </c>
      <c r="H123" s="7">
        <f>VLOOKUP(C123,'TB Apr 24'!$B$13:$F$103,5,0)</f>
        <v>49981</v>
      </c>
    </row>
    <row r="124" spans="1:8" x14ac:dyDescent="0.35">
      <c r="A124" s="77">
        <v>45383</v>
      </c>
      <c r="B124" s="3" t="s">
        <v>130</v>
      </c>
      <c r="C124" s="4" t="s">
        <v>131</v>
      </c>
      <c r="D124" s="4" t="s">
        <v>314</v>
      </c>
      <c r="E124" s="4" t="s">
        <v>322</v>
      </c>
      <c r="F124" t="s">
        <v>214</v>
      </c>
      <c r="G124" t="s">
        <v>217</v>
      </c>
      <c r="H124" s="7">
        <f>VLOOKUP(C124,'TB Apr 24'!$B$13:$F$103,5,0)</f>
        <v>0</v>
      </c>
    </row>
    <row r="125" spans="1:8" x14ac:dyDescent="0.35">
      <c r="A125" s="77">
        <v>45383</v>
      </c>
      <c r="B125" s="3" t="s">
        <v>132</v>
      </c>
      <c r="C125" s="4" t="s">
        <v>133</v>
      </c>
      <c r="D125" s="4" t="s">
        <v>314</v>
      </c>
      <c r="E125" s="4" t="s">
        <v>320</v>
      </c>
      <c r="F125" t="s">
        <v>214</v>
      </c>
      <c r="G125" t="s">
        <v>217</v>
      </c>
      <c r="H125" s="7">
        <f>VLOOKUP(C125,'TB Apr 24'!$B$13:$F$103,5,0)</f>
        <v>45720</v>
      </c>
    </row>
    <row r="126" spans="1:8" x14ac:dyDescent="0.35">
      <c r="A126" s="77">
        <v>45383</v>
      </c>
      <c r="B126" s="3" t="s">
        <v>134</v>
      </c>
      <c r="C126" s="4" t="s">
        <v>135</v>
      </c>
      <c r="D126" s="4" t="s">
        <v>314</v>
      </c>
      <c r="E126" s="4" t="s">
        <v>299</v>
      </c>
      <c r="F126" t="s">
        <v>214</v>
      </c>
      <c r="G126" t="s">
        <v>217</v>
      </c>
      <c r="H126" s="7">
        <f>VLOOKUP(C126,'TB Apr 24'!$B$13:$F$103,5,0)</f>
        <v>0</v>
      </c>
    </row>
    <row r="127" spans="1:8" x14ac:dyDescent="0.35">
      <c r="A127" s="77">
        <v>45383</v>
      </c>
      <c r="B127" s="3" t="s">
        <v>136</v>
      </c>
      <c r="C127" s="4" t="s">
        <v>137</v>
      </c>
      <c r="D127" s="4" t="s">
        <v>314</v>
      </c>
      <c r="E127" s="4" t="s">
        <v>322</v>
      </c>
      <c r="F127" t="s">
        <v>214</v>
      </c>
      <c r="G127" t="s">
        <v>217</v>
      </c>
      <c r="H127" s="7">
        <f>VLOOKUP(C127,'TB Apr 24'!$B$13:$F$103,5,0)</f>
        <v>0</v>
      </c>
    </row>
    <row r="128" spans="1:8" x14ac:dyDescent="0.35">
      <c r="A128" s="77">
        <v>45383</v>
      </c>
      <c r="B128" s="3" t="s">
        <v>138</v>
      </c>
      <c r="C128" s="4" t="s">
        <v>139</v>
      </c>
      <c r="D128" s="4" t="s">
        <v>314</v>
      </c>
      <c r="E128" s="4" t="s">
        <v>294</v>
      </c>
      <c r="F128" t="s">
        <v>214</v>
      </c>
      <c r="G128" t="s">
        <v>217</v>
      </c>
      <c r="H128" s="7">
        <f>VLOOKUP(C128,'TB Apr 24'!$B$13:$F$103,5,0)</f>
        <v>3014</v>
      </c>
    </row>
    <row r="129" spans="1:8" x14ac:dyDescent="0.35">
      <c r="A129" s="77">
        <v>45383</v>
      </c>
      <c r="B129" s="3" t="s">
        <v>140</v>
      </c>
      <c r="C129" s="4" t="s">
        <v>141</v>
      </c>
      <c r="D129" s="4" t="s">
        <v>314</v>
      </c>
      <c r="E129" s="4" t="s">
        <v>268</v>
      </c>
      <c r="F129" t="s">
        <v>214</v>
      </c>
      <c r="G129" t="s">
        <v>217</v>
      </c>
      <c r="H129" s="7">
        <f>VLOOKUP(C129,'TB Apr 24'!$B$13:$F$103,5,0)</f>
        <v>172760.5055</v>
      </c>
    </row>
    <row r="130" spans="1:8" x14ac:dyDescent="0.35">
      <c r="A130" s="77">
        <v>45383</v>
      </c>
      <c r="B130" s="3" t="s">
        <v>142</v>
      </c>
      <c r="C130" s="4" t="s">
        <v>143</v>
      </c>
      <c r="D130" s="4" t="s">
        <v>314</v>
      </c>
      <c r="E130" s="4" t="s">
        <v>269</v>
      </c>
      <c r="F130" t="s">
        <v>214</v>
      </c>
      <c r="G130" t="s">
        <v>217</v>
      </c>
      <c r="H130" s="7">
        <f>VLOOKUP(C130,'TB Apr 24'!$B$13:$F$103,5,0)</f>
        <v>108720</v>
      </c>
    </row>
    <row r="131" spans="1:8" x14ac:dyDescent="0.35">
      <c r="A131" s="77">
        <v>45383</v>
      </c>
      <c r="B131" s="3" t="s">
        <v>144</v>
      </c>
      <c r="C131" s="4" t="s">
        <v>145</v>
      </c>
      <c r="D131" s="4" t="s">
        <v>314</v>
      </c>
      <c r="E131" s="4" t="s">
        <v>288</v>
      </c>
      <c r="F131" t="s">
        <v>214</v>
      </c>
      <c r="G131" t="s">
        <v>217</v>
      </c>
      <c r="H131" s="7">
        <f>VLOOKUP(C131,'TB Apr 24'!$B$13:$F$103,5,0)</f>
        <v>54225</v>
      </c>
    </row>
    <row r="132" spans="1:8" x14ac:dyDescent="0.35">
      <c r="A132" s="77">
        <v>45383</v>
      </c>
      <c r="B132" s="3" t="s">
        <v>146</v>
      </c>
      <c r="C132" s="4" t="s">
        <v>147</v>
      </c>
      <c r="D132" s="4" t="s">
        <v>314</v>
      </c>
      <c r="E132" s="4" t="s">
        <v>288</v>
      </c>
      <c r="F132" t="s">
        <v>214</v>
      </c>
      <c r="G132" t="s">
        <v>217</v>
      </c>
      <c r="H132" s="7">
        <f>VLOOKUP(C132,'TB Apr 24'!$B$13:$F$103,5,0)</f>
        <v>46797.99</v>
      </c>
    </row>
    <row r="133" spans="1:8" x14ac:dyDescent="0.35">
      <c r="A133" s="77">
        <v>45383</v>
      </c>
      <c r="B133" s="3" t="s">
        <v>148</v>
      </c>
      <c r="C133" s="4" t="s">
        <v>149</v>
      </c>
      <c r="D133" s="4" t="s">
        <v>314</v>
      </c>
      <c r="E133" s="4" t="s">
        <v>287</v>
      </c>
      <c r="F133" t="s">
        <v>214</v>
      </c>
      <c r="G133" t="s">
        <v>217</v>
      </c>
      <c r="H133" s="7">
        <f>VLOOKUP(C133,'TB Apr 24'!$B$13:$F$103,5,0)</f>
        <v>79955</v>
      </c>
    </row>
    <row r="134" spans="1:8" x14ac:dyDescent="0.35">
      <c r="A134" s="77">
        <v>45383</v>
      </c>
      <c r="B134" s="3" t="s">
        <v>150</v>
      </c>
      <c r="C134" s="4" t="s">
        <v>87</v>
      </c>
      <c r="D134" s="4" t="s">
        <v>314</v>
      </c>
      <c r="E134" s="4" t="s">
        <v>288</v>
      </c>
      <c r="F134" t="s">
        <v>214</v>
      </c>
      <c r="G134" t="s">
        <v>217</v>
      </c>
      <c r="H134" s="7">
        <f>VLOOKUP(C134,'TB Apr 24'!$B$13:$F$103,5,0)</f>
        <v>0</v>
      </c>
    </row>
    <row r="135" spans="1:8" x14ac:dyDescent="0.35">
      <c r="A135" s="77">
        <v>45383</v>
      </c>
      <c r="B135" s="3" t="s">
        <v>151</v>
      </c>
      <c r="C135" s="4" t="s">
        <v>152</v>
      </c>
      <c r="D135" s="4" t="s">
        <v>314</v>
      </c>
      <c r="E135" s="4" t="s">
        <v>288</v>
      </c>
      <c r="F135" t="s">
        <v>214</v>
      </c>
      <c r="G135" t="s">
        <v>217</v>
      </c>
      <c r="H135" s="7">
        <f>VLOOKUP(C135,'TB Apr 24'!$B$13:$F$103,5,0)</f>
        <v>8885</v>
      </c>
    </row>
    <row r="136" spans="1:8" x14ac:dyDescent="0.35">
      <c r="A136" s="77">
        <v>45383</v>
      </c>
      <c r="B136" s="3" t="s">
        <v>153</v>
      </c>
      <c r="C136" s="4" t="s">
        <v>154</v>
      </c>
      <c r="D136" s="4" t="s">
        <v>314</v>
      </c>
      <c r="E136" s="4" t="s">
        <v>288</v>
      </c>
      <c r="F136" t="s">
        <v>214</v>
      </c>
      <c r="G136" t="s">
        <v>217</v>
      </c>
      <c r="H136" s="7">
        <f>VLOOKUP(C136,'TB Apr 24'!$B$13:$F$103,5,0)</f>
        <v>12222</v>
      </c>
    </row>
    <row r="137" spans="1:8" x14ac:dyDescent="0.35">
      <c r="A137" s="77">
        <v>45383</v>
      </c>
      <c r="B137" s="3" t="s">
        <v>155</v>
      </c>
      <c r="C137" s="4" t="s">
        <v>156</v>
      </c>
      <c r="D137" s="4" t="s">
        <v>314</v>
      </c>
      <c r="E137" s="4" t="s">
        <v>288</v>
      </c>
      <c r="F137" t="s">
        <v>214</v>
      </c>
      <c r="G137" t="s">
        <v>217</v>
      </c>
      <c r="H137" s="7">
        <f>VLOOKUP(C137,'TB Apr 24'!$B$13:$F$103,5,0)</f>
        <v>0</v>
      </c>
    </row>
    <row r="138" spans="1:8" x14ac:dyDescent="0.35">
      <c r="A138" s="77">
        <v>45383</v>
      </c>
      <c r="B138" s="3" t="s">
        <v>157</v>
      </c>
      <c r="C138" s="4" t="s">
        <v>158</v>
      </c>
      <c r="D138" s="4" t="s">
        <v>314</v>
      </c>
      <c r="E138" s="4" t="s">
        <v>292</v>
      </c>
      <c r="F138" t="s">
        <v>214</v>
      </c>
      <c r="G138" t="s">
        <v>217</v>
      </c>
      <c r="H138" s="7">
        <f>VLOOKUP(C138,'TB Apr 24'!$B$13:$F$103,5,0)</f>
        <v>0</v>
      </c>
    </row>
    <row r="139" spans="1:8" x14ac:dyDescent="0.35">
      <c r="A139" s="77">
        <v>45383</v>
      </c>
      <c r="B139" s="3" t="s">
        <v>159</v>
      </c>
      <c r="C139" s="4" t="s">
        <v>160</v>
      </c>
      <c r="D139" s="4" t="s">
        <v>314</v>
      </c>
      <c r="E139" s="4" t="s">
        <v>323</v>
      </c>
      <c r="F139" t="s">
        <v>214</v>
      </c>
      <c r="G139" t="s">
        <v>217</v>
      </c>
      <c r="H139" s="7">
        <f>VLOOKUP(C139,'TB Apr 24'!$B$13:$F$103,5,0)</f>
        <v>0</v>
      </c>
    </row>
    <row r="140" spans="1:8" x14ac:dyDescent="0.35">
      <c r="A140" s="77">
        <v>45383</v>
      </c>
      <c r="B140" s="3" t="s">
        <v>161</v>
      </c>
      <c r="C140" s="4" t="s">
        <v>162</v>
      </c>
      <c r="D140" s="4" t="s">
        <v>314</v>
      </c>
      <c r="E140" s="4" t="s">
        <v>323</v>
      </c>
      <c r="F140" t="s">
        <v>214</v>
      </c>
      <c r="G140" t="s">
        <v>217</v>
      </c>
      <c r="H140" s="7">
        <f>VLOOKUP(C140,'TB Apr 24'!$B$13:$F$103,5,0)</f>
        <v>0</v>
      </c>
    </row>
    <row r="141" spans="1:8" x14ac:dyDescent="0.35">
      <c r="A141" s="77">
        <v>45383</v>
      </c>
      <c r="B141" s="3" t="s">
        <v>163</v>
      </c>
      <c r="C141" s="4" t="s">
        <v>164</v>
      </c>
      <c r="D141" s="4" t="s">
        <v>314</v>
      </c>
      <c r="E141" s="4" t="s">
        <v>319</v>
      </c>
      <c r="F141" t="s">
        <v>214</v>
      </c>
      <c r="G141" t="s">
        <v>217</v>
      </c>
      <c r="H141" s="7">
        <f>VLOOKUP(C141,'TB Apr 24'!$B$13:$F$103,5,0)</f>
        <v>0</v>
      </c>
    </row>
    <row r="142" spans="1:8" x14ac:dyDescent="0.35">
      <c r="A142" s="77">
        <v>45383</v>
      </c>
      <c r="B142" s="3" t="s">
        <v>165</v>
      </c>
      <c r="C142" s="4" t="s">
        <v>166</v>
      </c>
      <c r="D142" s="4" t="s">
        <v>314</v>
      </c>
      <c r="E142" s="4" t="s">
        <v>304</v>
      </c>
      <c r="F142" t="s">
        <v>214</v>
      </c>
      <c r="G142" t="s">
        <v>217</v>
      </c>
      <c r="H142" s="7">
        <f>VLOOKUP(C142,'TB Apr 24'!$B$13:$F$103,5,0)</f>
        <v>28391</v>
      </c>
    </row>
    <row r="143" spans="1:8" x14ac:dyDescent="0.35">
      <c r="A143" s="77">
        <v>45383</v>
      </c>
      <c r="B143" s="3" t="s">
        <v>167</v>
      </c>
      <c r="C143" s="4" t="s">
        <v>168</v>
      </c>
      <c r="D143" s="4" t="s">
        <v>314</v>
      </c>
      <c r="E143" s="4" t="s">
        <v>322</v>
      </c>
      <c r="F143" t="s">
        <v>214</v>
      </c>
      <c r="G143" t="s">
        <v>217</v>
      </c>
      <c r="H143" s="7">
        <f>VLOOKUP(C143,'TB Apr 24'!$B$13:$F$103,5,0)</f>
        <v>0</v>
      </c>
    </row>
    <row r="144" spans="1:8" x14ac:dyDescent="0.35">
      <c r="A144" s="77">
        <v>45383</v>
      </c>
      <c r="B144" s="3" t="s">
        <v>169</v>
      </c>
      <c r="C144" s="4" t="s">
        <v>170</v>
      </c>
      <c r="D144" s="4" t="s">
        <v>314</v>
      </c>
      <c r="E144" s="4" t="s">
        <v>304</v>
      </c>
      <c r="F144" t="s">
        <v>214</v>
      </c>
      <c r="G144" t="s">
        <v>217</v>
      </c>
      <c r="H144" s="7">
        <f>VLOOKUP(C144,'TB Apr 24'!$B$13:$F$103,5,0)</f>
        <v>26270</v>
      </c>
    </row>
    <row r="145" spans="1:8" x14ac:dyDescent="0.35">
      <c r="A145" s="77">
        <v>45383</v>
      </c>
      <c r="B145" s="3" t="s">
        <v>171</v>
      </c>
      <c r="C145" s="4" t="s">
        <v>172</v>
      </c>
      <c r="D145" s="4" t="s">
        <v>314</v>
      </c>
      <c r="E145" s="4" t="s">
        <v>303</v>
      </c>
      <c r="F145" t="s">
        <v>214</v>
      </c>
      <c r="G145" t="s">
        <v>217</v>
      </c>
      <c r="H145" s="7">
        <f>VLOOKUP(C145,'TB Apr 24'!$B$13:$F$103,5,0)</f>
        <v>0</v>
      </c>
    </row>
    <row r="146" spans="1:8" x14ac:dyDescent="0.35">
      <c r="A146" s="77">
        <v>45383</v>
      </c>
      <c r="B146" s="3" t="s">
        <v>173</v>
      </c>
      <c r="C146" s="4" t="s">
        <v>174</v>
      </c>
      <c r="D146" s="4" t="s">
        <v>314</v>
      </c>
      <c r="E146" s="4" t="s">
        <v>257</v>
      </c>
      <c r="F146" t="s">
        <v>214</v>
      </c>
      <c r="G146" t="s">
        <v>217</v>
      </c>
      <c r="H146" s="7">
        <f>VLOOKUP(C146,'TB Apr 24'!$B$13:$F$103,5,0)</f>
        <v>0</v>
      </c>
    </row>
    <row r="147" spans="1:8" x14ac:dyDescent="0.35">
      <c r="A147" s="77">
        <v>45383</v>
      </c>
      <c r="B147" s="3" t="s">
        <v>175</v>
      </c>
      <c r="C147" s="4" t="s">
        <v>176</v>
      </c>
      <c r="D147" s="4" t="s">
        <v>314</v>
      </c>
      <c r="E147" s="4" t="s">
        <v>257</v>
      </c>
      <c r="F147" t="s">
        <v>214</v>
      </c>
      <c r="G147" t="s">
        <v>217</v>
      </c>
      <c r="H147" s="7">
        <f>VLOOKUP(C147,'TB Apr 24'!$B$13:$F$103,5,0)</f>
        <v>0</v>
      </c>
    </row>
    <row r="148" spans="1:8" x14ac:dyDescent="0.35">
      <c r="A148" s="77">
        <v>45383</v>
      </c>
      <c r="B148" s="3" t="s">
        <v>177</v>
      </c>
      <c r="C148" s="4" t="s">
        <v>178</v>
      </c>
      <c r="D148" s="4" t="s">
        <v>314</v>
      </c>
      <c r="E148" s="4" t="s">
        <v>257</v>
      </c>
      <c r="F148" t="s">
        <v>214</v>
      </c>
      <c r="G148" t="s">
        <v>217</v>
      </c>
      <c r="H148" s="7">
        <f>VLOOKUP(C148,'TB Apr 24'!$B$13:$F$103,5,0)</f>
        <v>0</v>
      </c>
    </row>
    <row r="149" spans="1:8" x14ac:dyDescent="0.35">
      <c r="A149" s="77">
        <v>45383</v>
      </c>
      <c r="B149" s="3" t="s">
        <v>179</v>
      </c>
      <c r="C149" s="4" t="s">
        <v>180</v>
      </c>
      <c r="D149" s="4" t="s">
        <v>314</v>
      </c>
      <c r="E149" s="4" t="s">
        <v>322</v>
      </c>
      <c r="F149" t="s">
        <v>214</v>
      </c>
      <c r="G149" t="s">
        <v>217</v>
      </c>
      <c r="H149" s="7">
        <f>VLOOKUP(C149,'TB Apr 24'!$B$13:$F$103,5,0)</f>
        <v>0</v>
      </c>
    </row>
    <row r="150" spans="1:8" x14ac:dyDescent="0.35">
      <c r="A150" s="77">
        <v>45383</v>
      </c>
      <c r="B150" s="3" t="s">
        <v>181</v>
      </c>
      <c r="C150" s="4" t="s">
        <v>182</v>
      </c>
      <c r="D150" s="4" t="s">
        <v>314</v>
      </c>
      <c r="E150" s="4" t="s">
        <v>290</v>
      </c>
      <c r="F150" t="s">
        <v>214</v>
      </c>
      <c r="G150" t="s">
        <v>217</v>
      </c>
      <c r="H150" s="7">
        <f>VLOOKUP(C150,'TB Apr 24'!$B$13:$F$103,5,0)</f>
        <v>2970</v>
      </c>
    </row>
    <row r="151" spans="1:8" x14ac:dyDescent="0.35">
      <c r="A151" s="77">
        <v>45383</v>
      </c>
      <c r="B151" s="3" t="s">
        <v>183</v>
      </c>
      <c r="C151" s="4" t="s">
        <v>184</v>
      </c>
      <c r="D151" s="4" t="s">
        <v>314</v>
      </c>
      <c r="E151" s="4" t="s">
        <v>290</v>
      </c>
      <c r="F151" t="s">
        <v>214</v>
      </c>
      <c r="G151" t="s">
        <v>217</v>
      </c>
      <c r="H151" s="7">
        <f>VLOOKUP(C151,'TB Apr 24'!$B$13:$F$103,5,0)</f>
        <v>0</v>
      </c>
    </row>
    <row r="152" spans="1:8" x14ac:dyDescent="0.35">
      <c r="A152" s="77">
        <v>45383</v>
      </c>
      <c r="B152" s="3" t="s">
        <v>185</v>
      </c>
      <c r="C152" s="4" t="s">
        <v>186</v>
      </c>
      <c r="D152" s="4" t="s">
        <v>314</v>
      </c>
      <c r="E152" s="4" t="s">
        <v>290</v>
      </c>
      <c r="F152" t="s">
        <v>214</v>
      </c>
      <c r="G152" t="s">
        <v>217</v>
      </c>
      <c r="H152" s="7">
        <f>VLOOKUP(C152,'TB Apr 24'!$B$13:$F$103,5,0)</f>
        <v>37575</v>
      </c>
    </row>
    <row r="153" spans="1:8" x14ac:dyDescent="0.35">
      <c r="A153" s="77">
        <v>45383</v>
      </c>
      <c r="B153" s="3" t="s">
        <v>187</v>
      </c>
      <c r="C153" s="4" t="s">
        <v>188</v>
      </c>
      <c r="D153" s="4" t="s">
        <v>314</v>
      </c>
      <c r="E153" s="4" t="s">
        <v>291</v>
      </c>
      <c r="F153" t="s">
        <v>214</v>
      </c>
      <c r="G153" t="s">
        <v>217</v>
      </c>
      <c r="H153" s="7">
        <f>VLOOKUP(C153,'TB Apr 24'!$B$13:$F$103,5,0)</f>
        <v>58641</v>
      </c>
    </row>
    <row r="154" spans="1:8" x14ac:dyDescent="0.35">
      <c r="A154" s="77">
        <v>45383</v>
      </c>
      <c r="B154" s="3" t="s">
        <v>189</v>
      </c>
      <c r="C154" s="4" t="s">
        <v>190</v>
      </c>
      <c r="D154" s="4" t="s">
        <v>314</v>
      </c>
      <c r="E154" s="4" t="s">
        <v>254</v>
      </c>
      <c r="F154" t="s">
        <v>214</v>
      </c>
      <c r="G154" t="s">
        <v>217</v>
      </c>
      <c r="H154" s="7">
        <f>VLOOKUP(C154,'TB Apr 24'!$B$13:$F$103,5,0)</f>
        <v>0</v>
      </c>
    </row>
    <row r="155" spans="1:8" x14ac:dyDescent="0.35">
      <c r="A155" s="77">
        <v>45383</v>
      </c>
      <c r="B155" s="3" t="s">
        <v>191</v>
      </c>
      <c r="C155" s="4" t="s">
        <v>192</v>
      </c>
      <c r="D155" s="4" t="s">
        <v>314</v>
      </c>
      <c r="E155" s="4" t="s">
        <v>254</v>
      </c>
      <c r="F155" t="s">
        <v>214</v>
      </c>
      <c r="G155" t="s">
        <v>217</v>
      </c>
      <c r="H155" s="7">
        <f>VLOOKUP(C155,'TB Apr 24'!$B$13:$F$103,5,0)</f>
        <v>0</v>
      </c>
    </row>
    <row r="156" spans="1:8" x14ac:dyDescent="0.35">
      <c r="A156" s="77">
        <v>45383</v>
      </c>
      <c r="B156" s="3" t="s">
        <v>193</v>
      </c>
      <c r="C156" s="4" t="s">
        <v>194</v>
      </c>
      <c r="D156" s="4" t="s">
        <v>314</v>
      </c>
      <c r="E156" s="4" t="s">
        <v>254</v>
      </c>
      <c r="F156" t="s">
        <v>214</v>
      </c>
      <c r="G156" t="s">
        <v>217</v>
      </c>
      <c r="H156" s="7">
        <f>VLOOKUP(C156,'TB Apr 24'!$B$13:$F$103,5,0)</f>
        <v>605865.15999999992</v>
      </c>
    </row>
    <row r="157" spans="1:8" x14ac:dyDescent="0.35">
      <c r="A157" s="77">
        <v>45383</v>
      </c>
      <c r="B157" s="3" t="s">
        <v>195</v>
      </c>
      <c r="C157" s="4" t="s">
        <v>196</v>
      </c>
      <c r="D157" s="4" t="s">
        <v>314</v>
      </c>
      <c r="E157" s="4" t="s">
        <v>255</v>
      </c>
      <c r="F157" t="s">
        <v>214</v>
      </c>
      <c r="G157" t="s">
        <v>217</v>
      </c>
      <c r="H157" s="7">
        <f>VLOOKUP(C157,'TB Apr 24'!$B$13:$F$103,5,0)</f>
        <v>0</v>
      </c>
    </row>
    <row r="158" spans="1:8" x14ac:dyDescent="0.35">
      <c r="A158" s="77">
        <v>45383</v>
      </c>
      <c r="B158" s="3" t="s">
        <v>197</v>
      </c>
      <c r="C158" s="4" t="s">
        <v>198</v>
      </c>
      <c r="D158" s="4" t="s">
        <v>314</v>
      </c>
      <c r="E158" s="4" t="s">
        <v>255</v>
      </c>
      <c r="F158" t="s">
        <v>214</v>
      </c>
      <c r="G158" t="s">
        <v>217</v>
      </c>
      <c r="H158" s="7">
        <f>VLOOKUP(C158,'TB Apr 24'!$B$13:$F$103,5,0)</f>
        <v>0</v>
      </c>
    </row>
    <row r="159" spans="1:8" x14ac:dyDescent="0.35">
      <c r="A159" s="77">
        <v>45383</v>
      </c>
      <c r="B159" s="3" t="s">
        <v>199</v>
      </c>
      <c r="C159" s="4" t="s">
        <v>200</v>
      </c>
      <c r="D159" s="4" t="s">
        <v>314</v>
      </c>
      <c r="E159" s="4" t="s">
        <v>254</v>
      </c>
      <c r="F159" t="s">
        <v>214</v>
      </c>
      <c r="G159" t="s">
        <v>217</v>
      </c>
      <c r="H159" s="7">
        <f>VLOOKUP(C159,'TB Apr 24'!$B$13:$F$103,5,0)</f>
        <v>0</v>
      </c>
    </row>
    <row r="160" spans="1:8" x14ac:dyDescent="0.35">
      <c r="A160" s="77">
        <v>45383</v>
      </c>
      <c r="B160" s="3" t="s">
        <v>201</v>
      </c>
      <c r="C160" s="4" t="s">
        <v>202</v>
      </c>
      <c r="D160" s="4" t="s">
        <v>314</v>
      </c>
      <c r="E160" s="4" t="s">
        <v>254</v>
      </c>
      <c r="F160" t="s">
        <v>214</v>
      </c>
      <c r="G160" t="s">
        <v>217</v>
      </c>
      <c r="H160" s="7">
        <f>VLOOKUP(C160,'TB Apr 24'!$B$13:$F$103,5,0)</f>
        <v>0</v>
      </c>
    </row>
    <row r="161" spans="1:8" x14ac:dyDescent="0.35">
      <c r="A161" s="77">
        <v>45383</v>
      </c>
      <c r="B161" s="3" t="s">
        <v>203</v>
      </c>
      <c r="C161" s="4" t="s">
        <v>204</v>
      </c>
      <c r="D161" s="4" t="s">
        <v>314</v>
      </c>
      <c r="E161" s="4" t="s">
        <v>256</v>
      </c>
      <c r="F161" t="s">
        <v>214</v>
      </c>
      <c r="G161" t="s">
        <v>217</v>
      </c>
      <c r="H161" s="7">
        <f>VLOOKUP(C161,'TB Apr 24'!$B$13:$F$103,5,0)</f>
        <v>0</v>
      </c>
    </row>
    <row r="162" spans="1:8" x14ac:dyDescent="0.35">
      <c r="A162" s="77">
        <v>45383</v>
      </c>
      <c r="B162" s="3" t="s">
        <v>205</v>
      </c>
      <c r="C162" s="6" t="s">
        <v>206</v>
      </c>
      <c r="D162" s="4" t="s">
        <v>314</v>
      </c>
      <c r="E162" s="6" t="s">
        <v>322</v>
      </c>
      <c r="F162" s="79" t="s">
        <v>214</v>
      </c>
      <c r="G162" s="79" t="s">
        <v>217</v>
      </c>
      <c r="H162" s="80">
        <f>VLOOKUP(C162,'TB Apr 24'!$B$13:$F$103,5,0)</f>
        <v>0</v>
      </c>
    </row>
    <row r="163" spans="1:8" x14ac:dyDescent="0.35">
      <c r="A163" s="77">
        <v>45383</v>
      </c>
      <c r="B163" s="3" t="s">
        <v>57</v>
      </c>
      <c r="C163" s="4" t="s">
        <v>58</v>
      </c>
      <c r="D163" s="4" t="s">
        <v>314</v>
      </c>
      <c r="E163" s="4" t="s">
        <v>253</v>
      </c>
      <c r="F163" t="s">
        <v>214</v>
      </c>
      <c r="G163" t="s">
        <v>219</v>
      </c>
      <c r="H163" s="7">
        <f>VLOOKUP(C163,'TB Apr 24'!$B$13:$H$103,7,0)</f>
        <v>0</v>
      </c>
    </row>
    <row r="164" spans="1:8" x14ac:dyDescent="0.35">
      <c r="A164" s="77">
        <v>45383</v>
      </c>
      <c r="B164" s="3" t="s">
        <v>307</v>
      </c>
      <c r="C164" s="4" t="s">
        <v>308</v>
      </c>
      <c r="D164" s="4" t="s">
        <v>314</v>
      </c>
      <c r="E164" s="4" t="s">
        <v>253</v>
      </c>
      <c r="F164" t="s">
        <v>214</v>
      </c>
      <c r="G164" t="s">
        <v>219</v>
      </c>
      <c r="H164" s="5">
        <f>VLOOKUP(C164,'TB Apr 24'!$B$13:$H$103,7,0)</f>
        <v>0</v>
      </c>
    </row>
    <row r="165" spans="1:8" x14ac:dyDescent="0.35">
      <c r="A165" s="77">
        <v>45383</v>
      </c>
      <c r="B165" s="3" t="s">
        <v>59</v>
      </c>
      <c r="C165" s="4" t="s">
        <v>60</v>
      </c>
      <c r="D165" s="4" t="s">
        <v>314</v>
      </c>
      <c r="E165" s="4" t="s">
        <v>253</v>
      </c>
      <c r="F165" t="s">
        <v>214</v>
      </c>
      <c r="G165" t="s">
        <v>219</v>
      </c>
      <c r="H165" s="5">
        <f>VLOOKUP(C165,'TB Apr 24'!$B$13:$H$103,7,0)</f>
        <v>-31.69</v>
      </c>
    </row>
    <row r="166" spans="1:8" x14ac:dyDescent="0.35">
      <c r="A166" s="77">
        <v>45383</v>
      </c>
      <c r="B166" s="3" t="s">
        <v>61</v>
      </c>
      <c r="C166" s="4" t="s">
        <v>62</v>
      </c>
      <c r="D166" s="4" t="s">
        <v>314</v>
      </c>
      <c r="E166" s="4" t="s">
        <v>66</v>
      </c>
      <c r="F166" t="s">
        <v>214</v>
      </c>
      <c r="G166" t="s">
        <v>219</v>
      </c>
      <c r="H166" s="5">
        <f>VLOOKUP(C166,'TB Apr 24'!$B$13:$H$103,7,0)</f>
        <v>-92001.55</v>
      </c>
    </row>
    <row r="167" spans="1:8" x14ac:dyDescent="0.35">
      <c r="A167" s="77">
        <v>45383</v>
      </c>
      <c r="B167" s="3" t="s">
        <v>63</v>
      </c>
      <c r="C167" s="4" t="s">
        <v>64</v>
      </c>
      <c r="D167" s="4" t="s">
        <v>314</v>
      </c>
      <c r="E167" s="4" t="s">
        <v>252</v>
      </c>
      <c r="F167" t="s">
        <v>214</v>
      </c>
      <c r="G167" t="s">
        <v>219</v>
      </c>
      <c r="H167" s="5">
        <f>VLOOKUP(C167,'TB Apr 24'!$B$13:$H$103,7,0)</f>
        <v>0</v>
      </c>
    </row>
    <row r="168" spans="1:8" x14ac:dyDescent="0.35">
      <c r="A168" s="77">
        <v>45383</v>
      </c>
      <c r="B168" s="3" t="s">
        <v>65</v>
      </c>
      <c r="C168" s="4" t="s">
        <v>66</v>
      </c>
      <c r="D168" s="4" t="s">
        <v>314</v>
      </c>
      <c r="E168" s="4" t="s">
        <v>66</v>
      </c>
      <c r="F168" t="s">
        <v>214</v>
      </c>
      <c r="G168" t="s">
        <v>219</v>
      </c>
      <c r="H168" s="5">
        <f>VLOOKUP(C168,'TB Apr 24'!$B$13:$H$103,7,0)</f>
        <v>-2326688.83</v>
      </c>
    </row>
    <row r="169" spans="1:8" x14ac:dyDescent="0.35">
      <c r="A169" s="77">
        <v>45383</v>
      </c>
      <c r="B169" s="3" t="s">
        <v>67</v>
      </c>
      <c r="C169" s="4" t="s">
        <v>68</v>
      </c>
      <c r="D169" s="4" t="s">
        <v>314</v>
      </c>
      <c r="E169" s="4" t="s">
        <v>252</v>
      </c>
      <c r="F169" t="s">
        <v>214</v>
      </c>
      <c r="G169" t="s">
        <v>219</v>
      </c>
      <c r="H169" s="5">
        <f>VLOOKUP(C169,'TB Apr 24'!$B$13:$H$103,7,0)</f>
        <v>-404033.54</v>
      </c>
    </row>
    <row r="170" spans="1:8" x14ac:dyDescent="0.35">
      <c r="A170" s="77">
        <v>45383</v>
      </c>
      <c r="B170" s="3" t="s">
        <v>69</v>
      </c>
      <c r="C170" s="4" t="s">
        <v>70</v>
      </c>
      <c r="D170" s="4" t="s">
        <v>314</v>
      </c>
      <c r="E170" s="4" t="s">
        <v>70</v>
      </c>
      <c r="F170" t="s">
        <v>214</v>
      </c>
      <c r="G170" t="s">
        <v>219</v>
      </c>
      <c r="H170" s="5">
        <f>VLOOKUP(C170,'TB Apr 24'!$B$13:$H$103,7,0)</f>
        <v>0</v>
      </c>
    </row>
    <row r="171" spans="1:8" x14ac:dyDescent="0.35">
      <c r="A171" s="77">
        <v>45383</v>
      </c>
      <c r="B171" s="3" t="s">
        <v>71</v>
      </c>
      <c r="C171" s="4" t="s">
        <v>72</v>
      </c>
      <c r="D171" s="4" t="s">
        <v>314</v>
      </c>
      <c r="E171" s="4" t="s">
        <v>253</v>
      </c>
      <c r="F171" t="s">
        <v>214</v>
      </c>
      <c r="G171" t="s">
        <v>219</v>
      </c>
      <c r="H171" s="5">
        <f>VLOOKUP(C171,'TB Apr 24'!$B$13:$H$103,7,0)</f>
        <v>0</v>
      </c>
    </row>
    <row r="172" spans="1:8" x14ac:dyDescent="0.35">
      <c r="A172" s="77">
        <v>45383</v>
      </c>
      <c r="B172" s="3" t="s">
        <v>73</v>
      </c>
      <c r="C172" s="4" t="s">
        <v>74</v>
      </c>
      <c r="D172" s="4" t="s">
        <v>314</v>
      </c>
      <c r="E172" s="4" t="s">
        <v>253</v>
      </c>
      <c r="F172" t="s">
        <v>214</v>
      </c>
      <c r="G172" t="s">
        <v>219</v>
      </c>
      <c r="H172" s="5">
        <f>VLOOKUP(C172,'TB Apr 24'!$B$13:$H$103,7,0)</f>
        <v>-4551.3999999999996</v>
      </c>
    </row>
    <row r="173" spans="1:8" x14ac:dyDescent="0.35">
      <c r="A173" s="77">
        <v>45383</v>
      </c>
      <c r="B173" s="3" t="s">
        <v>75</v>
      </c>
      <c r="C173" s="4" t="s">
        <v>76</v>
      </c>
      <c r="D173" s="4" t="s">
        <v>314</v>
      </c>
      <c r="E173" s="4" t="s">
        <v>253</v>
      </c>
      <c r="F173" t="s">
        <v>214</v>
      </c>
      <c r="G173" t="s">
        <v>219</v>
      </c>
      <c r="H173" s="5">
        <f>VLOOKUP(C173,'TB Apr 24'!$B$13:$H$103,7,0)</f>
        <v>0</v>
      </c>
    </row>
    <row r="174" spans="1:8" x14ac:dyDescent="0.35">
      <c r="A174" s="77">
        <v>45383</v>
      </c>
      <c r="B174" s="3" t="s">
        <v>77</v>
      </c>
      <c r="C174" s="4" t="s">
        <v>78</v>
      </c>
      <c r="D174" s="4" t="s">
        <v>314</v>
      </c>
      <c r="E174" s="4" t="s">
        <v>253</v>
      </c>
      <c r="F174" t="s">
        <v>214</v>
      </c>
      <c r="G174" t="s">
        <v>219</v>
      </c>
      <c r="H174" s="5">
        <f>VLOOKUP(C174,'TB Apr 24'!$B$13:$H$103,7,0)</f>
        <v>-67508.259999999995</v>
      </c>
    </row>
    <row r="175" spans="1:8" x14ac:dyDescent="0.35">
      <c r="A175" s="77">
        <v>45383</v>
      </c>
      <c r="B175" s="3" t="s">
        <v>79</v>
      </c>
      <c r="C175" s="4" t="s">
        <v>80</v>
      </c>
      <c r="D175" s="4" t="s">
        <v>314</v>
      </c>
      <c r="E175" s="4" t="s">
        <v>253</v>
      </c>
      <c r="F175" t="s">
        <v>214</v>
      </c>
      <c r="G175" t="s">
        <v>219</v>
      </c>
      <c r="H175" s="5">
        <f>VLOOKUP(C175,'TB Apr 24'!$B$13:$H$103,7,0)</f>
        <v>0</v>
      </c>
    </row>
    <row r="176" spans="1:8" x14ac:dyDescent="0.35">
      <c r="A176" s="77">
        <v>45383</v>
      </c>
      <c r="B176" s="3" t="s">
        <v>81</v>
      </c>
      <c r="C176" s="4" t="s">
        <v>82</v>
      </c>
      <c r="D176" s="4" t="s">
        <v>314</v>
      </c>
      <c r="E176" s="4" t="s">
        <v>319</v>
      </c>
      <c r="F176" t="s">
        <v>214</v>
      </c>
      <c r="G176" t="s">
        <v>219</v>
      </c>
      <c r="H176" s="5">
        <f>VLOOKUP(C176,'TB Apr 24'!$B$13:$H$103,7,0)</f>
        <v>0</v>
      </c>
    </row>
    <row r="177" spans="1:8" x14ac:dyDescent="0.35">
      <c r="A177" s="77">
        <v>45383</v>
      </c>
      <c r="B177" s="3" t="s">
        <v>83</v>
      </c>
      <c r="C177" s="4" t="s">
        <v>84</v>
      </c>
      <c r="D177" s="4" t="s">
        <v>314</v>
      </c>
      <c r="E177" s="4" t="s">
        <v>319</v>
      </c>
      <c r="F177" t="s">
        <v>214</v>
      </c>
      <c r="G177" t="s">
        <v>219</v>
      </c>
      <c r="H177" s="5">
        <f>VLOOKUP(C177,'TB Apr 24'!$B$13:$H$103,7,0)</f>
        <v>0</v>
      </c>
    </row>
    <row r="178" spans="1:8" x14ac:dyDescent="0.35">
      <c r="A178" s="77">
        <v>45383</v>
      </c>
      <c r="B178" s="3" t="s">
        <v>85</v>
      </c>
      <c r="C178" s="4" t="s">
        <v>86</v>
      </c>
      <c r="D178" s="4" t="s">
        <v>314</v>
      </c>
      <c r="E178" s="4" t="s">
        <v>291</v>
      </c>
      <c r="F178" t="s">
        <v>214</v>
      </c>
      <c r="G178" t="s">
        <v>219</v>
      </c>
      <c r="H178" s="5">
        <f>VLOOKUP(C178,'TB Apr 24'!$B$13:$H$103,7,0)</f>
        <v>0</v>
      </c>
    </row>
    <row r="179" spans="1:8" x14ac:dyDescent="0.35">
      <c r="A179" s="77">
        <v>45383</v>
      </c>
      <c r="B179" s="3" t="s">
        <v>88</v>
      </c>
      <c r="C179" s="4" t="s">
        <v>89</v>
      </c>
      <c r="D179" s="4" t="s">
        <v>314</v>
      </c>
      <c r="E179" s="4" t="s">
        <v>300</v>
      </c>
      <c r="F179" t="s">
        <v>214</v>
      </c>
      <c r="G179" t="s">
        <v>219</v>
      </c>
      <c r="H179" s="5">
        <f>VLOOKUP(C179,'TB Apr 24'!$B$13:$H$103,7,0)</f>
        <v>14795</v>
      </c>
    </row>
    <row r="180" spans="1:8" x14ac:dyDescent="0.35">
      <c r="A180" s="77">
        <v>45383</v>
      </c>
      <c r="B180" s="3" t="s">
        <v>90</v>
      </c>
      <c r="C180" s="4" t="s">
        <v>91</v>
      </c>
      <c r="D180" s="4" t="s">
        <v>314</v>
      </c>
      <c r="E180" s="4" t="s">
        <v>300</v>
      </c>
      <c r="F180" t="s">
        <v>214</v>
      </c>
      <c r="G180" t="s">
        <v>219</v>
      </c>
      <c r="H180" s="5">
        <f>VLOOKUP(C180,'TB Apr 24'!$B$13:$H$103,7,0)</f>
        <v>7106</v>
      </c>
    </row>
    <row r="181" spans="1:8" x14ac:dyDescent="0.35">
      <c r="A181" s="77">
        <v>45383</v>
      </c>
      <c r="B181" s="3" t="s">
        <v>92</v>
      </c>
      <c r="C181" s="4" t="s">
        <v>93</v>
      </c>
      <c r="D181" s="4" t="s">
        <v>314</v>
      </c>
      <c r="E181" s="4" t="s">
        <v>300</v>
      </c>
      <c r="F181" t="s">
        <v>214</v>
      </c>
      <c r="G181" t="s">
        <v>219</v>
      </c>
      <c r="H181" s="5">
        <f>VLOOKUP(C181,'TB Apr 24'!$B$13:$H$103,7,0)</f>
        <v>0</v>
      </c>
    </row>
    <row r="182" spans="1:8" x14ac:dyDescent="0.35">
      <c r="A182" s="77">
        <v>45383</v>
      </c>
      <c r="B182" s="3" t="s">
        <v>94</v>
      </c>
      <c r="C182" s="4" t="s">
        <v>95</v>
      </c>
      <c r="D182" s="4" t="s">
        <v>314</v>
      </c>
      <c r="E182" s="4" t="s">
        <v>289</v>
      </c>
      <c r="F182" t="s">
        <v>214</v>
      </c>
      <c r="G182" t="s">
        <v>219</v>
      </c>
      <c r="H182" s="5">
        <f>VLOOKUP(C182,'TB Apr 24'!$B$13:$H$103,7,0)</f>
        <v>523244.5</v>
      </c>
    </row>
    <row r="183" spans="1:8" x14ac:dyDescent="0.35">
      <c r="A183" s="77">
        <v>45383</v>
      </c>
      <c r="B183" s="3" t="s">
        <v>96</v>
      </c>
      <c r="C183" s="4" t="s">
        <v>97</v>
      </c>
      <c r="D183" s="4" t="s">
        <v>314</v>
      </c>
      <c r="E183" s="4" t="s">
        <v>289</v>
      </c>
      <c r="F183" t="s">
        <v>214</v>
      </c>
      <c r="G183" t="s">
        <v>219</v>
      </c>
      <c r="H183" s="5">
        <f>VLOOKUP(C183,'TB Apr 24'!$B$13:$H$103,7,0)</f>
        <v>0</v>
      </c>
    </row>
    <row r="184" spans="1:8" x14ac:dyDescent="0.35">
      <c r="A184" s="77">
        <v>45383</v>
      </c>
      <c r="B184" s="3" t="s">
        <v>309</v>
      </c>
      <c r="C184" s="4" t="s">
        <v>310</v>
      </c>
      <c r="D184" s="4" t="s">
        <v>314</v>
      </c>
      <c r="E184" s="4" t="s">
        <v>289</v>
      </c>
      <c r="F184" t="s">
        <v>214</v>
      </c>
      <c r="G184" t="s">
        <v>219</v>
      </c>
      <c r="H184" s="5">
        <f>VLOOKUP(C184,'TB Apr 24'!$B$13:$H$103,7,0)</f>
        <v>0</v>
      </c>
    </row>
    <row r="185" spans="1:8" x14ac:dyDescent="0.35">
      <c r="A185" s="77">
        <v>45383</v>
      </c>
      <c r="B185" s="3" t="s">
        <v>98</v>
      </c>
      <c r="C185" s="4" t="s">
        <v>99</v>
      </c>
      <c r="D185" s="4" t="s">
        <v>314</v>
      </c>
      <c r="E185" s="4" t="s">
        <v>289</v>
      </c>
      <c r="F185" t="s">
        <v>214</v>
      </c>
      <c r="G185" t="s">
        <v>219</v>
      </c>
      <c r="H185" s="5">
        <f>VLOOKUP(C185,'TB Apr 24'!$B$13:$H$103,7,0)</f>
        <v>0</v>
      </c>
    </row>
    <row r="186" spans="1:8" x14ac:dyDescent="0.35">
      <c r="A186" s="77">
        <v>45383</v>
      </c>
      <c r="B186" s="3" t="s">
        <v>100</v>
      </c>
      <c r="C186" s="4" t="s">
        <v>101</v>
      </c>
      <c r="D186" s="4" t="s">
        <v>314</v>
      </c>
      <c r="E186" s="4" t="s">
        <v>291</v>
      </c>
      <c r="F186" t="s">
        <v>214</v>
      </c>
      <c r="G186" t="s">
        <v>219</v>
      </c>
      <c r="H186" s="5">
        <f>VLOOKUP(C186,'TB Apr 24'!$B$13:$H$103,7,0)</f>
        <v>0</v>
      </c>
    </row>
    <row r="187" spans="1:8" x14ac:dyDescent="0.35">
      <c r="A187" s="77">
        <v>45383</v>
      </c>
      <c r="B187" s="3" t="s">
        <v>102</v>
      </c>
      <c r="C187" s="4" t="s">
        <v>103</v>
      </c>
      <c r="D187" s="4" t="s">
        <v>314</v>
      </c>
      <c r="E187" s="4" t="s">
        <v>291</v>
      </c>
      <c r="F187" t="s">
        <v>214</v>
      </c>
      <c r="G187" t="s">
        <v>219</v>
      </c>
      <c r="H187" s="5">
        <f>VLOOKUP(C187,'TB Apr 24'!$B$13:$H$103,7,0)</f>
        <v>0</v>
      </c>
    </row>
    <row r="188" spans="1:8" x14ac:dyDescent="0.35">
      <c r="A188" s="77">
        <v>45383</v>
      </c>
      <c r="B188" s="3" t="s">
        <v>104</v>
      </c>
      <c r="C188" s="4" t="s">
        <v>105</v>
      </c>
      <c r="D188" s="4" t="s">
        <v>314</v>
      </c>
      <c r="E188" s="4" t="s">
        <v>291</v>
      </c>
      <c r="F188" t="s">
        <v>214</v>
      </c>
      <c r="G188" t="s">
        <v>219</v>
      </c>
      <c r="H188" s="5">
        <f>VLOOKUP(C188,'TB Apr 24'!$B$13:$H$103,7,0)</f>
        <v>1200</v>
      </c>
    </row>
    <row r="189" spans="1:8" x14ac:dyDescent="0.35">
      <c r="A189" s="77">
        <v>45383</v>
      </c>
      <c r="B189" s="3" t="s">
        <v>106</v>
      </c>
      <c r="C189" s="4" t="s">
        <v>107</v>
      </c>
      <c r="D189" s="4" t="s">
        <v>314</v>
      </c>
      <c r="E189" s="4" t="s">
        <v>321</v>
      </c>
      <c r="F189" t="s">
        <v>214</v>
      </c>
      <c r="G189" t="s">
        <v>219</v>
      </c>
      <c r="H189" s="5">
        <f>VLOOKUP(C189,'TB Apr 24'!$B$13:$H$103,7,0)</f>
        <v>0</v>
      </c>
    </row>
    <row r="190" spans="1:8" x14ac:dyDescent="0.35">
      <c r="A190" s="77">
        <v>45383</v>
      </c>
      <c r="B190" s="3" t="s">
        <v>108</v>
      </c>
      <c r="C190" s="4" t="s">
        <v>109</v>
      </c>
      <c r="D190" s="4" t="s">
        <v>314</v>
      </c>
      <c r="E190" s="4" t="s">
        <v>321</v>
      </c>
      <c r="F190" t="s">
        <v>214</v>
      </c>
      <c r="G190" t="s">
        <v>219</v>
      </c>
      <c r="H190" s="5">
        <f>VLOOKUP(C190,'TB Apr 24'!$B$13:$H$103,7,0)</f>
        <v>0</v>
      </c>
    </row>
    <row r="191" spans="1:8" x14ac:dyDescent="0.35">
      <c r="A191" s="77">
        <v>45383</v>
      </c>
      <c r="B191" s="3" t="s">
        <v>110</v>
      </c>
      <c r="C191" s="4" t="s">
        <v>111</v>
      </c>
      <c r="D191" s="4" t="s">
        <v>314</v>
      </c>
      <c r="E191" s="4" t="s">
        <v>320</v>
      </c>
      <c r="F191" t="s">
        <v>214</v>
      </c>
      <c r="G191" t="s">
        <v>219</v>
      </c>
      <c r="H191" s="5">
        <f>VLOOKUP(C191,'TB Apr 24'!$B$13:$H$103,7,0)</f>
        <v>0</v>
      </c>
    </row>
    <row r="192" spans="1:8" x14ac:dyDescent="0.35">
      <c r="A192" s="77">
        <v>45383</v>
      </c>
      <c r="B192" s="3" t="s">
        <v>112</v>
      </c>
      <c r="C192" s="4" t="s">
        <v>113</v>
      </c>
      <c r="D192" s="4" t="s">
        <v>314</v>
      </c>
      <c r="E192" s="4" t="s">
        <v>321</v>
      </c>
      <c r="F192" t="s">
        <v>214</v>
      </c>
      <c r="G192" t="s">
        <v>219</v>
      </c>
      <c r="H192" s="5">
        <f>VLOOKUP(C192,'TB Apr 24'!$B$13:$H$103,7,0)</f>
        <v>2958</v>
      </c>
    </row>
    <row r="193" spans="1:8" x14ac:dyDescent="0.35">
      <c r="A193" s="77">
        <v>45383</v>
      </c>
      <c r="B193" s="3" t="s">
        <v>311</v>
      </c>
      <c r="C193" s="4" t="s">
        <v>312</v>
      </c>
      <c r="D193" s="4" t="s">
        <v>314</v>
      </c>
      <c r="E193" s="4" t="s">
        <v>288</v>
      </c>
      <c r="F193" t="s">
        <v>214</v>
      </c>
      <c r="G193" t="s">
        <v>219</v>
      </c>
      <c r="H193" s="5">
        <f>VLOOKUP(C193,'TB Apr 24'!$B$13:$H$103,7,0)</f>
        <v>0</v>
      </c>
    </row>
    <row r="194" spans="1:8" x14ac:dyDescent="0.35">
      <c r="A194" s="77">
        <v>45383</v>
      </c>
      <c r="B194" s="3" t="s">
        <v>114</v>
      </c>
      <c r="C194" s="4" t="s">
        <v>115</v>
      </c>
      <c r="D194" s="4" t="s">
        <v>314</v>
      </c>
      <c r="E194" s="4" t="s">
        <v>294</v>
      </c>
      <c r="F194" t="s">
        <v>214</v>
      </c>
      <c r="G194" t="s">
        <v>219</v>
      </c>
      <c r="H194" s="5">
        <f>VLOOKUP(C194,'TB Apr 24'!$B$13:$H$103,7,0)</f>
        <v>0</v>
      </c>
    </row>
    <row r="195" spans="1:8" x14ac:dyDescent="0.35">
      <c r="A195" s="77">
        <v>45383</v>
      </c>
      <c r="B195" s="3" t="s">
        <v>116</v>
      </c>
      <c r="C195" s="4" t="s">
        <v>117</v>
      </c>
      <c r="D195" s="4" t="s">
        <v>314</v>
      </c>
      <c r="E195" s="4" t="s">
        <v>296</v>
      </c>
      <c r="F195" t="s">
        <v>214</v>
      </c>
      <c r="G195" t="s">
        <v>219</v>
      </c>
      <c r="H195" s="5">
        <f>VLOOKUP(C195,'TB Apr 24'!$B$13:$H$103,7,0)</f>
        <v>0</v>
      </c>
    </row>
    <row r="196" spans="1:8" x14ac:dyDescent="0.35">
      <c r="A196" s="77">
        <v>45383</v>
      </c>
      <c r="B196" s="3" t="s">
        <v>118</v>
      </c>
      <c r="C196" s="4" t="s">
        <v>119</v>
      </c>
      <c r="D196" s="4" t="s">
        <v>314</v>
      </c>
      <c r="E196" s="4" t="s">
        <v>296</v>
      </c>
      <c r="F196" t="s">
        <v>214</v>
      </c>
      <c r="G196" t="s">
        <v>219</v>
      </c>
      <c r="H196" s="5">
        <f>VLOOKUP(C196,'TB Apr 24'!$B$13:$H$103,7,0)</f>
        <v>0</v>
      </c>
    </row>
    <row r="197" spans="1:8" x14ac:dyDescent="0.35">
      <c r="A197" s="77">
        <v>45383</v>
      </c>
      <c r="B197" s="3" t="s">
        <v>120</v>
      </c>
      <c r="C197" s="4" t="s">
        <v>121</v>
      </c>
      <c r="D197" s="4" t="s">
        <v>314</v>
      </c>
      <c r="E197" s="4" t="s">
        <v>322</v>
      </c>
      <c r="F197" t="s">
        <v>214</v>
      </c>
      <c r="G197" t="s">
        <v>219</v>
      </c>
      <c r="H197" s="5">
        <f>VLOOKUP(C197,'TB Apr 24'!$B$13:$H$103,7,0)</f>
        <v>991</v>
      </c>
    </row>
    <row r="198" spans="1:8" x14ac:dyDescent="0.35">
      <c r="A198" s="77">
        <v>45383</v>
      </c>
      <c r="B198" s="3" t="s">
        <v>122</v>
      </c>
      <c r="C198" s="4" t="s">
        <v>123</v>
      </c>
      <c r="D198" s="4" t="s">
        <v>314</v>
      </c>
      <c r="E198" s="4" t="s">
        <v>322</v>
      </c>
      <c r="F198" t="s">
        <v>214</v>
      </c>
      <c r="G198" t="s">
        <v>219</v>
      </c>
      <c r="H198" s="5">
        <f>VLOOKUP(C198,'TB Apr 24'!$B$13:$H$103,7,0)</f>
        <v>0</v>
      </c>
    </row>
    <row r="199" spans="1:8" x14ac:dyDescent="0.35">
      <c r="A199" s="77">
        <v>45383</v>
      </c>
      <c r="B199" s="3" t="s">
        <v>124</v>
      </c>
      <c r="C199" s="4" t="s">
        <v>125</v>
      </c>
      <c r="D199" s="4" t="s">
        <v>314</v>
      </c>
      <c r="E199" s="4" t="s">
        <v>322</v>
      </c>
      <c r="F199" t="s">
        <v>214</v>
      </c>
      <c r="G199" t="s">
        <v>219</v>
      </c>
      <c r="H199" s="5">
        <f>VLOOKUP(C199,'TB Apr 24'!$B$13:$H$103,7,0)</f>
        <v>3931</v>
      </c>
    </row>
    <row r="200" spans="1:8" x14ac:dyDescent="0.35">
      <c r="A200" s="77">
        <v>45383</v>
      </c>
      <c r="B200" s="3" t="s">
        <v>126</v>
      </c>
      <c r="C200" s="4" t="s">
        <v>127</v>
      </c>
      <c r="D200" s="4" t="s">
        <v>314</v>
      </c>
      <c r="E200" s="4" t="s">
        <v>291</v>
      </c>
      <c r="F200" t="s">
        <v>214</v>
      </c>
      <c r="G200" t="s">
        <v>219</v>
      </c>
      <c r="H200" s="5">
        <f>VLOOKUP(C200,'TB Apr 24'!$B$13:$H$103,7,0)</f>
        <v>0</v>
      </c>
    </row>
    <row r="201" spans="1:8" x14ac:dyDescent="0.35">
      <c r="A201" s="77">
        <v>45383</v>
      </c>
      <c r="B201" s="3" t="s">
        <v>128</v>
      </c>
      <c r="C201" s="4" t="s">
        <v>129</v>
      </c>
      <c r="D201" s="4" t="s">
        <v>314</v>
      </c>
      <c r="E201" s="4" t="s">
        <v>322</v>
      </c>
      <c r="F201" t="s">
        <v>214</v>
      </c>
      <c r="G201" t="s">
        <v>219</v>
      </c>
      <c r="H201" s="5">
        <f>VLOOKUP(C201,'TB Apr 24'!$B$13:$H$103,7,0)</f>
        <v>17262</v>
      </c>
    </row>
    <row r="202" spans="1:8" x14ac:dyDescent="0.35">
      <c r="A202" s="77">
        <v>45383</v>
      </c>
      <c r="B202" s="3" t="s">
        <v>130</v>
      </c>
      <c r="C202" s="4" t="s">
        <v>131</v>
      </c>
      <c r="D202" s="4" t="s">
        <v>314</v>
      </c>
      <c r="E202" s="4" t="s">
        <v>322</v>
      </c>
      <c r="F202" t="s">
        <v>214</v>
      </c>
      <c r="G202" t="s">
        <v>219</v>
      </c>
      <c r="H202" s="5">
        <f>VLOOKUP(C202,'TB Apr 24'!$B$13:$H$103,7,0)</f>
        <v>0</v>
      </c>
    </row>
    <row r="203" spans="1:8" x14ac:dyDescent="0.35">
      <c r="A203" s="77">
        <v>45383</v>
      </c>
      <c r="B203" s="3" t="s">
        <v>132</v>
      </c>
      <c r="C203" s="4" t="s">
        <v>133</v>
      </c>
      <c r="D203" s="4" t="s">
        <v>314</v>
      </c>
      <c r="E203" s="4" t="s">
        <v>320</v>
      </c>
      <c r="F203" t="s">
        <v>214</v>
      </c>
      <c r="G203" t="s">
        <v>219</v>
      </c>
      <c r="H203" s="5">
        <f>VLOOKUP(C203,'TB Apr 24'!$B$13:$H$103,7,0)</f>
        <v>24410</v>
      </c>
    </row>
    <row r="204" spans="1:8" x14ac:dyDescent="0.35">
      <c r="A204" s="77">
        <v>45383</v>
      </c>
      <c r="B204" s="3" t="s">
        <v>134</v>
      </c>
      <c r="C204" s="4" t="s">
        <v>135</v>
      </c>
      <c r="D204" s="4" t="s">
        <v>314</v>
      </c>
      <c r="E204" s="4" t="s">
        <v>299</v>
      </c>
      <c r="F204" t="s">
        <v>214</v>
      </c>
      <c r="G204" t="s">
        <v>219</v>
      </c>
      <c r="H204" s="5">
        <f>VLOOKUP(C204,'TB Apr 24'!$B$13:$H$103,7,0)</f>
        <v>0</v>
      </c>
    </row>
    <row r="205" spans="1:8" x14ac:dyDescent="0.35">
      <c r="A205" s="77">
        <v>45383</v>
      </c>
      <c r="B205" s="3" t="s">
        <v>136</v>
      </c>
      <c r="C205" s="4" t="s">
        <v>137</v>
      </c>
      <c r="D205" s="4" t="s">
        <v>314</v>
      </c>
      <c r="E205" s="4" t="s">
        <v>322</v>
      </c>
      <c r="F205" t="s">
        <v>214</v>
      </c>
      <c r="G205" t="s">
        <v>219</v>
      </c>
      <c r="H205" s="5">
        <f>VLOOKUP(C205,'TB Apr 24'!$B$13:$H$103,7,0)</f>
        <v>0</v>
      </c>
    </row>
    <row r="206" spans="1:8" x14ac:dyDescent="0.35">
      <c r="A206" s="77">
        <v>45383</v>
      </c>
      <c r="B206" s="3" t="s">
        <v>138</v>
      </c>
      <c r="C206" s="4" t="s">
        <v>139</v>
      </c>
      <c r="D206" s="4" t="s">
        <v>314</v>
      </c>
      <c r="E206" s="4" t="s">
        <v>294</v>
      </c>
      <c r="F206" t="s">
        <v>214</v>
      </c>
      <c r="G206" t="s">
        <v>219</v>
      </c>
      <c r="H206" s="5">
        <f>VLOOKUP(C206,'TB Apr 24'!$B$13:$H$103,7,0)</f>
        <v>3356</v>
      </c>
    </row>
    <row r="207" spans="1:8" x14ac:dyDescent="0.35">
      <c r="A207" s="77">
        <v>45383</v>
      </c>
      <c r="B207" s="3" t="s">
        <v>140</v>
      </c>
      <c r="C207" s="4" t="s">
        <v>141</v>
      </c>
      <c r="D207" s="4" t="s">
        <v>314</v>
      </c>
      <c r="E207" s="4" t="s">
        <v>268</v>
      </c>
      <c r="F207" t="s">
        <v>214</v>
      </c>
      <c r="G207" t="s">
        <v>219</v>
      </c>
      <c r="H207" s="5">
        <f>VLOOKUP(C207,'TB Apr 24'!$B$13:$H$103,7,0)</f>
        <v>318429.67969999998</v>
      </c>
    </row>
    <row r="208" spans="1:8" x14ac:dyDescent="0.35">
      <c r="A208" s="77">
        <v>45383</v>
      </c>
      <c r="B208" s="3" t="s">
        <v>142</v>
      </c>
      <c r="C208" s="4" t="s">
        <v>143</v>
      </c>
      <c r="D208" s="4" t="s">
        <v>314</v>
      </c>
      <c r="E208" s="4" t="s">
        <v>269</v>
      </c>
      <c r="F208" t="s">
        <v>214</v>
      </c>
      <c r="G208" t="s">
        <v>219</v>
      </c>
      <c r="H208" s="5">
        <f>VLOOKUP(C208,'TB Apr 24'!$B$13:$H$103,7,0)</f>
        <v>120444</v>
      </c>
    </row>
    <row r="209" spans="1:8" x14ac:dyDescent="0.35">
      <c r="A209" s="77">
        <v>45383</v>
      </c>
      <c r="B209" s="3" t="s">
        <v>144</v>
      </c>
      <c r="C209" s="4" t="s">
        <v>145</v>
      </c>
      <c r="D209" s="4" t="s">
        <v>314</v>
      </c>
      <c r="E209" s="4" t="s">
        <v>288</v>
      </c>
      <c r="F209" t="s">
        <v>214</v>
      </c>
      <c r="G209" t="s">
        <v>219</v>
      </c>
      <c r="H209" s="5">
        <f>VLOOKUP(C209,'TB Apr 24'!$B$13:$H$103,7,0)</f>
        <v>60072</v>
      </c>
    </row>
    <row r="210" spans="1:8" x14ac:dyDescent="0.35">
      <c r="A210" s="77">
        <v>45383</v>
      </c>
      <c r="B210" s="3" t="s">
        <v>146</v>
      </c>
      <c r="C210" s="4" t="s">
        <v>147</v>
      </c>
      <c r="D210" s="4" t="s">
        <v>314</v>
      </c>
      <c r="E210" s="4" t="s">
        <v>288</v>
      </c>
      <c r="F210" t="s">
        <v>214</v>
      </c>
      <c r="G210" t="s">
        <v>219</v>
      </c>
      <c r="H210" s="5">
        <f>VLOOKUP(C210,'TB Apr 24'!$B$13:$H$103,7,0)</f>
        <v>23380.27</v>
      </c>
    </row>
    <row r="211" spans="1:8" x14ac:dyDescent="0.35">
      <c r="A211" s="77">
        <v>45383</v>
      </c>
      <c r="B211" s="3" t="s">
        <v>148</v>
      </c>
      <c r="C211" s="4" t="s">
        <v>149</v>
      </c>
      <c r="D211" s="4" t="s">
        <v>314</v>
      </c>
      <c r="E211" s="4" t="s">
        <v>287</v>
      </c>
      <c r="F211" t="s">
        <v>214</v>
      </c>
      <c r="G211" t="s">
        <v>219</v>
      </c>
      <c r="H211" s="5">
        <f>VLOOKUP(C211,'TB Apr 24'!$B$13:$H$103,7,0)</f>
        <v>100583</v>
      </c>
    </row>
    <row r="212" spans="1:8" x14ac:dyDescent="0.35">
      <c r="A212" s="77">
        <v>45383</v>
      </c>
      <c r="B212" s="3" t="s">
        <v>150</v>
      </c>
      <c r="C212" s="4" t="s">
        <v>87</v>
      </c>
      <c r="D212" s="4" t="s">
        <v>314</v>
      </c>
      <c r="E212" s="4" t="s">
        <v>288</v>
      </c>
      <c r="F212" t="s">
        <v>214</v>
      </c>
      <c r="G212" t="s">
        <v>219</v>
      </c>
      <c r="H212" s="5">
        <f>VLOOKUP(C212,'TB Apr 24'!$B$13:$H$103,7,0)</f>
        <v>0</v>
      </c>
    </row>
    <row r="213" spans="1:8" x14ac:dyDescent="0.35">
      <c r="A213" s="77">
        <v>45383</v>
      </c>
      <c r="B213" s="3" t="s">
        <v>151</v>
      </c>
      <c r="C213" s="4" t="s">
        <v>152</v>
      </c>
      <c r="D213" s="4" t="s">
        <v>314</v>
      </c>
      <c r="E213" s="4" t="s">
        <v>288</v>
      </c>
      <c r="F213" t="s">
        <v>214</v>
      </c>
      <c r="G213" t="s">
        <v>219</v>
      </c>
      <c r="H213" s="5">
        <f>VLOOKUP(C213,'TB Apr 24'!$B$13:$H$103,7,0)</f>
        <v>11934</v>
      </c>
    </row>
    <row r="214" spans="1:8" x14ac:dyDescent="0.35">
      <c r="A214" s="77">
        <v>45383</v>
      </c>
      <c r="B214" s="3" t="s">
        <v>153</v>
      </c>
      <c r="C214" s="4" t="s">
        <v>154</v>
      </c>
      <c r="D214" s="4" t="s">
        <v>314</v>
      </c>
      <c r="E214" s="4" t="s">
        <v>288</v>
      </c>
      <c r="F214" t="s">
        <v>214</v>
      </c>
      <c r="G214" t="s">
        <v>219</v>
      </c>
      <c r="H214" s="5">
        <f>VLOOKUP(C214,'TB Apr 24'!$B$13:$H$103,7,0)</f>
        <v>12346</v>
      </c>
    </row>
    <row r="215" spans="1:8" x14ac:dyDescent="0.35">
      <c r="A215" s="77">
        <v>45383</v>
      </c>
      <c r="B215" s="3" t="s">
        <v>155</v>
      </c>
      <c r="C215" s="4" t="s">
        <v>156</v>
      </c>
      <c r="D215" s="4" t="s">
        <v>314</v>
      </c>
      <c r="E215" s="4" t="s">
        <v>288</v>
      </c>
      <c r="F215" t="s">
        <v>214</v>
      </c>
      <c r="G215" t="s">
        <v>219</v>
      </c>
      <c r="H215" s="5">
        <f>VLOOKUP(C215,'TB Apr 24'!$B$13:$H$103,7,0)</f>
        <v>0</v>
      </c>
    </row>
    <row r="216" spans="1:8" x14ac:dyDescent="0.35">
      <c r="A216" s="77">
        <v>45383</v>
      </c>
      <c r="B216" s="3" t="s">
        <v>157</v>
      </c>
      <c r="C216" s="4" t="s">
        <v>158</v>
      </c>
      <c r="D216" s="4" t="s">
        <v>314</v>
      </c>
      <c r="E216" s="4" t="s">
        <v>292</v>
      </c>
      <c r="F216" t="s">
        <v>214</v>
      </c>
      <c r="G216" t="s">
        <v>219</v>
      </c>
      <c r="H216" s="5">
        <f>VLOOKUP(C216,'TB Apr 24'!$B$13:$H$103,7,0)</f>
        <v>0</v>
      </c>
    </row>
    <row r="217" spans="1:8" x14ac:dyDescent="0.35">
      <c r="A217" s="77">
        <v>45383</v>
      </c>
      <c r="B217" s="3" t="s">
        <v>159</v>
      </c>
      <c r="C217" s="4" t="s">
        <v>160</v>
      </c>
      <c r="D217" s="4" t="s">
        <v>314</v>
      </c>
      <c r="E217" s="4" t="s">
        <v>323</v>
      </c>
      <c r="F217" t="s">
        <v>214</v>
      </c>
      <c r="G217" t="s">
        <v>219</v>
      </c>
      <c r="H217" s="5">
        <f>VLOOKUP(C217,'TB Apr 24'!$B$13:$H$103,7,0)</f>
        <v>0</v>
      </c>
    </row>
    <row r="218" spans="1:8" x14ac:dyDescent="0.35">
      <c r="A218" s="77">
        <v>45383</v>
      </c>
      <c r="B218" s="3" t="s">
        <v>161</v>
      </c>
      <c r="C218" s="4" t="s">
        <v>162</v>
      </c>
      <c r="D218" s="4" t="s">
        <v>314</v>
      </c>
      <c r="E218" s="4" t="s">
        <v>323</v>
      </c>
      <c r="F218" t="s">
        <v>214</v>
      </c>
      <c r="G218" t="s">
        <v>219</v>
      </c>
      <c r="H218" s="5">
        <f>VLOOKUP(C218,'TB Apr 24'!$B$13:$H$103,7,0)</f>
        <v>0</v>
      </c>
    </row>
    <row r="219" spans="1:8" x14ac:dyDescent="0.35">
      <c r="A219" s="77">
        <v>45383</v>
      </c>
      <c r="B219" s="3" t="s">
        <v>163</v>
      </c>
      <c r="C219" s="4" t="s">
        <v>164</v>
      </c>
      <c r="D219" s="4" t="s">
        <v>314</v>
      </c>
      <c r="E219" s="4" t="s">
        <v>319</v>
      </c>
      <c r="F219" t="s">
        <v>214</v>
      </c>
      <c r="G219" t="s">
        <v>219</v>
      </c>
      <c r="H219" s="5">
        <f>VLOOKUP(C219,'TB Apr 24'!$B$13:$H$103,7,0)</f>
        <v>0</v>
      </c>
    </row>
    <row r="220" spans="1:8" x14ac:dyDescent="0.35">
      <c r="A220" s="77">
        <v>45383</v>
      </c>
      <c r="B220" s="3" t="s">
        <v>165</v>
      </c>
      <c r="C220" s="4" t="s">
        <v>166</v>
      </c>
      <c r="D220" s="4" t="s">
        <v>314</v>
      </c>
      <c r="E220" s="4" t="s">
        <v>304</v>
      </c>
      <c r="F220" t="s">
        <v>214</v>
      </c>
      <c r="G220" t="s">
        <v>219</v>
      </c>
      <c r="H220" s="5">
        <f>VLOOKUP(C220,'TB Apr 24'!$B$13:$H$103,7,0)</f>
        <v>29594</v>
      </c>
    </row>
    <row r="221" spans="1:8" x14ac:dyDescent="0.35">
      <c r="A221" s="77">
        <v>45383</v>
      </c>
      <c r="B221" s="3" t="s">
        <v>167</v>
      </c>
      <c r="C221" s="4" t="s">
        <v>168</v>
      </c>
      <c r="D221" s="4" t="s">
        <v>314</v>
      </c>
      <c r="E221" s="4" t="s">
        <v>322</v>
      </c>
      <c r="F221" t="s">
        <v>214</v>
      </c>
      <c r="G221" t="s">
        <v>219</v>
      </c>
      <c r="H221" s="5">
        <f>VLOOKUP(C221,'TB Apr 24'!$B$13:$H$103,7,0)</f>
        <v>0</v>
      </c>
    </row>
    <row r="222" spans="1:8" x14ac:dyDescent="0.35">
      <c r="A222" s="77">
        <v>45383</v>
      </c>
      <c r="B222" s="3" t="s">
        <v>169</v>
      </c>
      <c r="C222" s="4" t="s">
        <v>170</v>
      </c>
      <c r="D222" s="4" t="s">
        <v>314</v>
      </c>
      <c r="E222" s="4" t="s">
        <v>304</v>
      </c>
      <c r="F222" t="s">
        <v>214</v>
      </c>
      <c r="G222" t="s">
        <v>219</v>
      </c>
      <c r="H222" s="5">
        <f>VLOOKUP(C222,'TB Apr 24'!$B$13:$H$103,7,0)</f>
        <v>9945</v>
      </c>
    </row>
    <row r="223" spans="1:8" x14ac:dyDescent="0.35">
      <c r="A223" s="77">
        <v>45383</v>
      </c>
      <c r="B223" s="3" t="s">
        <v>171</v>
      </c>
      <c r="C223" s="4" t="s">
        <v>172</v>
      </c>
      <c r="D223" s="4" t="s">
        <v>314</v>
      </c>
      <c r="E223" s="4" t="s">
        <v>303</v>
      </c>
      <c r="F223" t="s">
        <v>214</v>
      </c>
      <c r="G223" t="s">
        <v>219</v>
      </c>
      <c r="H223" s="5">
        <f>VLOOKUP(C223,'TB Apr 24'!$B$13:$H$103,7,0)</f>
        <v>0</v>
      </c>
    </row>
    <row r="224" spans="1:8" x14ac:dyDescent="0.35">
      <c r="A224" s="77">
        <v>45383</v>
      </c>
      <c r="B224" s="3" t="s">
        <v>173</v>
      </c>
      <c r="C224" s="4" t="s">
        <v>174</v>
      </c>
      <c r="D224" s="4" t="s">
        <v>314</v>
      </c>
      <c r="E224" s="4" t="s">
        <v>257</v>
      </c>
      <c r="F224" t="s">
        <v>214</v>
      </c>
      <c r="G224" t="s">
        <v>219</v>
      </c>
      <c r="H224" s="5">
        <f>VLOOKUP(C224,'TB Apr 24'!$B$13:$H$103,7,0)</f>
        <v>0</v>
      </c>
    </row>
    <row r="225" spans="1:8" x14ac:dyDescent="0.35">
      <c r="A225" s="77">
        <v>45383</v>
      </c>
      <c r="B225" s="3" t="s">
        <v>175</v>
      </c>
      <c r="C225" s="4" t="s">
        <v>176</v>
      </c>
      <c r="D225" s="4" t="s">
        <v>314</v>
      </c>
      <c r="E225" s="4" t="s">
        <v>257</v>
      </c>
      <c r="F225" t="s">
        <v>214</v>
      </c>
      <c r="G225" t="s">
        <v>219</v>
      </c>
      <c r="H225" s="5">
        <f>VLOOKUP(C225,'TB Apr 24'!$B$13:$H$103,7,0)</f>
        <v>0</v>
      </c>
    </row>
    <row r="226" spans="1:8" x14ac:dyDescent="0.35">
      <c r="A226" s="77">
        <v>45383</v>
      </c>
      <c r="B226" s="3" t="s">
        <v>177</v>
      </c>
      <c r="C226" s="4" t="s">
        <v>178</v>
      </c>
      <c r="D226" s="4" t="s">
        <v>314</v>
      </c>
      <c r="E226" s="4" t="s">
        <v>257</v>
      </c>
      <c r="F226" t="s">
        <v>214</v>
      </c>
      <c r="G226" t="s">
        <v>219</v>
      </c>
      <c r="H226" s="5">
        <f>VLOOKUP(C226,'TB Apr 24'!$B$13:$H$103,7,0)</f>
        <v>0</v>
      </c>
    </row>
    <row r="227" spans="1:8" x14ac:dyDescent="0.35">
      <c r="A227" s="77">
        <v>45383</v>
      </c>
      <c r="B227" s="3" t="s">
        <v>179</v>
      </c>
      <c r="C227" s="4" t="s">
        <v>180</v>
      </c>
      <c r="D227" s="4" t="s">
        <v>314</v>
      </c>
      <c r="E227" s="4" t="s">
        <v>322</v>
      </c>
      <c r="F227" t="s">
        <v>214</v>
      </c>
      <c r="G227" t="s">
        <v>219</v>
      </c>
      <c r="H227" s="5">
        <f>VLOOKUP(C227,'TB Apr 24'!$B$13:$H$103,7,0)</f>
        <v>0</v>
      </c>
    </row>
    <row r="228" spans="1:8" x14ac:dyDescent="0.35">
      <c r="A228" s="77">
        <v>45383</v>
      </c>
      <c r="B228" s="3" t="s">
        <v>181</v>
      </c>
      <c r="C228" s="4" t="s">
        <v>182</v>
      </c>
      <c r="D228" s="4" t="s">
        <v>314</v>
      </c>
      <c r="E228" s="4" t="s">
        <v>290</v>
      </c>
      <c r="F228" t="s">
        <v>214</v>
      </c>
      <c r="G228" t="s">
        <v>219</v>
      </c>
      <c r="H228" s="5">
        <f>VLOOKUP(C228,'TB Apr 24'!$B$13:$H$103,7,0)</f>
        <v>2970</v>
      </c>
    </row>
    <row r="229" spans="1:8" x14ac:dyDescent="0.35">
      <c r="A229" s="77">
        <v>45383</v>
      </c>
      <c r="B229" s="3" t="s">
        <v>183</v>
      </c>
      <c r="C229" s="4" t="s">
        <v>184</v>
      </c>
      <c r="D229" s="4" t="s">
        <v>314</v>
      </c>
      <c r="E229" s="4" t="s">
        <v>290</v>
      </c>
      <c r="F229" t="s">
        <v>214</v>
      </c>
      <c r="G229" t="s">
        <v>219</v>
      </c>
      <c r="H229" s="5">
        <f>VLOOKUP(C229,'TB Apr 24'!$B$13:$H$103,7,0)</f>
        <v>0</v>
      </c>
    </row>
    <row r="230" spans="1:8" x14ac:dyDescent="0.35">
      <c r="A230" s="77">
        <v>45383</v>
      </c>
      <c r="B230" s="3" t="s">
        <v>185</v>
      </c>
      <c r="C230" s="4" t="s">
        <v>186</v>
      </c>
      <c r="D230" s="4" t="s">
        <v>314</v>
      </c>
      <c r="E230" s="4" t="s">
        <v>290</v>
      </c>
      <c r="F230" t="s">
        <v>214</v>
      </c>
      <c r="G230" t="s">
        <v>219</v>
      </c>
      <c r="H230" s="5">
        <f>VLOOKUP(C230,'TB Apr 24'!$B$13:$H$103,7,0)</f>
        <v>37575</v>
      </c>
    </row>
    <row r="231" spans="1:8" x14ac:dyDescent="0.35">
      <c r="A231" s="77">
        <v>45383</v>
      </c>
      <c r="B231" s="3" t="s">
        <v>187</v>
      </c>
      <c r="C231" s="4" t="s">
        <v>188</v>
      </c>
      <c r="D231" s="4" t="s">
        <v>314</v>
      </c>
      <c r="E231" s="4" t="s">
        <v>291</v>
      </c>
      <c r="F231" t="s">
        <v>214</v>
      </c>
      <c r="G231" t="s">
        <v>219</v>
      </c>
      <c r="H231" s="5">
        <f>VLOOKUP(C231,'TB Apr 24'!$B$13:$H$103,7,0)</f>
        <v>75179</v>
      </c>
    </row>
    <row r="232" spans="1:8" x14ac:dyDescent="0.35">
      <c r="A232" s="77">
        <v>45383</v>
      </c>
      <c r="B232" s="3" t="s">
        <v>189</v>
      </c>
      <c r="C232" s="4" t="s">
        <v>190</v>
      </c>
      <c r="D232" s="4" t="s">
        <v>314</v>
      </c>
      <c r="E232" s="4" t="s">
        <v>254</v>
      </c>
      <c r="F232" t="s">
        <v>214</v>
      </c>
      <c r="G232" t="s">
        <v>219</v>
      </c>
      <c r="H232" s="5">
        <f>VLOOKUP(C232,'TB Apr 24'!$B$13:$H$103,7,0)</f>
        <v>0</v>
      </c>
    </row>
    <row r="233" spans="1:8" x14ac:dyDescent="0.35">
      <c r="A233" s="77">
        <v>45383</v>
      </c>
      <c r="B233" s="3" t="s">
        <v>191</v>
      </c>
      <c r="C233" s="4" t="s">
        <v>192</v>
      </c>
      <c r="D233" s="4" t="s">
        <v>314</v>
      </c>
      <c r="E233" s="4" t="s">
        <v>254</v>
      </c>
      <c r="F233" t="s">
        <v>214</v>
      </c>
      <c r="G233" t="s">
        <v>219</v>
      </c>
      <c r="H233" s="5">
        <f>VLOOKUP(C233,'TB Apr 24'!$B$13:$H$103,7,0)</f>
        <v>0</v>
      </c>
    </row>
    <row r="234" spans="1:8" x14ac:dyDescent="0.35">
      <c r="A234" s="77">
        <v>45383</v>
      </c>
      <c r="B234" s="3" t="s">
        <v>193</v>
      </c>
      <c r="C234" s="4" t="s">
        <v>194</v>
      </c>
      <c r="D234" s="4" t="s">
        <v>314</v>
      </c>
      <c r="E234" s="4" t="s">
        <v>254</v>
      </c>
      <c r="F234" t="s">
        <v>214</v>
      </c>
      <c r="G234" t="s">
        <v>219</v>
      </c>
      <c r="H234" s="5">
        <f>VLOOKUP(C234,'TB Apr 24'!$B$13:$H$103,7,0)</f>
        <v>797454.98</v>
      </c>
    </row>
    <row r="235" spans="1:8" x14ac:dyDescent="0.35">
      <c r="A235" s="77">
        <v>45383</v>
      </c>
      <c r="B235" s="3" t="s">
        <v>195</v>
      </c>
      <c r="C235" s="4" t="s">
        <v>196</v>
      </c>
      <c r="D235" s="4" t="s">
        <v>314</v>
      </c>
      <c r="E235" s="4" t="s">
        <v>255</v>
      </c>
      <c r="F235" t="s">
        <v>214</v>
      </c>
      <c r="G235" t="s">
        <v>219</v>
      </c>
      <c r="H235" s="5">
        <f>VLOOKUP(C235,'TB Apr 24'!$B$13:$H$103,7,0)</f>
        <v>0</v>
      </c>
    </row>
    <row r="236" spans="1:8" x14ac:dyDescent="0.35">
      <c r="A236" s="77">
        <v>45383</v>
      </c>
      <c r="B236" s="3" t="s">
        <v>197</v>
      </c>
      <c r="C236" s="4" t="s">
        <v>198</v>
      </c>
      <c r="D236" s="4" t="s">
        <v>314</v>
      </c>
      <c r="E236" s="4" t="s">
        <v>255</v>
      </c>
      <c r="F236" t="s">
        <v>214</v>
      </c>
      <c r="G236" t="s">
        <v>219</v>
      </c>
      <c r="H236" s="5">
        <f>VLOOKUP(C236,'TB Apr 24'!$B$13:$H$103,7,0)</f>
        <v>0</v>
      </c>
    </row>
    <row r="237" spans="1:8" x14ac:dyDescent="0.35">
      <c r="A237" s="77">
        <v>45383</v>
      </c>
      <c r="B237" s="3" t="s">
        <v>199</v>
      </c>
      <c r="C237" s="4" t="s">
        <v>200</v>
      </c>
      <c r="D237" s="4" t="s">
        <v>314</v>
      </c>
      <c r="E237" s="4" t="s">
        <v>254</v>
      </c>
      <c r="F237" t="s">
        <v>214</v>
      </c>
      <c r="G237" t="s">
        <v>219</v>
      </c>
      <c r="H237" s="5">
        <f>VLOOKUP(C237,'TB Apr 24'!$B$13:$H$103,7,0)</f>
        <v>0</v>
      </c>
    </row>
    <row r="238" spans="1:8" x14ac:dyDescent="0.35">
      <c r="A238" s="77">
        <v>45383</v>
      </c>
      <c r="B238" s="3" t="s">
        <v>201</v>
      </c>
      <c r="C238" s="4" t="s">
        <v>202</v>
      </c>
      <c r="D238" s="4" t="s">
        <v>314</v>
      </c>
      <c r="E238" s="4" t="s">
        <v>254</v>
      </c>
      <c r="F238" t="s">
        <v>214</v>
      </c>
      <c r="G238" t="s">
        <v>219</v>
      </c>
      <c r="H238" s="5">
        <f>VLOOKUP(C238,'TB Apr 24'!$B$13:$H$103,7,0)</f>
        <v>0</v>
      </c>
    </row>
    <row r="239" spans="1:8" x14ac:dyDescent="0.35">
      <c r="A239" s="77">
        <v>45383</v>
      </c>
      <c r="B239" s="3" t="s">
        <v>203</v>
      </c>
      <c r="C239" s="4" t="s">
        <v>204</v>
      </c>
      <c r="D239" s="4" t="s">
        <v>314</v>
      </c>
      <c r="E239" s="4" t="s">
        <v>256</v>
      </c>
      <c r="F239" t="s">
        <v>214</v>
      </c>
      <c r="G239" t="s">
        <v>219</v>
      </c>
      <c r="H239" s="5">
        <f>VLOOKUP(C239,'TB Apr 24'!$B$13:$H$103,7,0)</f>
        <v>0</v>
      </c>
    </row>
    <row r="240" spans="1:8" x14ac:dyDescent="0.35">
      <c r="A240" s="77">
        <v>45383</v>
      </c>
      <c r="B240" s="3" t="s">
        <v>205</v>
      </c>
      <c r="C240" s="6" t="s">
        <v>206</v>
      </c>
      <c r="D240" s="4" t="s">
        <v>314</v>
      </c>
      <c r="E240" s="6" t="s">
        <v>322</v>
      </c>
      <c r="F240" s="79" t="s">
        <v>214</v>
      </c>
      <c r="G240" s="79" t="s">
        <v>219</v>
      </c>
      <c r="H240" s="79">
        <f>VLOOKUP(C240,'TB Apr 24'!$B$13:$H$103,7,0)</f>
        <v>0</v>
      </c>
    </row>
    <row r="241" spans="1:8" x14ac:dyDescent="0.35">
      <c r="A241" s="77">
        <v>45383</v>
      </c>
      <c r="B241" s="3" t="s">
        <v>57</v>
      </c>
      <c r="C241" s="4" t="s">
        <v>58</v>
      </c>
      <c r="D241" s="4" t="s">
        <v>314</v>
      </c>
      <c r="E241" s="4" t="s">
        <v>253</v>
      </c>
      <c r="F241" t="s">
        <v>214</v>
      </c>
      <c r="G241" t="s">
        <v>220</v>
      </c>
      <c r="H241">
        <f>VLOOKUP(C241,'TB Apr 24'!$B$13:$I$103,8,0)</f>
        <v>0</v>
      </c>
    </row>
    <row r="242" spans="1:8" x14ac:dyDescent="0.35">
      <c r="A242" s="77">
        <v>45383</v>
      </c>
      <c r="B242" s="3" t="s">
        <v>307</v>
      </c>
      <c r="C242" s="4" t="s">
        <v>308</v>
      </c>
      <c r="D242" s="4" t="s">
        <v>314</v>
      </c>
      <c r="E242" s="4" t="s">
        <v>253</v>
      </c>
      <c r="F242" t="s">
        <v>214</v>
      </c>
      <c r="G242" t="s">
        <v>220</v>
      </c>
      <c r="H242">
        <f>VLOOKUP(C242,'TB Apr 24'!$B$13:$I$103,8,0)</f>
        <v>0</v>
      </c>
    </row>
    <row r="243" spans="1:8" x14ac:dyDescent="0.35">
      <c r="A243" s="77">
        <v>45383</v>
      </c>
      <c r="B243" s="3" t="s">
        <v>59</v>
      </c>
      <c r="C243" s="4" t="s">
        <v>60</v>
      </c>
      <c r="D243" s="4" t="s">
        <v>314</v>
      </c>
      <c r="E243" s="4" t="s">
        <v>253</v>
      </c>
      <c r="F243" t="s">
        <v>214</v>
      </c>
      <c r="G243" t="s">
        <v>220</v>
      </c>
      <c r="H243">
        <f>VLOOKUP(C243,'TB Apr 24'!$B$13:$I$103,8,0)</f>
        <v>23.4</v>
      </c>
    </row>
    <row r="244" spans="1:8" x14ac:dyDescent="0.35">
      <c r="A244" s="77">
        <v>45383</v>
      </c>
      <c r="B244" s="3" t="s">
        <v>61</v>
      </c>
      <c r="C244" s="4" t="s">
        <v>62</v>
      </c>
      <c r="D244" s="4" t="s">
        <v>314</v>
      </c>
      <c r="E244" s="4" t="s">
        <v>66</v>
      </c>
      <c r="F244" t="s">
        <v>214</v>
      </c>
      <c r="G244" t="s">
        <v>220</v>
      </c>
      <c r="H244">
        <f>VLOOKUP(C244,'TB Apr 24'!$B$13:$I$103,8,0)</f>
        <v>-433081.29</v>
      </c>
    </row>
    <row r="245" spans="1:8" x14ac:dyDescent="0.35">
      <c r="A245" s="77">
        <v>45383</v>
      </c>
      <c r="B245" s="3" t="s">
        <v>63</v>
      </c>
      <c r="C245" s="4" t="s">
        <v>64</v>
      </c>
      <c r="D245" s="4" t="s">
        <v>314</v>
      </c>
      <c r="E245" s="4" t="s">
        <v>252</v>
      </c>
      <c r="F245" t="s">
        <v>214</v>
      </c>
      <c r="G245" t="s">
        <v>220</v>
      </c>
      <c r="H245">
        <f>VLOOKUP(C245,'TB Apr 24'!$B$13:$I$103,8,0)</f>
        <v>-12265.79</v>
      </c>
    </row>
    <row r="246" spans="1:8" x14ac:dyDescent="0.35">
      <c r="A246" s="77">
        <v>45383</v>
      </c>
      <c r="B246" s="3" t="s">
        <v>65</v>
      </c>
      <c r="C246" s="4" t="s">
        <v>66</v>
      </c>
      <c r="D246" s="4" t="s">
        <v>314</v>
      </c>
      <c r="E246" s="4" t="s">
        <v>66</v>
      </c>
      <c r="F246" t="s">
        <v>214</v>
      </c>
      <c r="G246" t="s">
        <v>220</v>
      </c>
      <c r="H246">
        <f>VLOOKUP(C246,'TB Apr 24'!$B$13:$I$103,8,0)</f>
        <v>-381792.86</v>
      </c>
    </row>
    <row r="247" spans="1:8" x14ac:dyDescent="0.35">
      <c r="A247" s="77">
        <v>45383</v>
      </c>
      <c r="B247" s="3" t="s">
        <v>67</v>
      </c>
      <c r="C247" s="4" t="s">
        <v>68</v>
      </c>
      <c r="D247" s="4" t="s">
        <v>314</v>
      </c>
      <c r="E247" s="4" t="s">
        <v>252</v>
      </c>
      <c r="F247" t="s">
        <v>214</v>
      </c>
      <c r="G247" t="s">
        <v>220</v>
      </c>
      <c r="H247">
        <f>VLOOKUP(C247,'TB Apr 24'!$B$13:$I$103,8,0)</f>
        <v>-69000.63</v>
      </c>
    </row>
    <row r="248" spans="1:8" x14ac:dyDescent="0.35">
      <c r="A248" s="77">
        <v>45383</v>
      </c>
      <c r="B248" s="3" t="s">
        <v>69</v>
      </c>
      <c r="C248" s="4" t="s">
        <v>70</v>
      </c>
      <c r="D248" s="4" t="s">
        <v>314</v>
      </c>
      <c r="E248" s="4" t="s">
        <v>70</v>
      </c>
      <c r="F248" t="s">
        <v>214</v>
      </c>
      <c r="G248" t="s">
        <v>220</v>
      </c>
      <c r="H248">
        <f>VLOOKUP(C248,'TB Apr 24'!$B$13:$I$103,8,0)</f>
        <v>0</v>
      </c>
    </row>
    <row r="249" spans="1:8" x14ac:dyDescent="0.35">
      <c r="A249" s="77">
        <v>45383</v>
      </c>
      <c r="B249" s="3" t="s">
        <v>71</v>
      </c>
      <c r="C249" s="4" t="s">
        <v>72</v>
      </c>
      <c r="D249" s="4" t="s">
        <v>314</v>
      </c>
      <c r="E249" s="4" t="s">
        <v>253</v>
      </c>
      <c r="F249" t="s">
        <v>214</v>
      </c>
      <c r="G249" t="s">
        <v>220</v>
      </c>
      <c r="H249">
        <f>VLOOKUP(C249,'TB Apr 24'!$B$13:$I$103,8,0)</f>
        <v>0</v>
      </c>
    </row>
    <row r="250" spans="1:8" x14ac:dyDescent="0.35">
      <c r="A250" s="77">
        <v>45383</v>
      </c>
      <c r="B250" s="3" t="s">
        <v>73</v>
      </c>
      <c r="C250" s="4" t="s">
        <v>74</v>
      </c>
      <c r="D250" s="4" t="s">
        <v>314</v>
      </c>
      <c r="E250" s="4" t="s">
        <v>253</v>
      </c>
      <c r="F250" t="s">
        <v>214</v>
      </c>
      <c r="G250" t="s">
        <v>220</v>
      </c>
      <c r="H250">
        <f>VLOOKUP(C250,'TB Apr 24'!$B$13:$I$103,8,0)</f>
        <v>-28393.48</v>
      </c>
    </row>
    <row r="251" spans="1:8" x14ac:dyDescent="0.35">
      <c r="A251" s="77">
        <v>45383</v>
      </c>
      <c r="B251" s="3" t="s">
        <v>75</v>
      </c>
      <c r="C251" s="4" t="s">
        <v>76</v>
      </c>
      <c r="D251" s="4" t="s">
        <v>314</v>
      </c>
      <c r="E251" s="4" t="s">
        <v>253</v>
      </c>
      <c r="F251" t="s">
        <v>214</v>
      </c>
      <c r="G251" t="s">
        <v>220</v>
      </c>
      <c r="H251">
        <f>VLOOKUP(C251,'TB Apr 24'!$B$13:$I$103,8,0)</f>
        <v>0</v>
      </c>
    </row>
    <row r="252" spans="1:8" x14ac:dyDescent="0.35">
      <c r="A252" s="77">
        <v>45383</v>
      </c>
      <c r="B252" s="3" t="s">
        <v>77</v>
      </c>
      <c r="C252" s="4" t="s">
        <v>78</v>
      </c>
      <c r="D252" s="4" t="s">
        <v>314</v>
      </c>
      <c r="E252" s="4" t="s">
        <v>253</v>
      </c>
      <c r="F252" t="s">
        <v>214</v>
      </c>
      <c r="G252" t="s">
        <v>220</v>
      </c>
      <c r="H252">
        <f>VLOOKUP(C252,'TB Apr 24'!$B$13:$I$103,8,0)</f>
        <v>-11263.37</v>
      </c>
    </row>
    <row r="253" spans="1:8" x14ac:dyDescent="0.35">
      <c r="A253" s="77">
        <v>45383</v>
      </c>
      <c r="B253" s="3" t="s">
        <v>79</v>
      </c>
      <c r="C253" s="4" t="s">
        <v>80</v>
      </c>
      <c r="D253" s="4" t="s">
        <v>314</v>
      </c>
      <c r="E253" s="4" t="s">
        <v>253</v>
      </c>
      <c r="F253" t="s">
        <v>214</v>
      </c>
      <c r="G253" t="s">
        <v>220</v>
      </c>
      <c r="H253">
        <f>VLOOKUP(C253,'TB Apr 24'!$B$13:$I$103,8,0)</f>
        <v>0</v>
      </c>
    </row>
    <row r="254" spans="1:8" x14ac:dyDescent="0.35">
      <c r="A254" s="77">
        <v>45383</v>
      </c>
      <c r="B254" s="3" t="s">
        <v>81</v>
      </c>
      <c r="C254" s="4" t="s">
        <v>82</v>
      </c>
      <c r="D254" s="4" t="s">
        <v>314</v>
      </c>
      <c r="E254" s="4" t="s">
        <v>319</v>
      </c>
      <c r="F254" t="s">
        <v>214</v>
      </c>
      <c r="G254" t="s">
        <v>220</v>
      </c>
      <c r="H254">
        <f>VLOOKUP(C254,'TB Apr 24'!$B$13:$I$103,8,0)</f>
        <v>0</v>
      </c>
    </row>
    <row r="255" spans="1:8" x14ac:dyDescent="0.35">
      <c r="A255" s="77">
        <v>45383</v>
      </c>
      <c r="B255" s="3" t="s">
        <v>83</v>
      </c>
      <c r="C255" s="4" t="s">
        <v>84</v>
      </c>
      <c r="D255" s="4" t="s">
        <v>314</v>
      </c>
      <c r="E255" s="4" t="s">
        <v>319</v>
      </c>
      <c r="F255" t="s">
        <v>214</v>
      </c>
      <c r="G255" t="s">
        <v>220</v>
      </c>
      <c r="H255">
        <f>VLOOKUP(C255,'TB Apr 24'!$B$13:$I$103,8,0)</f>
        <v>0</v>
      </c>
    </row>
    <row r="256" spans="1:8" x14ac:dyDescent="0.35">
      <c r="A256" s="77">
        <v>45383</v>
      </c>
      <c r="B256" s="3" t="s">
        <v>85</v>
      </c>
      <c r="C256" s="4" t="s">
        <v>86</v>
      </c>
      <c r="D256" s="4" t="s">
        <v>314</v>
      </c>
      <c r="E256" s="4" t="s">
        <v>291</v>
      </c>
      <c r="F256" t="s">
        <v>214</v>
      </c>
      <c r="G256" t="s">
        <v>220</v>
      </c>
      <c r="H256">
        <f>VLOOKUP(C256,'TB Apr 24'!$B$13:$I$103,8,0)</f>
        <v>0</v>
      </c>
    </row>
    <row r="257" spans="1:8" x14ac:dyDescent="0.35">
      <c r="A257" s="77">
        <v>45383</v>
      </c>
      <c r="B257" s="3" t="s">
        <v>88</v>
      </c>
      <c r="C257" s="4" t="s">
        <v>89</v>
      </c>
      <c r="D257" s="4" t="s">
        <v>314</v>
      </c>
      <c r="E257" s="4" t="s">
        <v>300</v>
      </c>
      <c r="F257" t="s">
        <v>214</v>
      </c>
      <c r="G257" t="s">
        <v>220</v>
      </c>
      <c r="H257">
        <f>VLOOKUP(C257,'TB Apr 24'!$B$13:$I$103,8,0)</f>
        <v>14796</v>
      </c>
    </row>
    <row r="258" spans="1:8" x14ac:dyDescent="0.35">
      <c r="A258" s="77">
        <v>45383</v>
      </c>
      <c r="B258" s="3" t="s">
        <v>90</v>
      </c>
      <c r="C258" s="4" t="s">
        <v>91</v>
      </c>
      <c r="D258" s="4" t="s">
        <v>314</v>
      </c>
      <c r="E258" s="4" t="s">
        <v>300</v>
      </c>
      <c r="F258" t="s">
        <v>214</v>
      </c>
      <c r="G258" t="s">
        <v>220</v>
      </c>
      <c r="H258">
        <f>VLOOKUP(C258,'TB Apr 24'!$B$13:$I$103,8,0)</f>
        <v>8675</v>
      </c>
    </row>
    <row r="259" spans="1:8" x14ac:dyDescent="0.35">
      <c r="A259" s="77">
        <v>45383</v>
      </c>
      <c r="B259" s="3" t="s">
        <v>92</v>
      </c>
      <c r="C259" s="4" t="s">
        <v>93</v>
      </c>
      <c r="D259" s="4" t="s">
        <v>314</v>
      </c>
      <c r="E259" s="4" t="s">
        <v>300</v>
      </c>
      <c r="F259" t="s">
        <v>214</v>
      </c>
      <c r="G259" t="s">
        <v>220</v>
      </c>
      <c r="H259">
        <f>VLOOKUP(C259,'TB Apr 24'!$B$13:$I$103,8,0)</f>
        <v>0</v>
      </c>
    </row>
    <row r="260" spans="1:8" x14ac:dyDescent="0.35">
      <c r="A260" s="77">
        <v>45383</v>
      </c>
      <c r="B260" s="3" t="s">
        <v>94</v>
      </c>
      <c r="C260" s="4" t="s">
        <v>95</v>
      </c>
      <c r="D260" s="4" t="s">
        <v>314</v>
      </c>
      <c r="E260" s="4" t="s">
        <v>289</v>
      </c>
      <c r="F260" t="s">
        <v>214</v>
      </c>
      <c r="G260" t="s">
        <v>220</v>
      </c>
      <c r="H260">
        <f>VLOOKUP(C260,'TB Apr 24'!$B$13:$I$103,8,0)</f>
        <v>345437.5</v>
      </c>
    </row>
    <row r="261" spans="1:8" x14ac:dyDescent="0.35">
      <c r="A261" s="77">
        <v>45383</v>
      </c>
      <c r="B261" s="3" t="s">
        <v>96</v>
      </c>
      <c r="C261" s="4" t="s">
        <v>97</v>
      </c>
      <c r="D261" s="4" t="s">
        <v>314</v>
      </c>
      <c r="E261" s="4" t="s">
        <v>289</v>
      </c>
      <c r="F261" t="s">
        <v>214</v>
      </c>
      <c r="G261" t="s">
        <v>220</v>
      </c>
      <c r="H261">
        <f>VLOOKUP(C261,'TB Apr 24'!$B$13:$I$103,8,0)</f>
        <v>0</v>
      </c>
    </row>
    <row r="262" spans="1:8" x14ac:dyDescent="0.35">
      <c r="A262" s="77">
        <v>45383</v>
      </c>
      <c r="B262" s="3" t="s">
        <v>309</v>
      </c>
      <c r="C262" s="4" t="s">
        <v>310</v>
      </c>
      <c r="D262" s="4" t="s">
        <v>314</v>
      </c>
      <c r="E262" s="4" t="s">
        <v>289</v>
      </c>
      <c r="F262" t="s">
        <v>214</v>
      </c>
      <c r="G262" t="s">
        <v>220</v>
      </c>
      <c r="H262">
        <f>VLOOKUP(C262,'TB Apr 24'!$B$13:$I$103,8,0)</f>
        <v>0</v>
      </c>
    </row>
    <row r="263" spans="1:8" x14ac:dyDescent="0.35">
      <c r="A263" s="77">
        <v>45383</v>
      </c>
      <c r="B263" s="3" t="s">
        <v>98</v>
      </c>
      <c r="C263" s="4" t="s">
        <v>99</v>
      </c>
      <c r="D263" s="4" t="s">
        <v>314</v>
      </c>
      <c r="E263" s="4" t="s">
        <v>289</v>
      </c>
      <c r="F263" t="s">
        <v>214</v>
      </c>
      <c r="G263" t="s">
        <v>220</v>
      </c>
      <c r="H263">
        <f>VLOOKUP(C263,'TB Apr 24'!$B$13:$I$103,8,0)</f>
        <v>0</v>
      </c>
    </row>
    <row r="264" spans="1:8" x14ac:dyDescent="0.35">
      <c r="A264" s="77">
        <v>45383</v>
      </c>
      <c r="B264" s="3" t="s">
        <v>100</v>
      </c>
      <c r="C264" s="4" t="s">
        <v>101</v>
      </c>
      <c r="D264" s="4" t="s">
        <v>314</v>
      </c>
      <c r="E264" s="4" t="s">
        <v>291</v>
      </c>
      <c r="F264" t="s">
        <v>214</v>
      </c>
      <c r="G264" t="s">
        <v>220</v>
      </c>
      <c r="H264">
        <f>VLOOKUP(C264,'TB Apr 24'!$B$13:$I$103,8,0)</f>
        <v>0</v>
      </c>
    </row>
    <row r="265" spans="1:8" x14ac:dyDescent="0.35">
      <c r="A265" s="77">
        <v>45383</v>
      </c>
      <c r="B265" s="3" t="s">
        <v>102</v>
      </c>
      <c r="C265" s="4" t="s">
        <v>103</v>
      </c>
      <c r="D265" s="4" t="s">
        <v>314</v>
      </c>
      <c r="E265" s="4" t="s">
        <v>291</v>
      </c>
      <c r="F265" t="s">
        <v>214</v>
      </c>
      <c r="G265" t="s">
        <v>220</v>
      </c>
      <c r="H265">
        <f>VLOOKUP(C265,'TB Apr 24'!$B$13:$I$103,8,0)</f>
        <v>0</v>
      </c>
    </row>
    <row r="266" spans="1:8" x14ac:dyDescent="0.35">
      <c r="A266" s="77">
        <v>45383</v>
      </c>
      <c r="B266" s="3" t="s">
        <v>104</v>
      </c>
      <c r="C266" s="4" t="s">
        <v>105</v>
      </c>
      <c r="D266" s="4" t="s">
        <v>314</v>
      </c>
      <c r="E266" s="4" t="s">
        <v>291</v>
      </c>
      <c r="F266" t="s">
        <v>214</v>
      </c>
      <c r="G266" t="s">
        <v>220</v>
      </c>
      <c r="H266">
        <f>VLOOKUP(C266,'TB Apr 24'!$B$13:$I$103,8,0)</f>
        <v>1200</v>
      </c>
    </row>
    <row r="267" spans="1:8" x14ac:dyDescent="0.35">
      <c r="A267" s="77">
        <v>45383</v>
      </c>
      <c r="B267" s="3" t="s">
        <v>106</v>
      </c>
      <c r="C267" s="4" t="s">
        <v>107</v>
      </c>
      <c r="D267" s="4" t="s">
        <v>314</v>
      </c>
      <c r="E267" s="4" t="s">
        <v>321</v>
      </c>
      <c r="F267" t="s">
        <v>214</v>
      </c>
      <c r="G267" t="s">
        <v>220</v>
      </c>
      <c r="H267">
        <f>VLOOKUP(C267,'TB Apr 24'!$B$13:$I$103,8,0)</f>
        <v>0</v>
      </c>
    </row>
    <row r="268" spans="1:8" x14ac:dyDescent="0.35">
      <c r="A268" s="77">
        <v>45383</v>
      </c>
      <c r="B268" s="3" t="s">
        <v>108</v>
      </c>
      <c r="C268" s="4" t="s">
        <v>109</v>
      </c>
      <c r="D268" s="4" t="s">
        <v>314</v>
      </c>
      <c r="E268" s="4" t="s">
        <v>321</v>
      </c>
      <c r="F268" t="s">
        <v>214</v>
      </c>
      <c r="G268" t="s">
        <v>220</v>
      </c>
      <c r="H268">
        <f>VLOOKUP(C268,'TB Apr 24'!$B$13:$I$103,8,0)</f>
        <v>0</v>
      </c>
    </row>
    <row r="269" spans="1:8" x14ac:dyDescent="0.35">
      <c r="A269" s="77">
        <v>45383</v>
      </c>
      <c r="B269" s="3" t="s">
        <v>110</v>
      </c>
      <c r="C269" s="4" t="s">
        <v>111</v>
      </c>
      <c r="D269" s="4" t="s">
        <v>314</v>
      </c>
      <c r="E269" s="4" t="s">
        <v>320</v>
      </c>
      <c r="F269" t="s">
        <v>214</v>
      </c>
      <c r="G269" t="s">
        <v>220</v>
      </c>
      <c r="H269">
        <f>VLOOKUP(C269,'TB Apr 24'!$B$13:$I$103,8,0)</f>
        <v>0</v>
      </c>
    </row>
    <row r="270" spans="1:8" x14ac:dyDescent="0.35">
      <c r="A270" s="77">
        <v>45383</v>
      </c>
      <c r="B270" s="3" t="s">
        <v>112</v>
      </c>
      <c r="C270" s="4" t="s">
        <v>113</v>
      </c>
      <c r="D270" s="4" t="s">
        <v>314</v>
      </c>
      <c r="E270" s="4" t="s">
        <v>321</v>
      </c>
      <c r="F270" t="s">
        <v>214</v>
      </c>
      <c r="G270" t="s">
        <v>220</v>
      </c>
      <c r="H270">
        <f>VLOOKUP(C270,'TB Apr 24'!$B$13:$I$103,8,0)</f>
        <v>2958</v>
      </c>
    </row>
    <row r="271" spans="1:8" x14ac:dyDescent="0.35">
      <c r="A271" s="77">
        <v>45383</v>
      </c>
      <c r="B271" s="3" t="s">
        <v>311</v>
      </c>
      <c r="C271" s="4" t="s">
        <v>312</v>
      </c>
      <c r="D271" s="4" t="s">
        <v>314</v>
      </c>
      <c r="E271" s="4" t="s">
        <v>288</v>
      </c>
      <c r="F271" t="s">
        <v>214</v>
      </c>
      <c r="G271" t="s">
        <v>220</v>
      </c>
      <c r="H271">
        <f>VLOOKUP(C271,'TB Apr 24'!$B$13:$I$103,8,0)</f>
        <v>0</v>
      </c>
    </row>
    <row r="272" spans="1:8" x14ac:dyDescent="0.35">
      <c r="A272" s="77">
        <v>45383</v>
      </c>
      <c r="B272" s="3" t="s">
        <v>114</v>
      </c>
      <c r="C272" s="4" t="s">
        <v>115</v>
      </c>
      <c r="D272" s="4" t="s">
        <v>314</v>
      </c>
      <c r="E272" s="4" t="s">
        <v>294</v>
      </c>
      <c r="F272" t="s">
        <v>214</v>
      </c>
      <c r="G272" t="s">
        <v>220</v>
      </c>
      <c r="H272">
        <f>VLOOKUP(C272,'TB Apr 24'!$B$13:$I$103,8,0)</f>
        <v>0</v>
      </c>
    </row>
    <row r="273" spans="1:8" x14ac:dyDescent="0.35">
      <c r="A273" s="77">
        <v>45383</v>
      </c>
      <c r="B273" s="3" t="s">
        <v>116</v>
      </c>
      <c r="C273" s="4" t="s">
        <v>117</v>
      </c>
      <c r="D273" s="4" t="s">
        <v>314</v>
      </c>
      <c r="E273" s="4" t="s">
        <v>296</v>
      </c>
      <c r="F273" t="s">
        <v>214</v>
      </c>
      <c r="G273" t="s">
        <v>220</v>
      </c>
      <c r="H273">
        <f>VLOOKUP(C273,'TB Apr 24'!$B$13:$I$103,8,0)</f>
        <v>0</v>
      </c>
    </row>
    <row r="274" spans="1:8" x14ac:dyDescent="0.35">
      <c r="A274" s="77">
        <v>45383</v>
      </c>
      <c r="B274" s="3" t="s">
        <v>118</v>
      </c>
      <c r="C274" s="4" t="s">
        <v>119</v>
      </c>
      <c r="D274" s="4" t="s">
        <v>314</v>
      </c>
      <c r="E274" s="4" t="s">
        <v>296</v>
      </c>
      <c r="F274" t="s">
        <v>214</v>
      </c>
      <c r="G274" t="s">
        <v>220</v>
      </c>
      <c r="H274">
        <f>VLOOKUP(C274,'TB Apr 24'!$B$13:$I$103,8,0)</f>
        <v>0</v>
      </c>
    </row>
    <row r="275" spans="1:8" x14ac:dyDescent="0.35">
      <c r="A275" s="77">
        <v>45383</v>
      </c>
      <c r="B275" s="3" t="s">
        <v>120</v>
      </c>
      <c r="C275" s="4" t="s">
        <v>121</v>
      </c>
      <c r="D275" s="4" t="s">
        <v>314</v>
      </c>
      <c r="E275" s="4" t="s">
        <v>322</v>
      </c>
      <c r="F275" t="s">
        <v>214</v>
      </c>
      <c r="G275" t="s">
        <v>220</v>
      </c>
      <c r="H275">
        <f>VLOOKUP(C275,'TB Apr 24'!$B$13:$I$103,8,0)</f>
        <v>0</v>
      </c>
    </row>
    <row r="276" spans="1:8" x14ac:dyDescent="0.35">
      <c r="A276" s="77">
        <v>45383</v>
      </c>
      <c r="B276" s="3" t="s">
        <v>122</v>
      </c>
      <c r="C276" s="4" t="s">
        <v>123</v>
      </c>
      <c r="D276" s="4" t="s">
        <v>314</v>
      </c>
      <c r="E276" s="4" t="s">
        <v>322</v>
      </c>
      <c r="F276" t="s">
        <v>214</v>
      </c>
      <c r="G276" t="s">
        <v>220</v>
      </c>
      <c r="H276">
        <f>VLOOKUP(C276,'TB Apr 24'!$B$13:$I$103,8,0)</f>
        <v>0</v>
      </c>
    </row>
    <row r="277" spans="1:8" x14ac:dyDescent="0.35">
      <c r="A277" s="77">
        <v>45383</v>
      </c>
      <c r="B277" s="3" t="s">
        <v>124</v>
      </c>
      <c r="C277" s="4" t="s">
        <v>125</v>
      </c>
      <c r="D277" s="4" t="s">
        <v>314</v>
      </c>
      <c r="E277" s="4" t="s">
        <v>322</v>
      </c>
      <c r="F277" t="s">
        <v>214</v>
      </c>
      <c r="G277" t="s">
        <v>220</v>
      </c>
      <c r="H277">
        <f>VLOOKUP(C277,'TB Apr 24'!$B$13:$I$103,8,0)</f>
        <v>3932</v>
      </c>
    </row>
    <row r="278" spans="1:8" x14ac:dyDescent="0.35">
      <c r="A278" s="77">
        <v>45383</v>
      </c>
      <c r="B278" s="3" t="s">
        <v>126</v>
      </c>
      <c r="C278" s="4" t="s">
        <v>127</v>
      </c>
      <c r="D278" s="4" t="s">
        <v>314</v>
      </c>
      <c r="E278" s="4" t="s">
        <v>291</v>
      </c>
      <c r="F278" t="s">
        <v>214</v>
      </c>
      <c r="G278" t="s">
        <v>220</v>
      </c>
      <c r="H278">
        <f>VLOOKUP(C278,'TB Apr 24'!$B$13:$I$103,8,0)</f>
        <v>0</v>
      </c>
    </row>
    <row r="279" spans="1:8" x14ac:dyDescent="0.35">
      <c r="A279" s="77">
        <v>45383</v>
      </c>
      <c r="B279" s="3" t="s">
        <v>128</v>
      </c>
      <c r="C279" s="4" t="s">
        <v>129</v>
      </c>
      <c r="D279" s="4" t="s">
        <v>314</v>
      </c>
      <c r="E279" s="4" t="s">
        <v>322</v>
      </c>
      <c r="F279" t="s">
        <v>214</v>
      </c>
      <c r="G279" t="s">
        <v>220</v>
      </c>
      <c r="H279">
        <f>VLOOKUP(C279,'TB Apr 24'!$B$13:$I$103,8,0)</f>
        <v>2309</v>
      </c>
    </row>
    <row r="280" spans="1:8" x14ac:dyDescent="0.35">
      <c r="A280" s="77">
        <v>45383</v>
      </c>
      <c r="B280" s="3" t="s">
        <v>130</v>
      </c>
      <c r="C280" s="4" t="s">
        <v>131</v>
      </c>
      <c r="D280" s="4" t="s">
        <v>314</v>
      </c>
      <c r="E280" s="4" t="s">
        <v>322</v>
      </c>
      <c r="F280" t="s">
        <v>214</v>
      </c>
      <c r="G280" t="s">
        <v>220</v>
      </c>
      <c r="H280">
        <f>VLOOKUP(C280,'TB Apr 24'!$B$13:$I$103,8,0)</f>
        <v>700</v>
      </c>
    </row>
    <row r="281" spans="1:8" x14ac:dyDescent="0.35">
      <c r="A281" s="77">
        <v>45383</v>
      </c>
      <c r="B281" s="3" t="s">
        <v>132</v>
      </c>
      <c r="C281" s="4" t="s">
        <v>133</v>
      </c>
      <c r="D281" s="4" t="s">
        <v>314</v>
      </c>
      <c r="E281" s="4" t="s">
        <v>320</v>
      </c>
      <c r="F281" t="s">
        <v>214</v>
      </c>
      <c r="G281" t="s">
        <v>220</v>
      </c>
      <c r="H281">
        <f>VLOOKUP(C281,'TB Apr 24'!$B$13:$I$103,8,0)</f>
        <v>1140</v>
      </c>
    </row>
    <row r="282" spans="1:8" x14ac:dyDescent="0.35">
      <c r="A282" s="77">
        <v>45383</v>
      </c>
      <c r="B282" s="3" t="s">
        <v>134</v>
      </c>
      <c r="C282" s="4" t="s">
        <v>135</v>
      </c>
      <c r="D282" s="4" t="s">
        <v>314</v>
      </c>
      <c r="E282" s="4" t="s">
        <v>299</v>
      </c>
      <c r="F282" t="s">
        <v>214</v>
      </c>
      <c r="G282" t="s">
        <v>220</v>
      </c>
      <c r="H282">
        <f>VLOOKUP(C282,'TB Apr 24'!$B$13:$I$103,8,0)</f>
        <v>0</v>
      </c>
    </row>
    <row r="283" spans="1:8" x14ac:dyDescent="0.35">
      <c r="A283" s="77">
        <v>45383</v>
      </c>
      <c r="B283" s="3" t="s">
        <v>136</v>
      </c>
      <c r="C283" s="4" t="s">
        <v>137</v>
      </c>
      <c r="D283" s="4" t="s">
        <v>314</v>
      </c>
      <c r="E283" s="4" t="s">
        <v>322</v>
      </c>
      <c r="F283" t="s">
        <v>214</v>
      </c>
      <c r="G283" t="s">
        <v>220</v>
      </c>
      <c r="H283">
        <f>VLOOKUP(C283,'TB Apr 24'!$B$13:$I$103,8,0)</f>
        <v>0</v>
      </c>
    </row>
    <row r="284" spans="1:8" x14ac:dyDescent="0.35">
      <c r="A284" s="77">
        <v>45383</v>
      </c>
      <c r="B284" s="3" t="s">
        <v>138</v>
      </c>
      <c r="C284" s="4" t="s">
        <v>139</v>
      </c>
      <c r="D284" s="4" t="s">
        <v>314</v>
      </c>
      <c r="E284" s="4" t="s">
        <v>294</v>
      </c>
      <c r="F284" t="s">
        <v>214</v>
      </c>
      <c r="G284" t="s">
        <v>220</v>
      </c>
      <c r="H284">
        <f>VLOOKUP(C284,'TB Apr 24'!$B$13:$I$103,8,0)</f>
        <v>1673</v>
      </c>
    </row>
    <row r="285" spans="1:8" x14ac:dyDescent="0.35">
      <c r="A285" s="77">
        <v>45383</v>
      </c>
      <c r="B285" s="3" t="s">
        <v>140</v>
      </c>
      <c r="C285" s="4" t="s">
        <v>141</v>
      </c>
      <c r="D285" s="4" t="s">
        <v>314</v>
      </c>
      <c r="E285" s="4" t="s">
        <v>268</v>
      </c>
      <c r="F285" t="s">
        <v>214</v>
      </c>
      <c r="G285" t="s">
        <v>220</v>
      </c>
      <c r="H285">
        <f>VLOOKUP(C285,'TB Apr 24'!$B$13:$I$103,8,0)</f>
        <v>102935.14219999999</v>
      </c>
    </row>
    <row r="286" spans="1:8" x14ac:dyDescent="0.35">
      <c r="A286" s="77">
        <v>45383</v>
      </c>
      <c r="B286" s="3" t="s">
        <v>142</v>
      </c>
      <c r="C286" s="4" t="s">
        <v>143</v>
      </c>
      <c r="D286" s="4" t="s">
        <v>314</v>
      </c>
      <c r="E286" s="4" t="s">
        <v>269</v>
      </c>
      <c r="F286" t="s">
        <v>214</v>
      </c>
      <c r="G286" t="s">
        <v>220</v>
      </c>
      <c r="H286">
        <f>VLOOKUP(C286,'TB Apr 24'!$B$13:$I$103,8,0)</f>
        <v>50806</v>
      </c>
    </row>
    <row r="287" spans="1:8" x14ac:dyDescent="0.35">
      <c r="A287" s="77">
        <v>45383</v>
      </c>
      <c r="B287" s="3" t="s">
        <v>144</v>
      </c>
      <c r="C287" s="4" t="s">
        <v>145</v>
      </c>
      <c r="D287" s="4" t="s">
        <v>314</v>
      </c>
      <c r="E287" s="4" t="s">
        <v>288</v>
      </c>
      <c r="F287" t="s">
        <v>214</v>
      </c>
      <c r="G287" t="s">
        <v>220</v>
      </c>
      <c r="H287">
        <f>VLOOKUP(C287,'TB Apr 24'!$B$13:$I$103,8,0)</f>
        <v>25340</v>
      </c>
    </row>
    <row r="288" spans="1:8" x14ac:dyDescent="0.35">
      <c r="A288" s="77">
        <v>45383</v>
      </c>
      <c r="B288" s="3" t="s">
        <v>146</v>
      </c>
      <c r="C288" s="4" t="s">
        <v>147</v>
      </c>
      <c r="D288" s="4" t="s">
        <v>314</v>
      </c>
      <c r="E288" s="4" t="s">
        <v>288</v>
      </c>
      <c r="F288" t="s">
        <v>214</v>
      </c>
      <c r="G288" t="s">
        <v>220</v>
      </c>
      <c r="H288">
        <f>VLOOKUP(C288,'TB Apr 24'!$B$13:$I$103,8,0)</f>
        <v>14208.22</v>
      </c>
    </row>
    <row r="289" spans="1:8" x14ac:dyDescent="0.35">
      <c r="A289" s="77">
        <v>45383</v>
      </c>
      <c r="B289" s="3" t="s">
        <v>148</v>
      </c>
      <c r="C289" s="4" t="s">
        <v>149</v>
      </c>
      <c r="D289" s="4" t="s">
        <v>314</v>
      </c>
      <c r="E289" s="4" t="s">
        <v>287</v>
      </c>
      <c r="F289" t="s">
        <v>214</v>
      </c>
      <c r="G289" t="s">
        <v>220</v>
      </c>
      <c r="H289">
        <f>VLOOKUP(C289,'TB Apr 24'!$B$13:$I$103,8,0)</f>
        <v>47253</v>
      </c>
    </row>
    <row r="290" spans="1:8" x14ac:dyDescent="0.35">
      <c r="A290" s="77">
        <v>45383</v>
      </c>
      <c r="B290" s="3" t="s">
        <v>150</v>
      </c>
      <c r="C290" s="4" t="s">
        <v>87</v>
      </c>
      <c r="D290" s="4" t="s">
        <v>314</v>
      </c>
      <c r="E290" s="4" t="s">
        <v>288</v>
      </c>
      <c r="F290" t="s">
        <v>214</v>
      </c>
      <c r="G290" t="s">
        <v>220</v>
      </c>
      <c r="H290">
        <f>VLOOKUP(C290,'TB Apr 24'!$B$13:$I$103,8,0)</f>
        <v>0</v>
      </c>
    </row>
    <row r="291" spans="1:8" x14ac:dyDescent="0.35">
      <c r="A291" s="77">
        <v>45383</v>
      </c>
      <c r="B291" s="3" t="s">
        <v>151</v>
      </c>
      <c r="C291" s="4" t="s">
        <v>152</v>
      </c>
      <c r="D291" s="4" t="s">
        <v>314</v>
      </c>
      <c r="E291" s="4" t="s">
        <v>288</v>
      </c>
      <c r="F291" t="s">
        <v>214</v>
      </c>
      <c r="G291" t="s">
        <v>220</v>
      </c>
      <c r="H291">
        <f>VLOOKUP(C291,'TB Apr 24'!$B$13:$I$103,8,0)</f>
        <v>2560</v>
      </c>
    </row>
    <row r="292" spans="1:8" x14ac:dyDescent="0.35">
      <c r="A292" s="77">
        <v>45383</v>
      </c>
      <c r="B292" s="3" t="s">
        <v>153</v>
      </c>
      <c r="C292" s="4" t="s">
        <v>154</v>
      </c>
      <c r="D292" s="4" t="s">
        <v>314</v>
      </c>
      <c r="E292" s="4" t="s">
        <v>288</v>
      </c>
      <c r="F292" t="s">
        <v>214</v>
      </c>
      <c r="G292" t="s">
        <v>220</v>
      </c>
      <c r="H292">
        <f>VLOOKUP(C292,'TB Apr 24'!$B$13:$I$103,8,0)</f>
        <v>3996</v>
      </c>
    </row>
    <row r="293" spans="1:8" x14ac:dyDescent="0.35">
      <c r="A293" s="77">
        <v>45383</v>
      </c>
      <c r="B293" s="3" t="s">
        <v>155</v>
      </c>
      <c r="C293" s="4" t="s">
        <v>156</v>
      </c>
      <c r="D293" s="4" t="s">
        <v>314</v>
      </c>
      <c r="E293" s="4" t="s">
        <v>288</v>
      </c>
      <c r="F293" t="s">
        <v>214</v>
      </c>
      <c r="G293" t="s">
        <v>220</v>
      </c>
      <c r="H293">
        <f>VLOOKUP(C293,'TB Apr 24'!$B$13:$I$103,8,0)</f>
        <v>0</v>
      </c>
    </row>
    <row r="294" spans="1:8" x14ac:dyDescent="0.35">
      <c r="A294" s="77">
        <v>45383</v>
      </c>
      <c r="B294" s="3" t="s">
        <v>157</v>
      </c>
      <c r="C294" s="4" t="s">
        <v>158</v>
      </c>
      <c r="D294" s="4" t="s">
        <v>314</v>
      </c>
      <c r="E294" s="4" t="s">
        <v>292</v>
      </c>
      <c r="F294" t="s">
        <v>214</v>
      </c>
      <c r="G294" t="s">
        <v>220</v>
      </c>
      <c r="H294">
        <f>VLOOKUP(C294,'TB Apr 24'!$B$13:$I$103,8,0)</f>
        <v>0</v>
      </c>
    </row>
    <row r="295" spans="1:8" x14ac:dyDescent="0.35">
      <c r="A295" s="77">
        <v>45383</v>
      </c>
      <c r="B295" s="3" t="s">
        <v>159</v>
      </c>
      <c r="C295" s="4" t="s">
        <v>160</v>
      </c>
      <c r="D295" s="4" t="s">
        <v>314</v>
      </c>
      <c r="E295" s="4" t="s">
        <v>323</v>
      </c>
      <c r="F295" t="s">
        <v>214</v>
      </c>
      <c r="G295" t="s">
        <v>220</v>
      </c>
      <c r="H295">
        <f>VLOOKUP(C295,'TB Apr 24'!$B$13:$I$103,8,0)</f>
        <v>80</v>
      </c>
    </row>
    <row r="296" spans="1:8" x14ac:dyDescent="0.35">
      <c r="A296" s="77">
        <v>45383</v>
      </c>
      <c r="B296" s="3" t="s">
        <v>161</v>
      </c>
      <c r="C296" s="4" t="s">
        <v>162</v>
      </c>
      <c r="D296" s="4" t="s">
        <v>314</v>
      </c>
      <c r="E296" s="4" t="s">
        <v>323</v>
      </c>
      <c r="F296" t="s">
        <v>214</v>
      </c>
      <c r="G296" t="s">
        <v>220</v>
      </c>
      <c r="H296">
        <f>VLOOKUP(C296,'TB Apr 24'!$B$13:$I$103,8,0)</f>
        <v>0</v>
      </c>
    </row>
    <row r="297" spans="1:8" x14ac:dyDescent="0.35">
      <c r="A297" s="77">
        <v>45383</v>
      </c>
      <c r="B297" s="3" t="s">
        <v>163</v>
      </c>
      <c r="C297" s="4" t="s">
        <v>164</v>
      </c>
      <c r="D297" s="4" t="s">
        <v>314</v>
      </c>
      <c r="E297" s="4" t="s">
        <v>319</v>
      </c>
      <c r="F297" t="s">
        <v>214</v>
      </c>
      <c r="G297" t="s">
        <v>220</v>
      </c>
      <c r="H297">
        <f>VLOOKUP(C297,'TB Apr 24'!$B$13:$I$103,8,0)</f>
        <v>0</v>
      </c>
    </row>
    <row r="298" spans="1:8" x14ac:dyDescent="0.35">
      <c r="A298" s="77">
        <v>45383</v>
      </c>
      <c r="B298" s="3" t="s">
        <v>165</v>
      </c>
      <c r="C298" s="4" t="s">
        <v>166</v>
      </c>
      <c r="D298" s="4" t="s">
        <v>314</v>
      </c>
      <c r="E298" s="4" t="s">
        <v>304</v>
      </c>
      <c r="F298" t="s">
        <v>214</v>
      </c>
      <c r="G298" t="s">
        <v>220</v>
      </c>
      <c r="H298">
        <f>VLOOKUP(C298,'TB Apr 24'!$B$13:$I$103,8,0)</f>
        <v>13760</v>
      </c>
    </row>
    <row r="299" spans="1:8" x14ac:dyDescent="0.35">
      <c r="A299" s="77">
        <v>45383</v>
      </c>
      <c r="B299" s="3" t="s">
        <v>167</v>
      </c>
      <c r="C299" s="4" t="s">
        <v>168</v>
      </c>
      <c r="D299" s="4" t="s">
        <v>314</v>
      </c>
      <c r="E299" s="4" t="s">
        <v>322</v>
      </c>
      <c r="F299" t="s">
        <v>214</v>
      </c>
      <c r="G299" t="s">
        <v>220</v>
      </c>
      <c r="H299">
        <f>VLOOKUP(C299,'TB Apr 24'!$B$13:$I$103,8,0)</f>
        <v>28900</v>
      </c>
    </row>
    <row r="300" spans="1:8" x14ac:dyDescent="0.35">
      <c r="A300" s="77">
        <v>45383</v>
      </c>
      <c r="B300" s="3" t="s">
        <v>169</v>
      </c>
      <c r="C300" s="4" t="s">
        <v>170</v>
      </c>
      <c r="D300" s="4" t="s">
        <v>314</v>
      </c>
      <c r="E300" s="4" t="s">
        <v>304</v>
      </c>
      <c r="F300" t="s">
        <v>214</v>
      </c>
      <c r="G300" t="s">
        <v>220</v>
      </c>
      <c r="H300">
        <f>VLOOKUP(C300,'TB Apr 24'!$B$13:$I$103,8,0)</f>
        <v>30232</v>
      </c>
    </row>
    <row r="301" spans="1:8" x14ac:dyDescent="0.35">
      <c r="A301" s="77">
        <v>45383</v>
      </c>
      <c r="B301" s="3" t="s">
        <v>171</v>
      </c>
      <c r="C301" s="4" t="s">
        <v>172</v>
      </c>
      <c r="D301" s="4" t="s">
        <v>314</v>
      </c>
      <c r="E301" s="4" t="s">
        <v>303</v>
      </c>
      <c r="F301" t="s">
        <v>214</v>
      </c>
      <c r="G301" t="s">
        <v>220</v>
      </c>
      <c r="H301">
        <f>VLOOKUP(C301,'TB Apr 24'!$B$13:$I$103,8,0)</f>
        <v>0</v>
      </c>
    </row>
    <row r="302" spans="1:8" x14ac:dyDescent="0.35">
      <c r="A302" s="77">
        <v>45383</v>
      </c>
      <c r="B302" s="3" t="s">
        <v>173</v>
      </c>
      <c r="C302" s="4" t="s">
        <v>174</v>
      </c>
      <c r="D302" s="4" t="s">
        <v>314</v>
      </c>
      <c r="E302" s="4" t="s">
        <v>257</v>
      </c>
      <c r="F302" t="s">
        <v>214</v>
      </c>
      <c r="G302" t="s">
        <v>220</v>
      </c>
      <c r="H302">
        <f>VLOOKUP(C302,'TB Apr 24'!$B$13:$I$103,8,0)</f>
        <v>0</v>
      </c>
    </row>
    <row r="303" spans="1:8" x14ac:dyDescent="0.35">
      <c r="A303" s="77">
        <v>45383</v>
      </c>
      <c r="B303" s="3" t="s">
        <v>175</v>
      </c>
      <c r="C303" s="4" t="s">
        <v>176</v>
      </c>
      <c r="D303" s="4" t="s">
        <v>314</v>
      </c>
      <c r="E303" s="4" t="s">
        <v>257</v>
      </c>
      <c r="F303" t="s">
        <v>214</v>
      </c>
      <c r="G303" t="s">
        <v>220</v>
      </c>
      <c r="H303">
        <f>VLOOKUP(C303,'TB Apr 24'!$B$13:$I$103,8,0)</f>
        <v>0</v>
      </c>
    </row>
    <row r="304" spans="1:8" x14ac:dyDescent="0.35">
      <c r="A304" s="77">
        <v>45383</v>
      </c>
      <c r="B304" s="3" t="s">
        <v>177</v>
      </c>
      <c r="C304" s="4" t="s">
        <v>178</v>
      </c>
      <c r="D304" s="4" t="s">
        <v>314</v>
      </c>
      <c r="E304" s="4" t="s">
        <v>257</v>
      </c>
      <c r="F304" t="s">
        <v>214</v>
      </c>
      <c r="G304" t="s">
        <v>220</v>
      </c>
      <c r="H304">
        <f>VLOOKUP(C304,'TB Apr 24'!$B$13:$I$103,8,0)</f>
        <v>0</v>
      </c>
    </row>
    <row r="305" spans="1:8" x14ac:dyDescent="0.35">
      <c r="A305" s="77">
        <v>45383</v>
      </c>
      <c r="B305" s="3" t="s">
        <v>179</v>
      </c>
      <c r="C305" s="4" t="s">
        <v>180</v>
      </c>
      <c r="D305" s="4" t="s">
        <v>314</v>
      </c>
      <c r="E305" s="4" t="s">
        <v>322</v>
      </c>
      <c r="F305" t="s">
        <v>214</v>
      </c>
      <c r="G305" t="s">
        <v>220</v>
      </c>
      <c r="H305">
        <f>VLOOKUP(C305,'TB Apr 24'!$B$13:$I$103,8,0)</f>
        <v>0</v>
      </c>
    </row>
    <row r="306" spans="1:8" x14ac:dyDescent="0.35">
      <c r="A306" s="77">
        <v>45383</v>
      </c>
      <c r="B306" s="3" t="s">
        <v>181</v>
      </c>
      <c r="C306" s="4" t="s">
        <v>182</v>
      </c>
      <c r="D306" s="4" t="s">
        <v>314</v>
      </c>
      <c r="E306" s="4" t="s">
        <v>290</v>
      </c>
      <c r="F306" t="s">
        <v>214</v>
      </c>
      <c r="G306" t="s">
        <v>220</v>
      </c>
      <c r="H306">
        <f>VLOOKUP(C306,'TB Apr 24'!$B$13:$I$103,8,0)</f>
        <v>2970</v>
      </c>
    </row>
    <row r="307" spans="1:8" x14ac:dyDescent="0.35">
      <c r="A307" s="77">
        <v>45383</v>
      </c>
      <c r="B307" s="3" t="s">
        <v>183</v>
      </c>
      <c r="C307" s="4" t="s">
        <v>184</v>
      </c>
      <c r="D307" s="4" t="s">
        <v>314</v>
      </c>
      <c r="E307" s="4" t="s">
        <v>290</v>
      </c>
      <c r="F307" t="s">
        <v>214</v>
      </c>
      <c r="G307" t="s">
        <v>220</v>
      </c>
      <c r="H307">
        <f>VLOOKUP(C307,'TB Apr 24'!$B$13:$I$103,8,0)</f>
        <v>0</v>
      </c>
    </row>
    <row r="308" spans="1:8" x14ac:dyDescent="0.35">
      <c r="A308" s="77">
        <v>45383</v>
      </c>
      <c r="B308" s="3" t="s">
        <v>185</v>
      </c>
      <c r="C308" s="4" t="s">
        <v>186</v>
      </c>
      <c r="D308" s="4" t="s">
        <v>314</v>
      </c>
      <c r="E308" s="4" t="s">
        <v>290</v>
      </c>
      <c r="F308" t="s">
        <v>214</v>
      </c>
      <c r="G308" t="s">
        <v>220</v>
      </c>
      <c r="H308">
        <f>VLOOKUP(C308,'TB Apr 24'!$B$13:$I$103,8,0)</f>
        <v>37575</v>
      </c>
    </row>
    <row r="309" spans="1:8" x14ac:dyDescent="0.35">
      <c r="A309" s="77">
        <v>45383</v>
      </c>
      <c r="B309" s="3" t="s">
        <v>187</v>
      </c>
      <c r="C309" s="4" t="s">
        <v>188</v>
      </c>
      <c r="D309" s="4" t="s">
        <v>314</v>
      </c>
      <c r="E309" s="4" t="s">
        <v>291</v>
      </c>
      <c r="F309" t="s">
        <v>214</v>
      </c>
      <c r="G309" t="s">
        <v>220</v>
      </c>
      <c r="H309">
        <f>VLOOKUP(C309,'TB Apr 24'!$B$13:$I$103,8,0)</f>
        <v>35472</v>
      </c>
    </row>
    <row r="310" spans="1:8" x14ac:dyDescent="0.35">
      <c r="A310" s="77">
        <v>45383</v>
      </c>
      <c r="B310" s="3" t="s">
        <v>189</v>
      </c>
      <c r="C310" s="4" t="s">
        <v>190</v>
      </c>
      <c r="D310" s="4" t="s">
        <v>314</v>
      </c>
      <c r="E310" s="4" t="s">
        <v>254</v>
      </c>
      <c r="F310" t="s">
        <v>214</v>
      </c>
      <c r="G310" t="s">
        <v>220</v>
      </c>
      <c r="H310">
        <f>VLOOKUP(C310,'TB Apr 24'!$B$13:$I$103,8,0)</f>
        <v>0</v>
      </c>
    </row>
    <row r="311" spans="1:8" x14ac:dyDescent="0.35">
      <c r="A311" s="77">
        <v>45383</v>
      </c>
      <c r="B311" s="3" t="s">
        <v>191</v>
      </c>
      <c r="C311" s="4" t="s">
        <v>192</v>
      </c>
      <c r="D311" s="4" t="s">
        <v>314</v>
      </c>
      <c r="E311" s="4" t="s">
        <v>254</v>
      </c>
      <c r="F311" t="s">
        <v>214</v>
      </c>
      <c r="G311" t="s">
        <v>220</v>
      </c>
      <c r="H311">
        <f>VLOOKUP(C311,'TB Apr 24'!$B$13:$I$103,8,0)</f>
        <v>0</v>
      </c>
    </row>
    <row r="312" spans="1:8" x14ac:dyDescent="0.35">
      <c r="A312" s="77">
        <v>45383</v>
      </c>
      <c r="B312" s="3" t="s">
        <v>193</v>
      </c>
      <c r="C312" s="4" t="s">
        <v>194</v>
      </c>
      <c r="D312" s="4" t="s">
        <v>314</v>
      </c>
      <c r="E312" s="4" t="s">
        <v>254</v>
      </c>
      <c r="F312" t="s">
        <v>214</v>
      </c>
      <c r="G312" t="s">
        <v>220</v>
      </c>
      <c r="H312">
        <f>VLOOKUP(C312,'TB Apr 24'!$B$13:$I$103,8,0)</f>
        <v>388169.25</v>
      </c>
    </row>
    <row r="313" spans="1:8" x14ac:dyDescent="0.35">
      <c r="A313" s="77">
        <v>45383</v>
      </c>
      <c r="B313" s="3" t="s">
        <v>195</v>
      </c>
      <c r="C313" s="4" t="s">
        <v>196</v>
      </c>
      <c r="D313" s="4" t="s">
        <v>314</v>
      </c>
      <c r="E313" s="4" t="s">
        <v>255</v>
      </c>
      <c r="F313" t="s">
        <v>214</v>
      </c>
      <c r="G313" t="s">
        <v>220</v>
      </c>
      <c r="H313">
        <f>VLOOKUP(C313,'TB Apr 24'!$B$13:$I$103,8,0)</f>
        <v>0</v>
      </c>
    </row>
    <row r="314" spans="1:8" x14ac:dyDescent="0.35">
      <c r="A314" s="77">
        <v>45383</v>
      </c>
      <c r="B314" s="3" t="s">
        <v>197</v>
      </c>
      <c r="C314" s="4" t="s">
        <v>198</v>
      </c>
      <c r="D314" s="4" t="s">
        <v>314</v>
      </c>
      <c r="E314" s="4" t="s">
        <v>255</v>
      </c>
      <c r="F314" t="s">
        <v>214</v>
      </c>
      <c r="G314" t="s">
        <v>220</v>
      </c>
      <c r="H314">
        <f>VLOOKUP(C314,'TB Apr 24'!$B$13:$I$103,8,0)</f>
        <v>0</v>
      </c>
    </row>
    <row r="315" spans="1:8" x14ac:dyDescent="0.35">
      <c r="A315" s="77">
        <v>45383</v>
      </c>
      <c r="B315" s="3" t="s">
        <v>199</v>
      </c>
      <c r="C315" s="4" t="s">
        <v>200</v>
      </c>
      <c r="D315" s="4" t="s">
        <v>314</v>
      </c>
      <c r="E315" s="4" t="s">
        <v>254</v>
      </c>
      <c r="F315" t="s">
        <v>214</v>
      </c>
      <c r="G315" t="s">
        <v>220</v>
      </c>
      <c r="H315">
        <f>VLOOKUP(C315,'TB Apr 24'!$B$13:$I$103,8,0)</f>
        <v>0</v>
      </c>
    </row>
    <row r="316" spans="1:8" x14ac:dyDescent="0.35">
      <c r="A316" s="77">
        <v>45383</v>
      </c>
      <c r="B316" s="3" t="s">
        <v>201</v>
      </c>
      <c r="C316" s="4" t="s">
        <v>202</v>
      </c>
      <c r="D316" s="4" t="s">
        <v>314</v>
      </c>
      <c r="E316" s="4" t="s">
        <v>254</v>
      </c>
      <c r="F316" t="s">
        <v>214</v>
      </c>
      <c r="G316" t="s">
        <v>220</v>
      </c>
      <c r="H316">
        <f>VLOOKUP(C316,'TB Apr 24'!$B$13:$I$103,8,0)</f>
        <v>0</v>
      </c>
    </row>
    <row r="317" spans="1:8" x14ac:dyDescent="0.35">
      <c r="A317" s="77">
        <v>45383</v>
      </c>
      <c r="B317" s="3" t="s">
        <v>203</v>
      </c>
      <c r="C317" s="4" t="s">
        <v>204</v>
      </c>
      <c r="D317" s="4" t="s">
        <v>314</v>
      </c>
      <c r="E317" s="4" t="s">
        <v>256</v>
      </c>
      <c r="F317" t="s">
        <v>214</v>
      </c>
      <c r="G317" t="s">
        <v>220</v>
      </c>
      <c r="H317">
        <f>VLOOKUP(C317,'TB Apr 24'!$B$13:$I$103,8,0)</f>
        <v>0</v>
      </c>
    </row>
    <row r="318" spans="1:8" x14ac:dyDescent="0.35">
      <c r="A318" s="77">
        <v>45383</v>
      </c>
      <c r="B318" s="3" t="s">
        <v>205</v>
      </c>
      <c r="C318" s="6" t="s">
        <v>206</v>
      </c>
      <c r="D318" s="4" t="s">
        <v>314</v>
      </c>
      <c r="E318" s="6" t="s">
        <v>322</v>
      </c>
      <c r="F318" s="79" t="s">
        <v>214</v>
      </c>
      <c r="G318" s="79" t="s">
        <v>220</v>
      </c>
      <c r="H318" s="79">
        <f>VLOOKUP(C318,'TB Apr 24'!$B$13:$I$103,8,0)</f>
        <v>0</v>
      </c>
    </row>
    <row r="319" spans="1:8" x14ac:dyDescent="0.35">
      <c r="A319" s="77">
        <v>45383</v>
      </c>
      <c r="B319" s="3" t="s">
        <v>57</v>
      </c>
      <c r="C319" s="4" t="s">
        <v>58</v>
      </c>
      <c r="D319" s="4" t="s">
        <v>314</v>
      </c>
      <c r="E319" s="4" t="s">
        <v>253</v>
      </c>
      <c r="F319" t="s">
        <v>215</v>
      </c>
      <c r="G319" t="s">
        <v>216</v>
      </c>
      <c r="H319">
        <f>VLOOKUP(C319,'TB Apr 24'!$B$13:$J$103,9,0)</f>
        <v>0</v>
      </c>
    </row>
    <row r="320" spans="1:8" x14ac:dyDescent="0.35">
      <c r="A320" s="77">
        <v>45383</v>
      </c>
      <c r="B320" s="3" t="s">
        <v>307</v>
      </c>
      <c r="C320" s="4" t="s">
        <v>308</v>
      </c>
      <c r="D320" s="4" t="s">
        <v>314</v>
      </c>
      <c r="E320" s="4" t="s">
        <v>253</v>
      </c>
      <c r="F320" t="s">
        <v>215</v>
      </c>
      <c r="G320" t="s">
        <v>216</v>
      </c>
      <c r="H320">
        <f>VLOOKUP(C320,'TB Apr 24'!$B$13:$J$103,9,0)</f>
        <v>0</v>
      </c>
    </row>
    <row r="321" spans="1:8" x14ac:dyDescent="0.35">
      <c r="A321" s="77">
        <v>45383</v>
      </c>
      <c r="B321" s="3" t="s">
        <v>59</v>
      </c>
      <c r="C321" s="4" t="s">
        <v>60</v>
      </c>
      <c r="D321" s="4" t="s">
        <v>314</v>
      </c>
      <c r="E321" s="4" t="s">
        <v>253</v>
      </c>
      <c r="F321" t="s">
        <v>215</v>
      </c>
      <c r="G321" t="s">
        <v>216</v>
      </c>
      <c r="H321">
        <f>VLOOKUP(C321,'TB Apr 24'!$B$13:$J$103,9,0)</f>
        <v>-26.47</v>
      </c>
    </row>
    <row r="322" spans="1:8" x14ac:dyDescent="0.35">
      <c r="A322" s="77">
        <v>45383</v>
      </c>
      <c r="B322" s="3" t="s">
        <v>61</v>
      </c>
      <c r="C322" s="4" t="s">
        <v>62</v>
      </c>
      <c r="D322" s="4" t="s">
        <v>314</v>
      </c>
      <c r="E322" s="4" t="s">
        <v>66</v>
      </c>
      <c r="F322" t="s">
        <v>215</v>
      </c>
      <c r="G322" t="s">
        <v>216</v>
      </c>
      <c r="H322">
        <f>VLOOKUP(C322,'TB Apr 24'!$B$13:$J$103,9,0)</f>
        <v>-28431.07</v>
      </c>
    </row>
    <row r="323" spans="1:8" x14ac:dyDescent="0.35">
      <c r="A323" s="77">
        <v>45383</v>
      </c>
      <c r="B323" s="3" t="s">
        <v>63</v>
      </c>
      <c r="C323" s="4" t="s">
        <v>64</v>
      </c>
      <c r="D323" s="4" t="s">
        <v>314</v>
      </c>
      <c r="E323" s="4" t="s">
        <v>252</v>
      </c>
      <c r="F323" t="s">
        <v>215</v>
      </c>
      <c r="G323" t="s">
        <v>216</v>
      </c>
      <c r="H323">
        <f>VLOOKUP(C323,'TB Apr 24'!$B$13:$J$103,9,0)</f>
        <v>0</v>
      </c>
    </row>
    <row r="324" spans="1:8" x14ac:dyDescent="0.35">
      <c r="A324" s="77">
        <v>45383</v>
      </c>
      <c r="B324" s="3" t="s">
        <v>65</v>
      </c>
      <c r="C324" s="4" t="s">
        <v>66</v>
      </c>
      <c r="D324" s="4" t="s">
        <v>314</v>
      </c>
      <c r="E324" s="4" t="s">
        <v>66</v>
      </c>
      <c r="F324" t="s">
        <v>215</v>
      </c>
      <c r="G324" t="s">
        <v>216</v>
      </c>
      <c r="H324">
        <f>VLOOKUP(C324,'TB Apr 24'!$B$13:$J$103,9,0)</f>
        <v>-1399369.58</v>
      </c>
    </row>
    <row r="325" spans="1:8" x14ac:dyDescent="0.35">
      <c r="A325" s="77">
        <v>45383</v>
      </c>
      <c r="B325" s="3" t="s">
        <v>67</v>
      </c>
      <c r="C325" s="4" t="s">
        <v>68</v>
      </c>
      <c r="D325" s="4" t="s">
        <v>314</v>
      </c>
      <c r="E325" s="4" t="s">
        <v>252</v>
      </c>
      <c r="F325" t="s">
        <v>215</v>
      </c>
      <c r="G325" t="s">
        <v>216</v>
      </c>
      <c r="H325">
        <f>VLOOKUP(C325,'TB Apr 24'!$B$13:$J$103,9,0)</f>
        <v>-353862.42</v>
      </c>
    </row>
    <row r="326" spans="1:8" x14ac:dyDescent="0.35">
      <c r="A326" s="77">
        <v>45383</v>
      </c>
      <c r="B326" s="3" t="s">
        <v>69</v>
      </c>
      <c r="C326" s="4" t="s">
        <v>70</v>
      </c>
      <c r="D326" s="4" t="s">
        <v>314</v>
      </c>
      <c r="E326" s="4" t="s">
        <v>70</v>
      </c>
      <c r="F326" t="s">
        <v>215</v>
      </c>
      <c r="G326" t="s">
        <v>216</v>
      </c>
      <c r="H326">
        <f>VLOOKUP(C326,'TB Apr 24'!$B$13:$J$103,9,0)</f>
        <v>-358723.56</v>
      </c>
    </row>
    <row r="327" spans="1:8" x14ac:dyDescent="0.35">
      <c r="A327" s="77">
        <v>45383</v>
      </c>
      <c r="B327" s="3" t="s">
        <v>71</v>
      </c>
      <c r="C327" s="4" t="s">
        <v>72</v>
      </c>
      <c r="D327" s="4" t="s">
        <v>314</v>
      </c>
      <c r="E327" s="4" t="s">
        <v>253</v>
      </c>
      <c r="F327" t="s">
        <v>215</v>
      </c>
      <c r="G327" t="s">
        <v>216</v>
      </c>
      <c r="H327">
        <f>VLOOKUP(C327,'TB Apr 24'!$B$13:$J$103,9,0)</f>
        <v>0</v>
      </c>
    </row>
    <row r="328" spans="1:8" x14ac:dyDescent="0.35">
      <c r="A328" s="77">
        <v>45383</v>
      </c>
      <c r="B328" s="3" t="s">
        <v>73</v>
      </c>
      <c r="C328" s="4" t="s">
        <v>74</v>
      </c>
      <c r="D328" s="4" t="s">
        <v>314</v>
      </c>
      <c r="E328" s="4" t="s">
        <v>253</v>
      </c>
      <c r="F328" t="s">
        <v>215</v>
      </c>
      <c r="G328" t="s">
        <v>216</v>
      </c>
      <c r="H328">
        <f>VLOOKUP(C328,'TB Apr 24'!$B$13:$J$103,9,0)</f>
        <v>-1420.84</v>
      </c>
    </row>
    <row r="329" spans="1:8" x14ac:dyDescent="0.35">
      <c r="A329" s="77">
        <v>45383</v>
      </c>
      <c r="B329" s="3" t="s">
        <v>75</v>
      </c>
      <c r="C329" s="4" t="s">
        <v>76</v>
      </c>
      <c r="D329" s="4" t="s">
        <v>314</v>
      </c>
      <c r="E329" s="4" t="s">
        <v>253</v>
      </c>
      <c r="F329" t="s">
        <v>215</v>
      </c>
      <c r="G329" t="s">
        <v>216</v>
      </c>
      <c r="H329">
        <f>VLOOKUP(C329,'TB Apr 24'!$B$13:$J$103,9,0)</f>
        <v>0</v>
      </c>
    </row>
    <row r="330" spans="1:8" x14ac:dyDescent="0.35">
      <c r="A330" s="77">
        <v>45383</v>
      </c>
      <c r="B330" s="3" t="s">
        <v>77</v>
      </c>
      <c r="C330" s="4" t="s">
        <v>78</v>
      </c>
      <c r="D330" s="4" t="s">
        <v>314</v>
      </c>
      <c r="E330" s="4" t="s">
        <v>253</v>
      </c>
      <c r="F330" t="s">
        <v>215</v>
      </c>
      <c r="G330" t="s">
        <v>216</v>
      </c>
      <c r="H330">
        <f>VLOOKUP(C330,'TB Apr 24'!$B$13:$J$103,9,0)</f>
        <v>-27375.07</v>
      </c>
    </row>
    <row r="331" spans="1:8" x14ac:dyDescent="0.35">
      <c r="A331" s="77">
        <v>45383</v>
      </c>
      <c r="B331" s="3" t="s">
        <v>79</v>
      </c>
      <c r="C331" s="4" t="s">
        <v>80</v>
      </c>
      <c r="D331" s="4" t="s">
        <v>314</v>
      </c>
      <c r="E331" s="4" t="s">
        <v>253</v>
      </c>
      <c r="F331" t="s">
        <v>215</v>
      </c>
      <c r="G331" t="s">
        <v>216</v>
      </c>
      <c r="H331">
        <f>VLOOKUP(C331,'TB Apr 24'!$B$13:$J$103,9,0)</f>
        <v>-26867.95</v>
      </c>
    </row>
    <row r="332" spans="1:8" x14ac:dyDescent="0.35">
      <c r="A332" s="77">
        <v>45383</v>
      </c>
      <c r="B332" s="3" t="s">
        <v>81</v>
      </c>
      <c r="C332" s="4" t="s">
        <v>82</v>
      </c>
      <c r="D332" s="4" t="s">
        <v>314</v>
      </c>
      <c r="E332" s="4" t="s">
        <v>319</v>
      </c>
      <c r="F332" t="s">
        <v>215</v>
      </c>
      <c r="G332" t="s">
        <v>216</v>
      </c>
      <c r="H332">
        <f>VLOOKUP(C332,'TB Apr 24'!$B$13:$J$103,9,0)</f>
        <v>0</v>
      </c>
    </row>
    <row r="333" spans="1:8" x14ac:dyDescent="0.35">
      <c r="A333" s="77">
        <v>45383</v>
      </c>
      <c r="B333" s="3" t="s">
        <v>83</v>
      </c>
      <c r="C333" s="4" t="s">
        <v>84</v>
      </c>
      <c r="D333" s="4" t="s">
        <v>314</v>
      </c>
      <c r="E333" s="4" t="s">
        <v>319</v>
      </c>
      <c r="F333" t="s">
        <v>215</v>
      </c>
      <c r="G333" t="s">
        <v>216</v>
      </c>
      <c r="H333">
        <f>VLOOKUP(C333,'TB Apr 24'!$B$13:$J$103,9,0)</f>
        <v>0</v>
      </c>
    </row>
    <row r="334" spans="1:8" x14ac:dyDescent="0.35">
      <c r="A334" s="77">
        <v>45383</v>
      </c>
      <c r="B334" s="3" t="s">
        <v>85</v>
      </c>
      <c r="C334" s="4" t="s">
        <v>86</v>
      </c>
      <c r="D334" s="4" t="s">
        <v>314</v>
      </c>
      <c r="E334" s="4" t="s">
        <v>291</v>
      </c>
      <c r="F334" t="s">
        <v>215</v>
      </c>
      <c r="G334" t="s">
        <v>216</v>
      </c>
      <c r="H334">
        <f>VLOOKUP(C334,'TB Apr 24'!$B$13:$J$103,9,0)</f>
        <v>0</v>
      </c>
    </row>
    <row r="335" spans="1:8" x14ac:dyDescent="0.35">
      <c r="A335" s="77">
        <v>45383</v>
      </c>
      <c r="B335" s="3" t="s">
        <v>88</v>
      </c>
      <c r="C335" s="4" t="s">
        <v>89</v>
      </c>
      <c r="D335" s="4" t="s">
        <v>314</v>
      </c>
      <c r="E335" s="4" t="s">
        <v>300</v>
      </c>
      <c r="F335" t="s">
        <v>215</v>
      </c>
      <c r="G335" t="s">
        <v>216</v>
      </c>
      <c r="H335">
        <f>VLOOKUP(C335,'TB Apr 24'!$B$13:$J$103,9,0)</f>
        <v>0</v>
      </c>
    </row>
    <row r="336" spans="1:8" x14ac:dyDescent="0.35">
      <c r="A336" s="77">
        <v>45383</v>
      </c>
      <c r="B336" s="3" t="s">
        <v>90</v>
      </c>
      <c r="C336" s="4" t="s">
        <v>91</v>
      </c>
      <c r="D336" s="4" t="s">
        <v>314</v>
      </c>
      <c r="E336" s="4" t="s">
        <v>300</v>
      </c>
      <c r="F336" t="s">
        <v>215</v>
      </c>
      <c r="G336" t="s">
        <v>216</v>
      </c>
      <c r="H336">
        <f>VLOOKUP(C336,'TB Apr 24'!$B$13:$J$103,9,0)</f>
        <v>5650</v>
      </c>
    </row>
    <row r="337" spans="1:8" x14ac:dyDescent="0.35">
      <c r="A337" s="77">
        <v>45383</v>
      </c>
      <c r="B337" s="3" t="s">
        <v>92</v>
      </c>
      <c r="C337" s="4" t="s">
        <v>93</v>
      </c>
      <c r="D337" s="4" t="s">
        <v>314</v>
      </c>
      <c r="E337" s="4" t="s">
        <v>300</v>
      </c>
      <c r="F337" t="s">
        <v>215</v>
      </c>
      <c r="G337" t="s">
        <v>216</v>
      </c>
      <c r="H337">
        <f>VLOOKUP(C337,'TB Apr 24'!$B$13:$J$103,9,0)</f>
        <v>0</v>
      </c>
    </row>
    <row r="338" spans="1:8" x14ac:dyDescent="0.35">
      <c r="A338" s="77">
        <v>45383</v>
      </c>
      <c r="B338" s="3" t="s">
        <v>94</v>
      </c>
      <c r="C338" s="4" t="s">
        <v>95</v>
      </c>
      <c r="D338" s="4" t="s">
        <v>314</v>
      </c>
      <c r="E338" s="4" t="s">
        <v>289</v>
      </c>
      <c r="F338" t="s">
        <v>215</v>
      </c>
      <c r="G338" t="s">
        <v>216</v>
      </c>
      <c r="H338">
        <f>VLOOKUP(C338,'TB Apr 24'!$B$13:$J$103,9,0)</f>
        <v>547307</v>
      </c>
    </row>
    <row r="339" spans="1:8" x14ac:dyDescent="0.35">
      <c r="A339" s="77">
        <v>45383</v>
      </c>
      <c r="B339" s="3" t="s">
        <v>96</v>
      </c>
      <c r="C339" s="4" t="s">
        <v>97</v>
      </c>
      <c r="D339" s="4" t="s">
        <v>314</v>
      </c>
      <c r="E339" s="4" t="s">
        <v>289</v>
      </c>
      <c r="F339" t="s">
        <v>215</v>
      </c>
      <c r="G339" t="s">
        <v>216</v>
      </c>
      <c r="H339">
        <f>VLOOKUP(C339,'TB Apr 24'!$B$13:$J$103,9,0)</f>
        <v>0</v>
      </c>
    </row>
    <row r="340" spans="1:8" x14ac:dyDescent="0.35">
      <c r="A340" s="77">
        <v>45383</v>
      </c>
      <c r="B340" s="3" t="s">
        <v>309</v>
      </c>
      <c r="C340" s="4" t="s">
        <v>310</v>
      </c>
      <c r="D340" s="4" t="s">
        <v>314</v>
      </c>
      <c r="E340" s="4" t="s">
        <v>289</v>
      </c>
      <c r="F340" t="s">
        <v>215</v>
      </c>
      <c r="G340" t="s">
        <v>216</v>
      </c>
      <c r="H340">
        <f>VLOOKUP(C340,'TB Apr 24'!$B$13:$J$103,9,0)</f>
        <v>0</v>
      </c>
    </row>
    <row r="341" spans="1:8" x14ac:dyDescent="0.35">
      <c r="A341" s="77">
        <v>45383</v>
      </c>
      <c r="B341" s="3" t="s">
        <v>98</v>
      </c>
      <c r="C341" s="4" t="s">
        <v>99</v>
      </c>
      <c r="D341" s="4" t="s">
        <v>314</v>
      </c>
      <c r="E341" s="4" t="s">
        <v>289</v>
      </c>
      <c r="F341" t="s">
        <v>215</v>
      </c>
      <c r="G341" t="s">
        <v>216</v>
      </c>
      <c r="H341">
        <f>VLOOKUP(C341,'TB Apr 24'!$B$13:$J$103,9,0)</f>
        <v>0</v>
      </c>
    </row>
    <row r="342" spans="1:8" x14ac:dyDescent="0.35">
      <c r="A342" s="77">
        <v>45383</v>
      </c>
      <c r="B342" s="3" t="s">
        <v>100</v>
      </c>
      <c r="C342" s="4" t="s">
        <v>101</v>
      </c>
      <c r="D342" s="4" t="s">
        <v>314</v>
      </c>
      <c r="E342" s="4" t="s">
        <v>291</v>
      </c>
      <c r="F342" t="s">
        <v>215</v>
      </c>
      <c r="G342" t="s">
        <v>216</v>
      </c>
      <c r="H342">
        <f>VLOOKUP(C342,'TB Apr 24'!$B$13:$J$103,9,0)</f>
        <v>0</v>
      </c>
    </row>
    <row r="343" spans="1:8" x14ac:dyDescent="0.35">
      <c r="A343" s="77">
        <v>45383</v>
      </c>
      <c r="B343" s="3" t="s">
        <v>102</v>
      </c>
      <c r="C343" s="4" t="s">
        <v>103</v>
      </c>
      <c r="D343" s="4" t="s">
        <v>314</v>
      </c>
      <c r="E343" s="4" t="s">
        <v>291</v>
      </c>
      <c r="F343" t="s">
        <v>215</v>
      </c>
      <c r="G343" t="s">
        <v>216</v>
      </c>
      <c r="H343">
        <f>VLOOKUP(C343,'TB Apr 24'!$B$13:$J$103,9,0)</f>
        <v>0</v>
      </c>
    </row>
    <row r="344" spans="1:8" x14ac:dyDescent="0.35">
      <c r="A344" s="77">
        <v>45383</v>
      </c>
      <c r="B344" s="3" t="s">
        <v>104</v>
      </c>
      <c r="C344" s="4" t="s">
        <v>105</v>
      </c>
      <c r="D344" s="4" t="s">
        <v>314</v>
      </c>
      <c r="E344" s="4" t="s">
        <v>291</v>
      </c>
      <c r="F344" t="s">
        <v>215</v>
      </c>
      <c r="G344" t="s">
        <v>216</v>
      </c>
      <c r="H344">
        <f>VLOOKUP(C344,'TB Apr 24'!$B$13:$J$103,9,0)</f>
        <v>3750</v>
      </c>
    </row>
    <row r="345" spans="1:8" x14ac:dyDescent="0.35">
      <c r="A345" s="77">
        <v>45383</v>
      </c>
      <c r="B345" s="3" t="s">
        <v>106</v>
      </c>
      <c r="C345" s="4" t="s">
        <v>107</v>
      </c>
      <c r="D345" s="4" t="s">
        <v>314</v>
      </c>
      <c r="E345" s="4" t="s">
        <v>321</v>
      </c>
      <c r="F345" t="s">
        <v>215</v>
      </c>
      <c r="G345" t="s">
        <v>216</v>
      </c>
      <c r="H345">
        <f>VLOOKUP(C345,'TB Apr 24'!$B$13:$J$103,9,0)</f>
        <v>0</v>
      </c>
    </row>
    <row r="346" spans="1:8" x14ac:dyDescent="0.35">
      <c r="A346" s="77">
        <v>45383</v>
      </c>
      <c r="B346" s="3" t="s">
        <v>108</v>
      </c>
      <c r="C346" s="4" t="s">
        <v>109</v>
      </c>
      <c r="D346" s="4" t="s">
        <v>314</v>
      </c>
      <c r="E346" s="4" t="s">
        <v>321</v>
      </c>
      <c r="F346" t="s">
        <v>215</v>
      </c>
      <c r="G346" t="s">
        <v>216</v>
      </c>
      <c r="H346">
        <f>VLOOKUP(C346,'TB Apr 24'!$B$13:$J$103,9,0)</f>
        <v>62</v>
      </c>
    </row>
    <row r="347" spans="1:8" x14ac:dyDescent="0.35">
      <c r="A347" s="77">
        <v>45383</v>
      </c>
      <c r="B347" s="3" t="s">
        <v>110</v>
      </c>
      <c r="C347" s="4" t="s">
        <v>111</v>
      </c>
      <c r="D347" s="4" t="s">
        <v>314</v>
      </c>
      <c r="E347" s="4" t="s">
        <v>320</v>
      </c>
      <c r="F347" t="s">
        <v>215</v>
      </c>
      <c r="G347" t="s">
        <v>216</v>
      </c>
      <c r="H347">
        <f>VLOOKUP(C347,'TB Apr 24'!$B$13:$J$103,9,0)</f>
        <v>0</v>
      </c>
    </row>
    <row r="348" spans="1:8" x14ac:dyDescent="0.35">
      <c r="A348" s="77">
        <v>45383</v>
      </c>
      <c r="B348" s="3" t="s">
        <v>112</v>
      </c>
      <c r="C348" s="4" t="s">
        <v>113</v>
      </c>
      <c r="D348" s="4" t="s">
        <v>314</v>
      </c>
      <c r="E348" s="4" t="s">
        <v>321</v>
      </c>
      <c r="F348" t="s">
        <v>215</v>
      </c>
      <c r="G348" t="s">
        <v>216</v>
      </c>
      <c r="H348">
        <f>VLOOKUP(C348,'TB Apr 24'!$B$13:$J$103,9,0)</f>
        <v>3251</v>
      </c>
    </row>
    <row r="349" spans="1:8" x14ac:dyDescent="0.35">
      <c r="A349" s="77">
        <v>45383</v>
      </c>
      <c r="B349" s="3" t="s">
        <v>311</v>
      </c>
      <c r="C349" s="4" t="s">
        <v>312</v>
      </c>
      <c r="D349" s="4" t="s">
        <v>314</v>
      </c>
      <c r="E349" s="4" t="s">
        <v>288</v>
      </c>
      <c r="F349" t="s">
        <v>215</v>
      </c>
      <c r="G349" t="s">
        <v>216</v>
      </c>
      <c r="H349">
        <f>VLOOKUP(C349,'TB Apr 24'!$B$13:$J$103,9,0)</f>
        <v>0</v>
      </c>
    </row>
    <row r="350" spans="1:8" x14ac:dyDescent="0.35">
      <c r="A350" s="77">
        <v>45383</v>
      </c>
      <c r="B350" s="3" t="s">
        <v>114</v>
      </c>
      <c r="C350" s="4" t="s">
        <v>115</v>
      </c>
      <c r="D350" s="4" t="s">
        <v>314</v>
      </c>
      <c r="E350" s="4" t="s">
        <v>294</v>
      </c>
      <c r="F350" t="s">
        <v>215</v>
      </c>
      <c r="G350" t="s">
        <v>216</v>
      </c>
      <c r="H350">
        <f>VLOOKUP(C350,'TB Apr 24'!$B$13:$J$103,9,0)</f>
        <v>0</v>
      </c>
    </row>
    <row r="351" spans="1:8" x14ac:dyDescent="0.35">
      <c r="A351" s="77">
        <v>45383</v>
      </c>
      <c r="B351" s="3" t="s">
        <v>116</v>
      </c>
      <c r="C351" s="4" t="s">
        <v>117</v>
      </c>
      <c r="D351" s="4" t="s">
        <v>314</v>
      </c>
      <c r="E351" s="4" t="s">
        <v>296</v>
      </c>
      <c r="F351" t="s">
        <v>215</v>
      </c>
      <c r="G351" t="s">
        <v>216</v>
      </c>
      <c r="H351">
        <f>VLOOKUP(C351,'TB Apr 24'!$B$13:$J$103,9,0)</f>
        <v>0</v>
      </c>
    </row>
    <row r="352" spans="1:8" x14ac:dyDescent="0.35">
      <c r="A352" s="77">
        <v>45383</v>
      </c>
      <c r="B352" s="3" t="s">
        <v>118</v>
      </c>
      <c r="C352" s="4" t="s">
        <v>119</v>
      </c>
      <c r="D352" s="4" t="s">
        <v>314</v>
      </c>
      <c r="E352" s="4" t="s">
        <v>296</v>
      </c>
      <c r="F352" t="s">
        <v>215</v>
      </c>
      <c r="G352" t="s">
        <v>216</v>
      </c>
      <c r="H352">
        <f>VLOOKUP(C352,'TB Apr 24'!$B$13:$J$103,9,0)</f>
        <v>0</v>
      </c>
    </row>
    <row r="353" spans="1:8" x14ac:dyDescent="0.35">
      <c r="A353" s="77">
        <v>45383</v>
      </c>
      <c r="B353" s="3" t="s">
        <v>120</v>
      </c>
      <c r="C353" s="4" t="s">
        <v>121</v>
      </c>
      <c r="D353" s="4" t="s">
        <v>314</v>
      </c>
      <c r="E353" s="4" t="s">
        <v>322</v>
      </c>
      <c r="F353" t="s">
        <v>215</v>
      </c>
      <c r="G353" t="s">
        <v>216</v>
      </c>
      <c r="H353">
        <f>VLOOKUP(C353,'TB Apr 24'!$B$13:$J$103,9,0)</f>
        <v>3302</v>
      </c>
    </row>
    <row r="354" spans="1:8" x14ac:dyDescent="0.35">
      <c r="A354" s="77">
        <v>45383</v>
      </c>
      <c r="B354" s="3" t="s">
        <v>122</v>
      </c>
      <c r="C354" s="4" t="s">
        <v>123</v>
      </c>
      <c r="D354" s="4" t="s">
        <v>314</v>
      </c>
      <c r="E354" s="4" t="s">
        <v>322</v>
      </c>
      <c r="F354" t="s">
        <v>215</v>
      </c>
      <c r="G354" t="s">
        <v>216</v>
      </c>
      <c r="H354">
        <f>VLOOKUP(C354,'TB Apr 24'!$B$13:$J$103,9,0)</f>
        <v>0</v>
      </c>
    </row>
    <row r="355" spans="1:8" x14ac:dyDescent="0.35">
      <c r="A355" s="77">
        <v>45383</v>
      </c>
      <c r="B355" s="3" t="s">
        <v>124</v>
      </c>
      <c r="C355" s="4" t="s">
        <v>125</v>
      </c>
      <c r="D355" s="4" t="s">
        <v>314</v>
      </c>
      <c r="E355" s="4" t="s">
        <v>322</v>
      </c>
      <c r="F355" t="s">
        <v>215</v>
      </c>
      <c r="G355" t="s">
        <v>216</v>
      </c>
      <c r="H355">
        <f>VLOOKUP(C355,'TB Apr 24'!$B$13:$J$103,9,0)</f>
        <v>0</v>
      </c>
    </row>
    <row r="356" spans="1:8" x14ac:dyDescent="0.35">
      <c r="A356" s="77">
        <v>45383</v>
      </c>
      <c r="B356" s="3" t="s">
        <v>126</v>
      </c>
      <c r="C356" s="4" t="s">
        <v>127</v>
      </c>
      <c r="D356" s="4" t="s">
        <v>314</v>
      </c>
      <c r="E356" s="4" t="s">
        <v>291</v>
      </c>
      <c r="F356" t="s">
        <v>215</v>
      </c>
      <c r="G356" t="s">
        <v>216</v>
      </c>
      <c r="H356">
        <f>VLOOKUP(C356,'TB Apr 24'!$B$13:$J$103,9,0)</f>
        <v>0</v>
      </c>
    </row>
    <row r="357" spans="1:8" x14ac:dyDescent="0.35">
      <c r="A357" s="77">
        <v>45383</v>
      </c>
      <c r="B357" s="3" t="s">
        <v>128</v>
      </c>
      <c r="C357" s="4" t="s">
        <v>129</v>
      </c>
      <c r="D357" s="4" t="s">
        <v>314</v>
      </c>
      <c r="E357" s="4" t="s">
        <v>322</v>
      </c>
      <c r="F357" t="s">
        <v>215</v>
      </c>
      <c r="G357" t="s">
        <v>216</v>
      </c>
      <c r="H357">
        <f>VLOOKUP(C357,'TB Apr 24'!$B$13:$J$103,9,0)</f>
        <v>8439.5</v>
      </c>
    </row>
    <row r="358" spans="1:8" x14ac:dyDescent="0.35">
      <c r="A358" s="77">
        <v>45383</v>
      </c>
      <c r="B358" s="3" t="s">
        <v>130</v>
      </c>
      <c r="C358" s="4" t="s">
        <v>131</v>
      </c>
      <c r="D358" s="4" t="s">
        <v>314</v>
      </c>
      <c r="E358" s="4" t="s">
        <v>322</v>
      </c>
      <c r="F358" t="s">
        <v>215</v>
      </c>
      <c r="G358" t="s">
        <v>216</v>
      </c>
      <c r="H358">
        <f>VLOOKUP(C358,'TB Apr 24'!$B$13:$J$103,9,0)</f>
        <v>0</v>
      </c>
    </row>
    <row r="359" spans="1:8" x14ac:dyDescent="0.35">
      <c r="A359" s="77">
        <v>45383</v>
      </c>
      <c r="B359" s="3" t="s">
        <v>132</v>
      </c>
      <c r="C359" s="4" t="s">
        <v>133</v>
      </c>
      <c r="D359" s="4" t="s">
        <v>314</v>
      </c>
      <c r="E359" s="4" t="s">
        <v>320</v>
      </c>
      <c r="F359" t="s">
        <v>215</v>
      </c>
      <c r="G359" t="s">
        <v>216</v>
      </c>
      <c r="H359">
        <f>VLOOKUP(C359,'TB Apr 24'!$B$13:$J$103,9,0)</f>
        <v>3156.25</v>
      </c>
    </row>
    <row r="360" spans="1:8" x14ac:dyDescent="0.35">
      <c r="A360" s="77">
        <v>45383</v>
      </c>
      <c r="B360" s="3" t="s">
        <v>134</v>
      </c>
      <c r="C360" s="4" t="s">
        <v>135</v>
      </c>
      <c r="D360" s="4" t="s">
        <v>314</v>
      </c>
      <c r="E360" s="4" t="s">
        <v>299</v>
      </c>
      <c r="F360" t="s">
        <v>215</v>
      </c>
      <c r="G360" t="s">
        <v>216</v>
      </c>
      <c r="H360">
        <f>VLOOKUP(C360,'TB Apr 24'!$B$13:$J$103,9,0)</f>
        <v>0</v>
      </c>
    </row>
    <row r="361" spans="1:8" x14ac:dyDescent="0.35">
      <c r="A361" s="77">
        <v>45383</v>
      </c>
      <c r="B361" s="3" t="s">
        <v>136</v>
      </c>
      <c r="C361" s="4" t="s">
        <v>137</v>
      </c>
      <c r="D361" s="4" t="s">
        <v>314</v>
      </c>
      <c r="E361" s="4" t="s">
        <v>322</v>
      </c>
      <c r="F361" t="s">
        <v>215</v>
      </c>
      <c r="G361" t="s">
        <v>216</v>
      </c>
      <c r="H361">
        <f>VLOOKUP(C361,'TB Apr 24'!$B$13:$J$103,9,0)</f>
        <v>0</v>
      </c>
    </row>
    <row r="362" spans="1:8" x14ac:dyDescent="0.35">
      <c r="A362" s="77">
        <v>45383</v>
      </c>
      <c r="B362" s="3" t="s">
        <v>138</v>
      </c>
      <c r="C362" s="4" t="s">
        <v>139</v>
      </c>
      <c r="D362" s="4" t="s">
        <v>314</v>
      </c>
      <c r="E362" s="4" t="s">
        <v>294</v>
      </c>
      <c r="F362" t="s">
        <v>215</v>
      </c>
      <c r="G362" t="s">
        <v>216</v>
      </c>
      <c r="H362">
        <f>VLOOKUP(C362,'TB Apr 24'!$B$13:$J$103,9,0)</f>
        <v>9792</v>
      </c>
    </row>
    <row r="363" spans="1:8" x14ac:dyDescent="0.35">
      <c r="A363" s="77">
        <v>45383</v>
      </c>
      <c r="B363" s="3" t="s">
        <v>140</v>
      </c>
      <c r="C363" s="4" t="s">
        <v>141</v>
      </c>
      <c r="D363" s="4" t="s">
        <v>314</v>
      </c>
      <c r="E363" s="4" t="s">
        <v>268</v>
      </c>
      <c r="F363" t="s">
        <v>215</v>
      </c>
      <c r="G363" t="s">
        <v>216</v>
      </c>
      <c r="H363">
        <f>VLOOKUP(C363,'TB Apr 24'!$B$13:$J$103,9,0)</f>
        <v>241568.4656</v>
      </c>
    </row>
    <row r="364" spans="1:8" x14ac:dyDescent="0.35">
      <c r="A364" s="77">
        <v>45383</v>
      </c>
      <c r="B364" s="3" t="s">
        <v>142</v>
      </c>
      <c r="C364" s="4" t="s">
        <v>143</v>
      </c>
      <c r="D364" s="4" t="s">
        <v>314</v>
      </c>
      <c r="E364" s="4" t="s">
        <v>269</v>
      </c>
      <c r="F364" t="s">
        <v>215</v>
      </c>
      <c r="G364" t="s">
        <v>216</v>
      </c>
      <c r="H364">
        <f>VLOOKUP(C364,'TB Apr 24'!$B$13:$J$103,9,0)</f>
        <v>72886</v>
      </c>
    </row>
    <row r="365" spans="1:8" x14ac:dyDescent="0.35">
      <c r="A365" s="77">
        <v>45383</v>
      </c>
      <c r="B365" s="3" t="s">
        <v>144</v>
      </c>
      <c r="C365" s="4" t="s">
        <v>145</v>
      </c>
      <c r="D365" s="4" t="s">
        <v>314</v>
      </c>
      <c r="E365" s="4" t="s">
        <v>288</v>
      </c>
      <c r="F365" t="s">
        <v>215</v>
      </c>
      <c r="G365" t="s">
        <v>216</v>
      </c>
      <c r="H365">
        <f>VLOOKUP(C365,'TB Apr 24'!$B$13:$J$103,9,0)</f>
        <v>47144</v>
      </c>
    </row>
    <row r="366" spans="1:8" x14ac:dyDescent="0.35">
      <c r="A366" s="77">
        <v>45383</v>
      </c>
      <c r="B366" s="3" t="s">
        <v>146</v>
      </c>
      <c r="C366" s="4" t="s">
        <v>147</v>
      </c>
      <c r="D366" s="4" t="s">
        <v>314</v>
      </c>
      <c r="E366" s="4" t="s">
        <v>288</v>
      </c>
      <c r="F366" t="s">
        <v>215</v>
      </c>
      <c r="G366" t="s">
        <v>216</v>
      </c>
      <c r="H366">
        <f>VLOOKUP(C366,'TB Apr 24'!$B$13:$J$103,9,0)</f>
        <v>18981.666666666668</v>
      </c>
    </row>
    <row r="367" spans="1:8" x14ac:dyDescent="0.35">
      <c r="A367" s="77">
        <v>45383</v>
      </c>
      <c r="B367" s="3" t="s">
        <v>148</v>
      </c>
      <c r="C367" s="4" t="s">
        <v>149</v>
      </c>
      <c r="D367" s="4" t="s">
        <v>314</v>
      </c>
      <c r="E367" s="4" t="s">
        <v>287</v>
      </c>
      <c r="F367" t="s">
        <v>215</v>
      </c>
      <c r="G367" t="s">
        <v>216</v>
      </c>
      <c r="H367">
        <f>VLOOKUP(C367,'TB Apr 24'!$B$13:$J$103,9,0)</f>
        <v>59388.5</v>
      </c>
    </row>
    <row r="368" spans="1:8" x14ac:dyDescent="0.35">
      <c r="A368" s="77">
        <v>45383</v>
      </c>
      <c r="B368" s="3" t="s">
        <v>150</v>
      </c>
      <c r="C368" s="4" t="s">
        <v>87</v>
      </c>
      <c r="D368" s="4" t="s">
        <v>314</v>
      </c>
      <c r="E368" s="4" t="s">
        <v>288</v>
      </c>
      <c r="F368" t="s">
        <v>215</v>
      </c>
      <c r="G368" t="s">
        <v>216</v>
      </c>
      <c r="H368">
        <f>VLOOKUP(C368,'TB Apr 24'!$B$13:$J$103,9,0)</f>
        <v>0</v>
      </c>
    </row>
    <row r="369" spans="1:8" x14ac:dyDescent="0.35">
      <c r="A369" s="77">
        <v>45383</v>
      </c>
      <c r="B369" s="3" t="s">
        <v>151</v>
      </c>
      <c r="C369" s="4" t="s">
        <v>152</v>
      </c>
      <c r="D369" s="4" t="s">
        <v>314</v>
      </c>
      <c r="E369" s="4" t="s">
        <v>288</v>
      </c>
      <c r="F369" t="s">
        <v>215</v>
      </c>
      <c r="G369" t="s">
        <v>216</v>
      </c>
      <c r="H369">
        <f>VLOOKUP(C369,'TB Apr 24'!$B$13:$J$103,9,0)</f>
        <v>0</v>
      </c>
    </row>
    <row r="370" spans="1:8" x14ac:dyDescent="0.35">
      <c r="A370" s="77">
        <v>45383</v>
      </c>
      <c r="B370" s="3" t="s">
        <v>153</v>
      </c>
      <c r="C370" s="4" t="s">
        <v>154</v>
      </c>
      <c r="D370" s="4" t="s">
        <v>314</v>
      </c>
      <c r="E370" s="4" t="s">
        <v>288</v>
      </c>
      <c r="F370" t="s">
        <v>215</v>
      </c>
      <c r="G370" t="s">
        <v>216</v>
      </c>
      <c r="H370">
        <f>VLOOKUP(C370,'TB Apr 24'!$B$13:$J$103,9,0)</f>
        <v>7769</v>
      </c>
    </row>
    <row r="371" spans="1:8" x14ac:dyDescent="0.35">
      <c r="A371" s="77">
        <v>45383</v>
      </c>
      <c r="B371" s="3" t="s">
        <v>155</v>
      </c>
      <c r="C371" s="4" t="s">
        <v>156</v>
      </c>
      <c r="D371" s="4" t="s">
        <v>314</v>
      </c>
      <c r="E371" s="4" t="s">
        <v>288</v>
      </c>
      <c r="F371" t="s">
        <v>215</v>
      </c>
      <c r="G371" t="s">
        <v>216</v>
      </c>
      <c r="H371">
        <f>VLOOKUP(C371,'TB Apr 24'!$B$13:$J$103,9,0)</f>
        <v>4476.01</v>
      </c>
    </row>
    <row r="372" spans="1:8" x14ac:dyDescent="0.35">
      <c r="A372" s="77">
        <v>45383</v>
      </c>
      <c r="B372" s="3" t="s">
        <v>157</v>
      </c>
      <c r="C372" s="4" t="s">
        <v>158</v>
      </c>
      <c r="D372" s="4" t="s">
        <v>314</v>
      </c>
      <c r="E372" s="4" t="s">
        <v>292</v>
      </c>
      <c r="F372" t="s">
        <v>215</v>
      </c>
      <c r="G372" t="s">
        <v>216</v>
      </c>
      <c r="H372">
        <f>VLOOKUP(C372,'TB Apr 24'!$B$13:$J$103,9,0)</f>
        <v>0</v>
      </c>
    </row>
    <row r="373" spans="1:8" x14ac:dyDescent="0.35">
      <c r="A373" s="77">
        <v>45383</v>
      </c>
      <c r="B373" s="3" t="s">
        <v>159</v>
      </c>
      <c r="C373" s="4" t="s">
        <v>160</v>
      </c>
      <c r="D373" s="4" t="s">
        <v>314</v>
      </c>
      <c r="E373" s="4" t="s">
        <v>323</v>
      </c>
      <c r="F373" t="s">
        <v>215</v>
      </c>
      <c r="G373" t="s">
        <v>216</v>
      </c>
      <c r="H373">
        <f>VLOOKUP(C373,'TB Apr 24'!$B$13:$J$103,9,0)</f>
        <v>14430</v>
      </c>
    </row>
    <row r="374" spans="1:8" x14ac:dyDescent="0.35">
      <c r="A374" s="77">
        <v>45383</v>
      </c>
      <c r="B374" s="3" t="s">
        <v>161</v>
      </c>
      <c r="C374" s="4" t="s">
        <v>162</v>
      </c>
      <c r="D374" s="4" t="s">
        <v>314</v>
      </c>
      <c r="E374" s="4" t="s">
        <v>323</v>
      </c>
      <c r="F374" t="s">
        <v>215</v>
      </c>
      <c r="G374" t="s">
        <v>216</v>
      </c>
      <c r="H374">
        <f>VLOOKUP(C374,'TB Apr 24'!$B$13:$J$103,9,0)</f>
        <v>7953</v>
      </c>
    </row>
    <row r="375" spans="1:8" x14ac:dyDescent="0.35">
      <c r="A375" s="77">
        <v>45383</v>
      </c>
      <c r="B375" s="3" t="s">
        <v>163</v>
      </c>
      <c r="C375" s="4" t="s">
        <v>164</v>
      </c>
      <c r="D375" s="4" t="s">
        <v>314</v>
      </c>
      <c r="E375" s="4" t="s">
        <v>319</v>
      </c>
      <c r="F375" t="s">
        <v>215</v>
      </c>
      <c r="G375" t="s">
        <v>216</v>
      </c>
      <c r="H375">
        <f>VLOOKUP(C375,'TB Apr 24'!$B$13:$J$103,9,0)</f>
        <v>0</v>
      </c>
    </row>
    <row r="376" spans="1:8" x14ac:dyDescent="0.35">
      <c r="A376" s="77">
        <v>45383</v>
      </c>
      <c r="B376" s="3" t="s">
        <v>165</v>
      </c>
      <c r="C376" s="4" t="s">
        <v>166</v>
      </c>
      <c r="D376" s="4" t="s">
        <v>314</v>
      </c>
      <c r="E376" s="4" t="s">
        <v>304</v>
      </c>
      <c r="F376" t="s">
        <v>215</v>
      </c>
      <c r="G376" t="s">
        <v>216</v>
      </c>
      <c r="H376">
        <f>VLOOKUP(C376,'TB Apr 24'!$B$13:$J$103,9,0)</f>
        <v>19854</v>
      </c>
    </row>
    <row r="377" spans="1:8" x14ac:dyDescent="0.35">
      <c r="A377" s="77">
        <v>45383</v>
      </c>
      <c r="B377" s="3" t="s">
        <v>167</v>
      </c>
      <c r="C377" s="4" t="s">
        <v>168</v>
      </c>
      <c r="D377" s="4" t="s">
        <v>314</v>
      </c>
      <c r="E377" s="4" t="s">
        <v>322</v>
      </c>
      <c r="F377" t="s">
        <v>215</v>
      </c>
      <c r="G377" t="s">
        <v>216</v>
      </c>
      <c r="H377">
        <f>VLOOKUP(C377,'TB Apr 24'!$B$13:$J$103,9,0)</f>
        <v>8249</v>
      </c>
    </row>
    <row r="378" spans="1:8" x14ac:dyDescent="0.35">
      <c r="A378" s="77">
        <v>45383</v>
      </c>
      <c r="B378" s="3" t="s">
        <v>169</v>
      </c>
      <c r="C378" s="4" t="s">
        <v>170</v>
      </c>
      <c r="D378" s="4" t="s">
        <v>314</v>
      </c>
      <c r="E378" s="4" t="s">
        <v>304</v>
      </c>
      <c r="F378" t="s">
        <v>215</v>
      </c>
      <c r="G378" t="s">
        <v>216</v>
      </c>
      <c r="H378">
        <f>VLOOKUP(C378,'TB Apr 24'!$B$13:$J$103,9,0)</f>
        <v>3982.5</v>
      </c>
    </row>
    <row r="379" spans="1:8" x14ac:dyDescent="0.35">
      <c r="A379" s="77">
        <v>45383</v>
      </c>
      <c r="B379" s="3" t="s">
        <v>171</v>
      </c>
      <c r="C379" s="4" t="s">
        <v>172</v>
      </c>
      <c r="D379" s="4" t="s">
        <v>314</v>
      </c>
      <c r="E379" s="4" t="s">
        <v>303</v>
      </c>
      <c r="F379" t="s">
        <v>215</v>
      </c>
      <c r="G379" t="s">
        <v>216</v>
      </c>
      <c r="H379">
        <f>VLOOKUP(C379,'TB Apr 24'!$B$13:$J$103,9,0)</f>
        <v>66361</v>
      </c>
    </row>
    <row r="380" spans="1:8" x14ac:dyDescent="0.35">
      <c r="A380" s="77">
        <v>45383</v>
      </c>
      <c r="B380" s="3" t="s">
        <v>173</v>
      </c>
      <c r="C380" s="4" t="s">
        <v>174</v>
      </c>
      <c r="D380" s="4" t="s">
        <v>314</v>
      </c>
      <c r="E380" s="4" t="s">
        <v>257</v>
      </c>
      <c r="F380" t="s">
        <v>215</v>
      </c>
      <c r="G380" t="s">
        <v>216</v>
      </c>
      <c r="H380">
        <f>VLOOKUP(C380,'TB Apr 24'!$B$13:$J$103,9,0)</f>
        <v>0</v>
      </c>
    </row>
    <row r="381" spans="1:8" x14ac:dyDescent="0.35">
      <c r="A381" s="77">
        <v>45383</v>
      </c>
      <c r="B381" s="3" t="s">
        <v>175</v>
      </c>
      <c r="C381" s="4" t="s">
        <v>176</v>
      </c>
      <c r="D381" s="4" t="s">
        <v>314</v>
      </c>
      <c r="E381" s="4" t="s">
        <v>257</v>
      </c>
      <c r="F381" t="s">
        <v>215</v>
      </c>
      <c r="G381" t="s">
        <v>216</v>
      </c>
      <c r="H381">
        <f>VLOOKUP(C381,'TB Apr 24'!$B$13:$J$103,9,0)</f>
        <v>0</v>
      </c>
    </row>
    <row r="382" spans="1:8" x14ac:dyDescent="0.35">
      <c r="A382" s="77">
        <v>45383</v>
      </c>
      <c r="B382" s="3" t="s">
        <v>177</v>
      </c>
      <c r="C382" s="4" t="s">
        <v>178</v>
      </c>
      <c r="D382" s="4" t="s">
        <v>314</v>
      </c>
      <c r="E382" s="4" t="s">
        <v>257</v>
      </c>
      <c r="F382" t="s">
        <v>215</v>
      </c>
      <c r="G382" t="s">
        <v>216</v>
      </c>
      <c r="H382">
        <f>VLOOKUP(C382,'TB Apr 24'!$B$13:$J$103,9,0)</f>
        <v>0</v>
      </c>
    </row>
    <row r="383" spans="1:8" x14ac:dyDescent="0.35">
      <c r="A383" s="77">
        <v>45383</v>
      </c>
      <c r="B383" s="3" t="s">
        <v>179</v>
      </c>
      <c r="C383" s="4" t="s">
        <v>180</v>
      </c>
      <c r="D383" s="4" t="s">
        <v>314</v>
      </c>
      <c r="E383" s="4" t="s">
        <v>322</v>
      </c>
      <c r="F383" t="s">
        <v>215</v>
      </c>
      <c r="G383" t="s">
        <v>216</v>
      </c>
      <c r="H383">
        <f>VLOOKUP(C383,'TB Apr 24'!$B$13:$J$103,9,0)</f>
        <v>1000</v>
      </c>
    </row>
    <row r="384" spans="1:8" x14ac:dyDescent="0.35">
      <c r="A384" s="77">
        <v>45383</v>
      </c>
      <c r="B384" s="3" t="s">
        <v>181</v>
      </c>
      <c r="C384" s="4" t="s">
        <v>182</v>
      </c>
      <c r="D384" s="4" t="s">
        <v>314</v>
      </c>
      <c r="E384" s="4" t="s">
        <v>290</v>
      </c>
      <c r="F384" t="s">
        <v>215</v>
      </c>
      <c r="G384" t="s">
        <v>216</v>
      </c>
      <c r="H384">
        <f>VLOOKUP(C384,'TB Apr 24'!$B$13:$J$103,9,0)</f>
        <v>0</v>
      </c>
    </row>
    <row r="385" spans="1:8" x14ac:dyDescent="0.35">
      <c r="A385" s="77">
        <v>45383</v>
      </c>
      <c r="B385" s="3" t="s">
        <v>183</v>
      </c>
      <c r="C385" s="4" t="s">
        <v>184</v>
      </c>
      <c r="D385" s="4" t="s">
        <v>314</v>
      </c>
      <c r="E385" s="4" t="s">
        <v>290</v>
      </c>
      <c r="F385" t="s">
        <v>215</v>
      </c>
      <c r="G385" t="s">
        <v>216</v>
      </c>
      <c r="H385">
        <f>VLOOKUP(C385,'TB Apr 24'!$B$13:$J$103,9,0)</f>
        <v>2700</v>
      </c>
    </row>
    <row r="386" spans="1:8" x14ac:dyDescent="0.35">
      <c r="A386" s="77">
        <v>45383</v>
      </c>
      <c r="B386" s="3" t="s">
        <v>185</v>
      </c>
      <c r="C386" s="4" t="s">
        <v>186</v>
      </c>
      <c r="D386" s="4" t="s">
        <v>314</v>
      </c>
      <c r="E386" s="4" t="s">
        <v>290</v>
      </c>
      <c r="F386" t="s">
        <v>215</v>
      </c>
      <c r="G386" t="s">
        <v>216</v>
      </c>
      <c r="H386">
        <f>VLOOKUP(C386,'TB Apr 24'!$B$13:$J$103,9,0)</f>
        <v>74998.5</v>
      </c>
    </row>
    <row r="387" spans="1:8" x14ac:dyDescent="0.35">
      <c r="A387" s="77">
        <v>45383</v>
      </c>
      <c r="B387" s="3" t="s">
        <v>187</v>
      </c>
      <c r="C387" s="4" t="s">
        <v>188</v>
      </c>
      <c r="D387" s="4" t="s">
        <v>314</v>
      </c>
      <c r="E387" s="4" t="s">
        <v>291</v>
      </c>
      <c r="F387" t="s">
        <v>215</v>
      </c>
      <c r="G387" t="s">
        <v>216</v>
      </c>
      <c r="H387">
        <f>VLOOKUP(C387,'TB Apr 24'!$B$13:$J$103,9,0)</f>
        <v>51034.14</v>
      </c>
    </row>
    <row r="388" spans="1:8" x14ac:dyDescent="0.35">
      <c r="A388" s="77">
        <v>45383</v>
      </c>
      <c r="B388" s="3" t="s">
        <v>189</v>
      </c>
      <c r="C388" s="4" t="s">
        <v>190</v>
      </c>
      <c r="D388" s="4" t="s">
        <v>314</v>
      </c>
      <c r="E388" s="4" t="s">
        <v>254</v>
      </c>
      <c r="F388" t="s">
        <v>215</v>
      </c>
      <c r="G388" t="s">
        <v>216</v>
      </c>
      <c r="H388">
        <f>VLOOKUP(C388,'TB Apr 24'!$B$13:$J$103,9,0)</f>
        <v>0</v>
      </c>
    </row>
    <row r="389" spans="1:8" x14ac:dyDescent="0.35">
      <c r="A389" s="77">
        <v>45383</v>
      </c>
      <c r="B389" s="3" t="s">
        <v>191</v>
      </c>
      <c r="C389" s="4" t="s">
        <v>192</v>
      </c>
      <c r="D389" s="4" t="s">
        <v>314</v>
      </c>
      <c r="E389" s="4" t="s">
        <v>254</v>
      </c>
      <c r="F389" t="s">
        <v>215</v>
      </c>
      <c r="G389" t="s">
        <v>216</v>
      </c>
      <c r="H389">
        <f>VLOOKUP(C389,'TB Apr 24'!$B$13:$J$103,9,0)</f>
        <v>0</v>
      </c>
    </row>
    <row r="390" spans="1:8" x14ac:dyDescent="0.35">
      <c r="A390" s="77">
        <v>45383</v>
      </c>
      <c r="B390" s="3" t="s">
        <v>193</v>
      </c>
      <c r="C390" s="4" t="s">
        <v>194</v>
      </c>
      <c r="D390" s="4" t="s">
        <v>314</v>
      </c>
      <c r="E390" s="4" t="s">
        <v>254</v>
      </c>
      <c r="F390" t="s">
        <v>215</v>
      </c>
      <c r="G390" t="s">
        <v>216</v>
      </c>
      <c r="H390">
        <f>VLOOKUP(C390,'TB Apr 24'!$B$13:$J$103,9,0)</f>
        <v>639044.19715602754</v>
      </c>
    </row>
    <row r="391" spans="1:8" x14ac:dyDescent="0.35">
      <c r="A391" s="77">
        <v>45383</v>
      </c>
      <c r="B391" s="3" t="s">
        <v>195</v>
      </c>
      <c r="C391" s="4" t="s">
        <v>196</v>
      </c>
      <c r="D391" s="4" t="s">
        <v>314</v>
      </c>
      <c r="E391" s="4" t="s">
        <v>255</v>
      </c>
      <c r="F391" t="s">
        <v>215</v>
      </c>
      <c r="G391" t="s">
        <v>216</v>
      </c>
      <c r="H391">
        <f>VLOOKUP(C391,'TB Apr 24'!$B$13:$J$103,9,0)</f>
        <v>0</v>
      </c>
    </row>
    <row r="392" spans="1:8" x14ac:dyDescent="0.35">
      <c r="A392" s="77">
        <v>45383</v>
      </c>
      <c r="B392" s="3" t="s">
        <v>197</v>
      </c>
      <c r="C392" s="4" t="s">
        <v>198</v>
      </c>
      <c r="D392" s="4" t="s">
        <v>314</v>
      </c>
      <c r="E392" s="4" t="s">
        <v>255</v>
      </c>
      <c r="F392" t="s">
        <v>215</v>
      </c>
      <c r="G392" t="s">
        <v>216</v>
      </c>
      <c r="H392">
        <f>VLOOKUP(C392,'TB Apr 24'!$B$13:$J$103,9,0)</f>
        <v>0</v>
      </c>
    </row>
    <row r="393" spans="1:8" x14ac:dyDescent="0.35">
      <c r="A393" s="77">
        <v>45383</v>
      </c>
      <c r="B393" s="3" t="s">
        <v>199</v>
      </c>
      <c r="C393" s="4" t="s">
        <v>200</v>
      </c>
      <c r="D393" s="4" t="s">
        <v>314</v>
      </c>
      <c r="E393" s="4" t="s">
        <v>254</v>
      </c>
      <c r="F393" t="s">
        <v>215</v>
      </c>
      <c r="G393" t="s">
        <v>216</v>
      </c>
      <c r="H393">
        <f>VLOOKUP(C393,'TB Apr 24'!$B$13:$J$103,9,0)</f>
        <v>0</v>
      </c>
    </row>
    <row r="394" spans="1:8" x14ac:dyDescent="0.35">
      <c r="A394" s="77">
        <v>45383</v>
      </c>
      <c r="B394" s="3" t="s">
        <v>201</v>
      </c>
      <c r="C394" s="4" t="s">
        <v>202</v>
      </c>
      <c r="D394" s="4" t="s">
        <v>314</v>
      </c>
      <c r="E394" s="4" t="s">
        <v>254</v>
      </c>
      <c r="F394" t="s">
        <v>215</v>
      </c>
      <c r="G394" t="s">
        <v>216</v>
      </c>
      <c r="H394">
        <f>VLOOKUP(C394,'TB Apr 24'!$B$13:$J$103,9,0)</f>
        <v>0</v>
      </c>
    </row>
    <row r="395" spans="1:8" x14ac:dyDescent="0.35">
      <c r="A395" s="77">
        <v>45383</v>
      </c>
      <c r="B395" s="3" t="s">
        <v>203</v>
      </c>
      <c r="C395" s="4" t="s">
        <v>204</v>
      </c>
      <c r="D395" s="4" t="s">
        <v>314</v>
      </c>
      <c r="E395" s="4" t="s">
        <v>256</v>
      </c>
      <c r="F395" t="s">
        <v>215</v>
      </c>
      <c r="G395" t="s">
        <v>216</v>
      </c>
      <c r="H395">
        <f>VLOOKUP(C395,'TB Apr 24'!$B$13:$J$103,9,0)</f>
        <v>145918.27739999999</v>
      </c>
    </row>
    <row r="396" spans="1:8" x14ac:dyDescent="0.35">
      <c r="A396" s="77">
        <v>45383</v>
      </c>
      <c r="B396" s="3" t="s">
        <v>205</v>
      </c>
      <c r="C396" s="6" t="s">
        <v>206</v>
      </c>
      <c r="D396" s="4" t="s">
        <v>314</v>
      </c>
      <c r="E396" s="6" t="s">
        <v>322</v>
      </c>
      <c r="F396" s="79" t="s">
        <v>215</v>
      </c>
      <c r="G396" s="79" t="s">
        <v>216</v>
      </c>
      <c r="H396" s="79">
        <f>VLOOKUP(C396,'TB Apr 24'!$B$13:$J$103,9,0)</f>
        <v>0</v>
      </c>
    </row>
    <row r="397" spans="1:8" x14ac:dyDescent="0.35">
      <c r="A397" s="77">
        <v>45383</v>
      </c>
      <c r="B397" s="3" t="s">
        <v>57</v>
      </c>
      <c r="C397" s="4" t="s">
        <v>58</v>
      </c>
      <c r="D397" s="4" t="s">
        <v>314</v>
      </c>
      <c r="E397" s="4" t="s">
        <v>253</v>
      </c>
      <c r="F397" t="s">
        <v>215</v>
      </c>
      <c r="G397" t="s">
        <v>217</v>
      </c>
      <c r="H397">
        <f>VLOOKUP(C397,'TB Apr 24'!$B$13:$K$103,10,0)</f>
        <v>0</v>
      </c>
    </row>
    <row r="398" spans="1:8" x14ac:dyDescent="0.35">
      <c r="A398" s="77">
        <v>45383</v>
      </c>
      <c r="B398" s="3" t="s">
        <v>307</v>
      </c>
      <c r="C398" s="4" t="s">
        <v>308</v>
      </c>
      <c r="D398" s="4" t="s">
        <v>314</v>
      </c>
      <c r="E398" s="4" t="s">
        <v>253</v>
      </c>
      <c r="F398" t="s">
        <v>215</v>
      </c>
      <c r="G398" t="s">
        <v>217</v>
      </c>
      <c r="H398">
        <f>VLOOKUP(C398,'TB Apr 24'!$B$13:$K$103,10,0)</f>
        <v>0</v>
      </c>
    </row>
    <row r="399" spans="1:8" x14ac:dyDescent="0.35">
      <c r="A399" s="77">
        <v>45383</v>
      </c>
      <c r="B399" s="3" t="s">
        <v>59</v>
      </c>
      <c r="C399" s="4" t="s">
        <v>60</v>
      </c>
      <c r="D399" s="4" t="s">
        <v>314</v>
      </c>
      <c r="E399" s="4" t="s">
        <v>253</v>
      </c>
      <c r="F399" t="s">
        <v>215</v>
      </c>
      <c r="G399" t="s">
        <v>217</v>
      </c>
      <c r="H399">
        <f>VLOOKUP(C399,'TB Apr 24'!$B$13:$K$103,10,0)</f>
        <v>-29.63</v>
      </c>
    </row>
    <row r="400" spans="1:8" x14ac:dyDescent="0.35">
      <c r="A400" s="77">
        <v>45383</v>
      </c>
      <c r="B400" s="3" t="s">
        <v>61</v>
      </c>
      <c r="C400" s="4" t="s">
        <v>62</v>
      </c>
      <c r="D400" s="4" t="s">
        <v>314</v>
      </c>
      <c r="E400" s="4" t="s">
        <v>66</v>
      </c>
      <c r="F400" t="s">
        <v>215</v>
      </c>
      <c r="G400" t="s">
        <v>217</v>
      </c>
      <c r="H400">
        <f>VLOOKUP(C400,'TB Apr 24'!$B$13:$K$103,10,0)</f>
        <v>-60415.37</v>
      </c>
    </row>
    <row r="401" spans="1:8" x14ac:dyDescent="0.35">
      <c r="A401" s="77">
        <v>45383</v>
      </c>
      <c r="B401" s="3" t="s">
        <v>63</v>
      </c>
      <c r="C401" s="4" t="s">
        <v>64</v>
      </c>
      <c r="D401" s="4" t="s">
        <v>314</v>
      </c>
      <c r="E401" s="4" t="s">
        <v>252</v>
      </c>
      <c r="F401" t="s">
        <v>215</v>
      </c>
      <c r="G401" t="s">
        <v>217</v>
      </c>
      <c r="H401">
        <f>VLOOKUP(C401,'TB Apr 24'!$B$13:$K$103,10,0)</f>
        <v>0</v>
      </c>
    </row>
    <row r="402" spans="1:8" x14ac:dyDescent="0.35">
      <c r="A402" s="77">
        <v>45383</v>
      </c>
      <c r="B402" s="3" t="s">
        <v>65</v>
      </c>
      <c r="C402" s="4" t="s">
        <v>66</v>
      </c>
      <c r="D402" s="4" t="s">
        <v>314</v>
      </c>
      <c r="E402" s="4" t="s">
        <v>66</v>
      </c>
      <c r="F402" t="s">
        <v>215</v>
      </c>
      <c r="G402" t="s">
        <v>217</v>
      </c>
      <c r="H402">
        <f>VLOOKUP(C402,'TB Apr 24'!$B$13:$K$103,10,0)</f>
        <v>-2106452.66</v>
      </c>
    </row>
    <row r="403" spans="1:8" x14ac:dyDescent="0.35">
      <c r="A403" s="77">
        <v>45383</v>
      </c>
      <c r="B403" s="3" t="s">
        <v>67</v>
      </c>
      <c r="C403" s="4" t="s">
        <v>68</v>
      </c>
      <c r="D403" s="4" t="s">
        <v>314</v>
      </c>
      <c r="E403" s="4" t="s">
        <v>252</v>
      </c>
      <c r="F403" t="s">
        <v>215</v>
      </c>
      <c r="G403" t="s">
        <v>217</v>
      </c>
      <c r="H403">
        <f>VLOOKUP(C403,'TB Apr 24'!$B$13:$K$103,10,0)</f>
        <v>-351603.13</v>
      </c>
    </row>
    <row r="404" spans="1:8" x14ac:dyDescent="0.35">
      <c r="A404" s="77">
        <v>45383</v>
      </c>
      <c r="B404" s="3" t="s">
        <v>69</v>
      </c>
      <c r="C404" s="4" t="s">
        <v>70</v>
      </c>
      <c r="D404" s="4" t="s">
        <v>314</v>
      </c>
      <c r="E404" s="4" t="s">
        <v>70</v>
      </c>
      <c r="F404" t="s">
        <v>215</v>
      </c>
      <c r="G404" t="s">
        <v>217</v>
      </c>
      <c r="H404">
        <f>VLOOKUP(C404,'TB Apr 24'!$B$13:$K$103,10,0)</f>
        <v>-594311.47</v>
      </c>
    </row>
    <row r="405" spans="1:8" x14ac:dyDescent="0.35">
      <c r="A405" s="77">
        <v>45383</v>
      </c>
      <c r="B405" s="3" t="s">
        <v>71</v>
      </c>
      <c r="C405" s="4" t="s">
        <v>72</v>
      </c>
      <c r="D405" s="4" t="s">
        <v>314</v>
      </c>
      <c r="E405" s="4" t="s">
        <v>253</v>
      </c>
      <c r="F405" t="s">
        <v>215</v>
      </c>
      <c r="G405" t="s">
        <v>217</v>
      </c>
      <c r="H405">
        <f>VLOOKUP(C405,'TB Apr 24'!$B$13:$K$103,10,0)</f>
        <v>0</v>
      </c>
    </row>
    <row r="406" spans="1:8" x14ac:dyDescent="0.35">
      <c r="A406" s="77">
        <v>45383</v>
      </c>
      <c r="B406" s="3" t="s">
        <v>73</v>
      </c>
      <c r="C406" s="4" t="s">
        <v>74</v>
      </c>
      <c r="D406" s="4" t="s">
        <v>314</v>
      </c>
      <c r="E406" s="4" t="s">
        <v>253</v>
      </c>
      <c r="F406" t="s">
        <v>215</v>
      </c>
      <c r="G406" t="s">
        <v>217</v>
      </c>
      <c r="H406">
        <f>VLOOKUP(C406,'TB Apr 24'!$B$13:$K$103,10,0)</f>
        <v>-1290.56</v>
      </c>
    </row>
    <row r="407" spans="1:8" x14ac:dyDescent="0.35">
      <c r="A407" s="77">
        <v>45383</v>
      </c>
      <c r="B407" s="3" t="s">
        <v>75</v>
      </c>
      <c r="C407" s="4" t="s">
        <v>76</v>
      </c>
      <c r="D407" s="4" t="s">
        <v>314</v>
      </c>
      <c r="E407" s="4" t="s">
        <v>253</v>
      </c>
      <c r="F407" t="s">
        <v>215</v>
      </c>
      <c r="G407" t="s">
        <v>217</v>
      </c>
      <c r="H407">
        <f>VLOOKUP(C407,'TB Apr 24'!$B$13:$K$103,10,0)</f>
        <v>0</v>
      </c>
    </row>
    <row r="408" spans="1:8" x14ac:dyDescent="0.35">
      <c r="A408" s="77">
        <v>45383</v>
      </c>
      <c r="B408" s="3" t="s">
        <v>77</v>
      </c>
      <c r="C408" s="4" t="s">
        <v>78</v>
      </c>
      <c r="D408" s="4" t="s">
        <v>314</v>
      </c>
      <c r="E408" s="4" t="s">
        <v>253</v>
      </c>
      <c r="F408" t="s">
        <v>215</v>
      </c>
      <c r="G408" t="s">
        <v>217</v>
      </c>
      <c r="H408">
        <f>VLOOKUP(C408,'TB Apr 24'!$B$13:$K$103,10,0)</f>
        <v>-28421.24</v>
      </c>
    </row>
    <row r="409" spans="1:8" x14ac:dyDescent="0.35">
      <c r="A409" s="77">
        <v>45383</v>
      </c>
      <c r="B409" s="3" t="s">
        <v>79</v>
      </c>
      <c r="C409" s="4" t="s">
        <v>80</v>
      </c>
      <c r="D409" s="4" t="s">
        <v>314</v>
      </c>
      <c r="E409" s="4" t="s">
        <v>253</v>
      </c>
      <c r="F409" t="s">
        <v>215</v>
      </c>
      <c r="G409" t="s">
        <v>217</v>
      </c>
      <c r="H409">
        <f>VLOOKUP(C409,'TB Apr 24'!$B$13:$K$103,10,0)</f>
        <v>-47356.07</v>
      </c>
    </row>
    <row r="410" spans="1:8" x14ac:dyDescent="0.35">
      <c r="A410" s="77">
        <v>45383</v>
      </c>
      <c r="B410" s="3" t="s">
        <v>81</v>
      </c>
      <c r="C410" s="4" t="s">
        <v>82</v>
      </c>
      <c r="D410" s="4" t="s">
        <v>314</v>
      </c>
      <c r="E410" s="4" t="s">
        <v>319</v>
      </c>
      <c r="F410" t="s">
        <v>215</v>
      </c>
      <c r="G410" t="s">
        <v>217</v>
      </c>
      <c r="H410">
        <f>VLOOKUP(C410,'TB Apr 24'!$B$13:$K$103,10,0)</f>
        <v>0</v>
      </c>
    </row>
    <row r="411" spans="1:8" x14ac:dyDescent="0.35">
      <c r="A411" s="77">
        <v>45383</v>
      </c>
      <c r="B411" s="3" t="s">
        <v>83</v>
      </c>
      <c r="C411" s="4" t="s">
        <v>84</v>
      </c>
      <c r="D411" s="4" t="s">
        <v>314</v>
      </c>
      <c r="E411" s="4" t="s">
        <v>319</v>
      </c>
      <c r="F411" t="s">
        <v>215</v>
      </c>
      <c r="G411" t="s">
        <v>217</v>
      </c>
      <c r="H411">
        <f>VLOOKUP(C411,'TB Apr 24'!$B$13:$K$103,10,0)</f>
        <v>0</v>
      </c>
    </row>
    <row r="412" spans="1:8" x14ac:dyDescent="0.35">
      <c r="A412" s="77">
        <v>45383</v>
      </c>
      <c r="B412" s="3" t="s">
        <v>85</v>
      </c>
      <c r="C412" s="4" t="s">
        <v>86</v>
      </c>
      <c r="D412" s="4" t="s">
        <v>314</v>
      </c>
      <c r="E412" s="4" t="s">
        <v>291</v>
      </c>
      <c r="F412" t="s">
        <v>215</v>
      </c>
      <c r="G412" t="s">
        <v>217</v>
      </c>
      <c r="H412">
        <f>VLOOKUP(C412,'TB Apr 24'!$B$13:$K$103,10,0)</f>
        <v>0</v>
      </c>
    </row>
    <row r="413" spans="1:8" x14ac:dyDescent="0.35">
      <c r="A413" s="77">
        <v>45383</v>
      </c>
      <c r="B413" s="3" t="s">
        <v>88</v>
      </c>
      <c r="C413" s="4" t="s">
        <v>89</v>
      </c>
      <c r="D413" s="4" t="s">
        <v>314</v>
      </c>
      <c r="E413" s="4" t="s">
        <v>300</v>
      </c>
      <c r="F413" t="s">
        <v>215</v>
      </c>
      <c r="G413" t="s">
        <v>217</v>
      </c>
      <c r="H413">
        <f>VLOOKUP(C413,'TB Apr 24'!$B$13:$K$103,10,0)</f>
        <v>0</v>
      </c>
    </row>
    <row r="414" spans="1:8" x14ac:dyDescent="0.35">
      <c r="A414" s="77">
        <v>45383</v>
      </c>
      <c r="B414" s="3" t="s">
        <v>90</v>
      </c>
      <c r="C414" s="4" t="s">
        <v>91</v>
      </c>
      <c r="D414" s="4" t="s">
        <v>314</v>
      </c>
      <c r="E414" s="4" t="s">
        <v>300</v>
      </c>
      <c r="F414" t="s">
        <v>215</v>
      </c>
      <c r="G414" t="s">
        <v>217</v>
      </c>
      <c r="H414">
        <f>VLOOKUP(C414,'TB Apr 24'!$B$13:$K$103,10,0)</f>
        <v>14078</v>
      </c>
    </row>
    <row r="415" spans="1:8" x14ac:dyDescent="0.35">
      <c r="A415" s="77">
        <v>45383</v>
      </c>
      <c r="B415" s="3" t="s">
        <v>92</v>
      </c>
      <c r="C415" s="4" t="s">
        <v>93</v>
      </c>
      <c r="D415" s="4" t="s">
        <v>314</v>
      </c>
      <c r="E415" s="4" t="s">
        <v>300</v>
      </c>
      <c r="F415" t="s">
        <v>215</v>
      </c>
      <c r="G415" t="s">
        <v>217</v>
      </c>
      <c r="H415">
        <f>VLOOKUP(C415,'TB Apr 24'!$B$13:$K$103,10,0)</f>
        <v>0</v>
      </c>
    </row>
    <row r="416" spans="1:8" x14ac:dyDescent="0.35">
      <c r="A416" s="77">
        <v>45383</v>
      </c>
      <c r="B416" s="3" t="s">
        <v>94</v>
      </c>
      <c r="C416" s="4" t="s">
        <v>95</v>
      </c>
      <c r="D416" s="4" t="s">
        <v>314</v>
      </c>
      <c r="E416" s="4" t="s">
        <v>289</v>
      </c>
      <c r="F416" t="s">
        <v>215</v>
      </c>
      <c r="G416" t="s">
        <v>217</v>
      </c>
      <c r="H416">
        <f>VLOOKUP(C416,'TB Apr 24'!$B$13:$K$103,10,0)</f>
        <v>619852</v>
      </c>
    </row>
    <row r="417" spans="1:8" x14ac:dyDescent="0.35">
      <c r="A417" s="77">
        <v>45383</v>
      </c>
      <c r="B417" s="3" t="s">
        <v>96</v>
      </c>
      <c r="C417" s="4" t="s">
        <v>97</v>
      </c>
      <c r="D417" s="4" t="s">
        <v>314</v>
      </c>
      <c r="E417" s="4" t="s">
        <v>289</v>
      </c>
      <c r="F417" t="s">
        <v>215</v>
      </c>
      <c r="G417" t="s">
        <v>217</v>
      </c>
      <c r="H417">
        <f>VLOOKUP(C417,'TB Apr 24'!$B$13:$K$103,10,0)</f>
        <v>0</v>
      </c>
    </row>
    <row r="418" spans="1:8" x14ac:dyDescent="0.35">
      <c r="A418" s="77">
        <v>45383</v>
      </c>
      <c r="B418" s="3" t="s">
        <v>309</v>
      </c>
      <c r="C418" s="4" t="s">
        <v>310</v>
      </c>
      <c r="D418" s="4" t="s">
        <v>314</v>
      </c>
      <c r="E418" s="4" t="s">
        <v>289</v>
      </c>
      <c r="F418" t="s">
        <v>215</v>
      </c>
      <c r="G418" t="s">
        <v>217</v>
      </c>
      <c r="H418">
        <f>VLOOKUP(C418,'TB Apr 24'!$B$13:$K$103,10,0)</f>
        <v>0</v>
      </c>
    </row>
    <row r="419" spans="1:8" x14ac:dyDescent="0.35">
      <c r="A419" s="77">
        <v>45383</v>
      </c>
      <c r="B419" s="3" t="s">
        <v>98</v>
      </c>
      <c r="C419" s="4" t="s">
        <v>99</v>
      </c>
      <c r="D419" s="4" t="s">
        <v>314</v>
      </c>
      <c r="E419" s="4" t="s">
        <v>289</v>
      </c>
      <c r="F419" t="s">
        <v>215</v>
      </c>
      <c r="G419" t="s">
        <v>217</v>
      </c>
      <c r="H419">
        <f>VLOOKUP(C419,'TB Apr 24'!$B$13:$K$103,10,0)</f>
        <v>0</v>
      </c>
    </row>
    <row r="420" spans="1:8" x14ac:dyDescent="0.35">
      <c r="A420" s="77">
        <v>45383</v>
      </c>
      <c r="B420" s="3" t="s">
        <v>100</v>
      </c>
      <c r="C420" s="4" t="s">
        <v>101</v>
      </c>
      <c r="D420" s="4" t="s">
        <v>314</v>
      </c>
      <c r="E420" s="4" t="s">
        <v>291</v>
      </c>
      <c r="F420" t="s">
        <v>215</v>
      </c>
      <c r="G420" t="s">
        <v>217</v>
      </c>
      <c r="H420">
        <f>VLOOKUP(C420,'TB Apr 24'!$B$13:$K$103,10,0)</f>
        <v>0</v>
      </c>
    </row>
    <row r="421" spans="1:8" x14ac:dyDescent="0.35">
      <c r="A421" s="77">
        <v>45383</v>
      </c>
      <c r="B421" s="3" t="s">
        <v>102</v>
      </c>
      <c r="C421" s="4" t="s">
        <v>103</v>
      </c>
      <c r="D421" s="4" t="s">
        <v>314</v>
      </c>
      <c r="E421" s="4" t="s">
        <v>291</v>
      </c>
      <c r="F421" t="s">
        <v>215</v>
      </c>
      <c r="G421" t="s">
        <v>217</v>
      </c>
      <c r="H421">
        <f>VLOOKUP(C421,'TB Apr 24'!$B$13:$K$103,10,0)</f>
        <v>0</v>
      </c>
    </row>
    <row r="422" spans="1:8" x14ac:dyDescent="0.35">
      <c r="A422" s="77">
        <v>45383</v>
      </c>
      <c r="B422" s="3" t="s">
        <v>104</v>
      </c>
      <c r="C422" s="4" t="s">
        <v>105</v>
      </c>
      <c r="D422" s="4" t="s">
        <v>314</v>
      </c>
      <c r="E422" s="4" t="s">
        <v>291</v>
      </c>
      <c r="F422" t="s">
        <v>215</v>
      </c>
      <c r="G422" t="s">
        <v>217</v>
      </c>
      <c r="H422">
        <f>VLOOKUP(C422,'TB Apr 24'!$B$13:$K$103,10,0)</f>
        <v>3550</v>
      </c>
    </row>
    <row r="423" spans="1:8" x14ac:dyDescent="0.35">
      <c r="A423" s="77">
        <v>45383</v>
      </c>
      <c r="B423" s="3" t="s">
        <v>106</v>
      </c>
      <c r="C423" s="4" t="s">
        <v>107</v>
      </c>
      <c r="D423" s="4" t="s">
        <v>314</v>
      </c>
      <c r="E423" s="4" t="s">
        <v>321</v>
      </c>
      <c r="F423" t="s">
        <v>215</v>
      </c>
      <c r="G423" t="s">
        <v>217</v>
      </c>
      <c r="H423">
        <f>VLOOKUP(C423,'TB Apr 24'!$B$13:$K$103,10,0)</f>
        <v>0</v>
      </c>
    </row>
    <row r="424" spans="1:8" x14ac:dyDescent="0.35">
      <c r="A424" s="77">
        <v>45383</v>
      </c>
      <c r="B424" s="3" t="s">
        <v>108</v>
      </c>
      <c r="C424" s="4" t="s">
        <v>109</v>
      </c>
      <c r="D424" s="4" t="s">
        <v>314</v>
      </c>
      <c r="E424" s="4" t="s">
        <v>321</v>
      </c>
      <c r="F424" t="s">
        <v>215</v>
      </c>
      <c r="G424" t="s">
        <v>217</v>
      </c>
      <c r="H424">
        <f>VLOOKUP(C424,'TB Apr 24'!$B$13:$K$103,10,0)</f>
        <v>62</v>
      </c>
    </row>
    <row r="425" spans="1:8" x14ac:dyDescent="0.35">
      <c r="A425" s="77">
        <v>45383</v>
      </c>
      <c r="B425" s="3" t="s">
        <v>110</v>
      </c>
      <c r="C425" s="4" t="s">
        <v>111</v>
      </c>
      <c r="D425" s="4" t="s">
        <v>314</v>
      </c>
      <c r="E425" s="4" t="s">
        <v>320</v>
      </c>
      <c r="F425" t="s">
        <v>215</v>
      </c>
      <c r="G425" t="s">
        <v>217</v>
      </c>
      <c r="H425">
        <f>VLOOKUP(C425,'TB Apr 24'!$B$13:$K$103,10,0)</f>
        <v>4000</v>
      </c>
    </row>
    <row r="426" spans="1:8" x14ac:dyDescent="0.35">
      <c r="A426" s="77">
        <v>45383</v>
      </c>
      <c r="B426" s="3" t="s">
        <v>112</v>
      </c>
      <c r="C426" s="4" t="s">
        <v>113</v>
      </c>
      <c r="D426" s="4" t="s">
        <v>314</v>
      </c>
      <c r="E426" s="4" t="s">
        <v>321</v>
      </c>
      <c r="F426" t="s">
        <v>215</v>
      </c>
      <c r="G426" t="s">
        <v>217</v>
      </c>
      <c r="H426">
        <f>VLOOKUP(C426,'TB Apr 24'!$B$13:$K$103,10,0)</f>
        <v>3250</v>
      </c>
    </row>
    <row r="427" spans="1:8" x14ac:dyDescent="0.35">
      <c r="A427" s="77">
        <v>45383</v>
      </c>
      <c r="B427" s="3" t="s">
        <v>311</v>
      </c>
      <c r="C427" s="4" t="s">
        <v>312</v>
      </c>
      <c r="D427" s="4" t="s">
        <v>314</v>
      </c>
      <c r="E427" s="4" t="s">
        <v>288</v>
      </c>
      <c r="F427" t="s">
        <v>215</v>
      </c>
      <c r="G427" t="s">
        <v>217</v>
      </c>
      <c r="H427">
        <f>VLOOKUP(C427,'TB Apr 24'!$B$13:$K$103,10,0)</f>
        <v>0</v>
      </c>
    </row>
    <row r="428" spans="1:8" x14ac:dyDescent="0.35">
      <c r="A428" s="77">
        <v>45383</v>
      </c>
      <c r="B428" s="3" t="s">
        <v>114</v>
      </c>
      <c r="C428" s="4" t="s">
        <v>115</v>
      </c>
      <c r="D428" s="4" t="s">
        <v>314</v>
      </c>
      <c r="E428" s="4" t="s">
        <v>294</v>
      </c>
      <c r="F428" t="s">
        <v>215</v>
      </c>
      <c r="G428" t="s">
        <v>217</v>
      </c>
      <c r="H428">
        <f>VLOOKUP(C428,'TB Apr 24'!$B$13:$K$103,10,0)</f>
        <v>0</v>
      </c>
    </row>
    <row r="429" spans="1:8" x14ac:dyDescent="0.35">
      <c r="A429" s="77">
        <v>45383</v>
      </c>
      <c r="B429" s="3" t="s">
        <v>116</v>
      </c>
      <c r="C429" s="4" t="s">
        <v>117</v>
      </c>
      <c r="D429" s="4" t="s">
        <v>314</v>
      </c>
      <c r="E429" s="4" t="s">
        <v>296</v>
      </c>
      <c r="F429" t="s">
        <v>215</v>
      </c>
      <c r="G429" t="s">
        <v>217</v>
      </c>
      <c r="H429">
        <f>VLOOKUP(C429,'TB Apr 24'!$B$13:$K$103,10,0)</f>
        <v>0</v>
      </c>
    </row>
    <row r="430" spans="1:8" x14ac:dyDescent="0.35">
      <c r="A430" s="77">
        <v>45383</v>
      </c>
      <c r="B430" s="3" t="s">
        <v>118</v>
      </c>
      <c r="C430" s="4" t="s">
        <v>119</v>
      </c>
      <c r="D430" s="4" t="s">
        <v>314</v>
      </c>
      <c r="E430" s="4" t="s">
        <v>296</v>
      </c>
      <c r="F430" t="s">
        <v>215</v>
      </c>
      <c r="G430" t="s">
        <v>217</v>
      </c>
      <c r="H430">
        <f>VLOOKUP(C430,'TB Apr 24'!$B$13:$K$103,10,0)</f>
        <v>0</v>
      </c>
    </row>
    <row r="431" spans="1:8" x14ac:dyDescent="0.35">
      <c r="A431" s="77">
        <v>45383</v>
      </c>
      <c r="B431" s="3" t="s">
        <v>120</v>
      </c>
      <c r="C431" s="4" t="s">
        <v>121</v>
      </c>
      <c r="D431" s="4" t="s">
        <v>314</v>
      </c>
      <c r="E431" s="4" t="s">
        <v>322</v>
      </c>
      <c r="F431" t="s">
        <v>215</v>
      </c>
      <c r="G431" t="s">
        <v>217</v>
      </c>
      <c r="H431">
        <f>VLOOKUP(C431,'TB Apr 24'!$B$13:$K$103,10,0)</f>
        <v>1740</v>
      </c>
    </row>
    <row r="432" spans="1:8" x14ac:dyDescent="0.35">
      <c r="A432" s="77">
        <v>45383</v>
      </c>
      <c r="B432" s="3" t="s">
        <v>122</v>
      </c>
      <c r="C432" s="4" t="s">
        <v>123</v>
      </c>
      <c r="D432" s="4" t="s">
        <v>314</v>
      </c>
      <c r="E432" s="4" t="s">
        <v>322</v>
      </c>
      <c r="F432" t="s">
        <v>215</v>
      </c>
      <c r="G432" t="s">
        <v>217</v>
      </c>
      <c r="H432">
        <f>VLOOKUP(C432,'TB Apr 24'!$B$13:$K$103,10,0)</f>
        <v>0</v>
      </c>
    </row>
    <row r="433" spans="1:8" x14ac:dyDescent="0.35">
      <c r="A433" s="77">
        <v>45383</v>
      </c>
      <c r="B433" s="3" t="s">
        <v>124</v>
      </c>
      <c r="C433" s="4" t="s">
        <v>125</v>
      </c>
      <c r="D433" s="4" t="s">
        <v>314</v>
      </c>
      <c r="E433" s="4" t="s">
        <v>322</v>
      </c>
      <c r="F433" t="s">
        <v>215</v>
      </c>
      <c r="G433" t="s">
        <v>217</v>
      </c>
      <c r="H433">
        <f>VLOOKUP(C433,'TB Apr 24'!$B$13:$K$103,10,0)</f>
        <v>0</v>
      </c>
    </row>
    <row r="434" spans="1:8" x14ac:dyDescent="0.35">
      <c r="A434" s="77">
        <v>45383</v>
      </c>
      <c r="B434" s="3" t="s">
        <v>126</v>
      </c>
      <c r="C434" s="4" t="s">
        <v>127</v>
      </c>
      <c r="D434" s="4" t="s">
        <v>314</v>
      </c>
      <c r="E434" s="4" t="s">
        <v>291</v>
      </c>
      <c r="F434" t="s">
        <v>215</v>
      </c>
      <c r="G434" t="s">
        <v>217</v>
      </c>
      <c r="H434">
        <f>VLOOKUP(C434,'TB Apr 24'!$B$13:$K$103,10,0)</f>
        <v>0</v>
      </c>
    </row>
    <row r="435" spans="1:8" x14ac:dyDescent="0.35">
      <c r="A435" s="77">
        <v>45383</v>
      </c>
      <c r="B435" s="3" t="s">
        <v>128</v>
      </c>
      <c r="C435" s="4" t="s">
        <v>129</v>
      </c>
      <c r="D435" s="4" t="s">
        <v>314</v>
      </c>
      <c r="E435" s="4" t="s">
        <v>322</v>
      </c>
      <c r="F435" t="s">
        <v>215</v>
      </c>
      <c r="G435" t="s">
        <v>217</v>
      </c>
      <c r="H435">
        <f>VLOOKUP(C435,'TB Apr 24'!$B$13:$K$103,10,0)</f>
        <v>8624.5</v>
      </c>
    </row>
    <row r="436" spans="1:8" x14ac:dyDescent="0.35">
      <c r="A436" s="77">
        <v>45383</v>
      </c>
      <c r="B436" s="3" t="s">
        <v>130</v>
      </c>
      <c r="C436" s="4" t="s">
        <v>131</v>
      </c>
      <c r="D436" s="4" t="s">
        <v>314</v>
      </c>
      <c r="E436" s="4" t="s">
        <v>322</v>
      </c>
      <c r="F436" t="s">
        <v>215</v>
      </c>
      <c r="G436" t="s">
        <v>217</v>
      </c>
      <c r="H436">
        <f>VLOOKUP(C436,'TB Apr 24'!$B$13:$K$103,10,0)</f>
        <v>455</v>
      </c>
    </row>
    <row r="437" spans="1:8" x14ac:dyDescent="0.35">
      <c r="A437" s="77">
        <v>45383</v>
      </c>
      <c r="B437" s="3" t="s">
        <v>132</v>
      </c>
      <c r="C437" s="4" t="s">
        <v>133</v>
      </c>
      <c r="D437" s="4" t="s">
        <v>314</v>
      </c>
      <c r="E437" s="4" t="s">
        <v>320</v>
      </c>
      <c r="F437" t="s">
        <v>215</v>
      </c>
      <c r="G437" t="s">
        <v>217</v>
      </c>
      <c r="H437">
        <f>VLOOKUP(C437,'TB Apr 24'!$B$13:$K$103,10,0)</f>
        <v>3456.25</v>
      </c>
    </row>
    <row r="438" spans="1:8" x14ac:dyDescent="0.35">
      <c r="A438" s="77">
        <v>45383</v>
      </c>
      <c r="B438" s="3" t="s">
        <v>134</v>
      </c>
      <c r="C438" s="4" t="s">
        <v>135</v>
      </c>
      <c r="D438" s="4" t="s">
        <v>314</v>
      </c>
      <c r="E438" s="4" t="s">
        <v>299</v>
      </c>
      <c r="F438" t="s">
        <v>215</v>
      </c>
      <c r="G438" t="s">
        <v>217</v>
      </c>
      <c r="H438">
        <f>VLOOKUP(C438,'TB Apr 24'!$B$13:$K$103,10,0)</f>
        <v>0</v>
      </c>
    </row>
    <row r="439" spans="1:8" x14ac:dyDescent="0.35">
      <c r="A439" s="77">
        <v>45383</v>
      </c>
      <c r="B439" s="3" t="s">
        <v>136</v>
      </c>
      <c r="C439" s="4" t="s">
        <v>137</v>
      </c>
      <c r="D439" s="4" t="s">
        <v>314</v>
      </c>
      <c r="E439" s="4" t="s">
        <v>322</v>
      </c>
      <c r="F439" t="s">
        <v>215</v>
      </c>
      <c r="G439" t="s">
        <v>217</v>
      </c>
      <c r="H439">
        <f>VLOOKUP(C439,'TB Apr 24'!$B$13:$K$103,10,0)</f>
        <v>0</v>
      </c>
    </row>
    <row r="440" spans="1:8" x14ac:dyDescent="0.35">
      <c r="A440" s="77">
        <v>45383</v>
      </c>
      <c r="B440" s="3" t="s">
        <v>138</v>
      </c>
      <c r="C440" s="4" t="s">
        <v>139</v>
      </c>
      <c r="D440" s="4" t="s">
        <v>314</v>
      </c>
      <c r="E440" s="4" t="s">
        <v>294</v>
      </c>
      <c r="F440" t="s">
        <v>215</v>
      </c>
      <c r="G440" t="s">
        <v>217</v>
      </c>
      <c r="H440">
        <f>VLOOKUP(C440,'TB Apr 24'!$B$13:$K$103,10,0)</f>
        <v>5481.9</v>
      </c>
    </row>
    <row r="441" spans="1:8" x14ac:dyDescent="0.35">
      <c r="A441" s="77">
        <v>45383</v>
      </c>
      <c r="B441" s="3" t="s">
        <v>140</v>
      </c>
      <c r="C441" s="4" t="s">
        <v>141</v>
      </c>
      <c r="D441" s="4" t="s">
        <v>314</v>
      </c>
      <c r="E441" s="4" t="s">
        <v>268</v>
      </c>
      <c r="F441" t="s">
        <v>215</v>
      </c>
      <c r="G441" t="s">
        <v>217</v>
      </c>
      <c r="H441">
        <f>VLOOKUP(C441,'TB Apr 24'!$B$13:$K$103,10,0)</f>
        <v>350886.81429999997</v>
      </c>
    </row>
    <row r="442" spans="1:8" x14ac:dyDescent="0.35">
      <c r="A442" s="77">
        <v>45383</v>
      </c>
      <c r="B442" s="3" t="s">
        <v>142</v>
      </c>
      <c r="C442" s="4" t="s">
        <v>143</v>
      </c>
      <c r="D442" s="4" t="s">
        <v>314</v>
      </c>
      <c r="E442" s="4" t="s">
        <v>269</v>
      </c>
      <c r="F442" t="s">
        <v>215</v>
      </c>
      <c r="G442" t="s">
        <v>217</v>
      </c>
      <c r="H442">
        <f>VLOOKUP(C442,'TB Apr 24'!$B$13:$K$103,10,0)</f>
        <v>72886</v>
      </c>
    </row>
    <row r="443" spans="1:8" x14ac:dyDescent="0.35">
      <c r="A443" s="77">
        <v>45383</v>
      </c>
      <c r="B443" s="3" t="s">
        <v>144</v>
      </c>
      <c r="C443" s="4" t="s">
        <v>145</v>
      </c>
      <c r="D443" s="4" t="s">
        <v>314</v>
      </c>
      <c r="E443" s="4" t="s">
        <v>288</v>
      </c>
      <c r="F443" t="s">
        <v>215</v>
      </c>
      <c r="G443" t="s">
        <v>217</v>
      </c>
      <c r="H443">
        <f>VLOOKUP(C443,'TB Apr 24'!$B$13:$K$103,10,0)</f>
        <v>47144</v>
      </c>
    </row>
    <row r="444" spans="1:8" x14ac:dyDescent="0.35">
      <c r="A444" s="77">
        <v>45383</v>
      </c>
      <c r="B444" s="3" t="s">
        <v>146</v>
      </c>
      <c r="C444" s="4" t="s">
        <v>147</v>
      </c>
      <c r="D444" s="4" t="s">
        <v>314</v>
      </c>
      <c r="E444" s="4" t="s">
        <v>288</v>
      </c>
      <c r="F444" t="s">
        <v>215</v>
      </c>
      <c r="G444" t="s">
        <v>217</v>
      </c>
      <c r="H444">
        <f>VLOOKUP(C444,'TB Apr 24'!$B$13:$K$103,10,0)</f>
        <v>14708</v>
      </c>
    </row>
    <row r="445" spans="1:8" x14ac:dyDescent="0.35">
      <c r="A445" s="77">
        <v>45383</v>
      </c>
      <c r="B445" s="3" t="s">
        <v>148</v>
      </c>
      <c r="C445" s="4" t="s">
        <v>149</v>
      </c>
      <c r="D445" s="4" t="s">
        <v>314</v>
      </c>
      <c r="E445" s="4" t="s">
        <v>287</v>
      </c>
      <c r="F445" t="s">
        <v>215</v>
      </c>
      <c r="G445" t="s">
        <v>217</v>
      </c>
      <c r="H445">
        <f>VLOOKUP(C445,'TB Apr 24'!$B$13:$K$103,10,0)</f>
        <v>76841.5</v>
      </c>
    </row>
    <row r="446" spans="1:8" x14ac:dyDescent="0.35">
      <c r="A446" s="77">
        <v>45383</v>
      </c>
      <c r="B446" s="3" t="s">
        <v>150</v>
      </c>
      <c r="C446" s="4" t="s">
        <v>87</v>
      </c>
      <c r="D446" s="4" t="s">
        <v>314</v>
      </c>
      <c r="E446" s="4" t="s">
        <v>288</v>
      </c>
      <c r="F446" t="s">
        <v>215</v>
      </c>
      <c r="G446" t="s">
        <v>217</v>
      </c>
      <c r="H446">
        <f>VLOOKUP(C446,'TB Apr 24'!$B$13:$K$103,10,0)</f>
        <v>47604</v>
      </c>
    </row>
    <row r="447" spans="1:8" x14ac:dyDescent="0.35">
      <c r="A447" s="77">
        <v>45383</v>
      </c>
      <c r="B447" s="3" t="s">
        <v>151</v>
      </c>
      <c r="C447" s="4" t="s">
        <v>152</v>
      </c>
      <c r="D447" s="4" t="s">
        <v>314</v>
      </c>
      <c r="E447" s="4" t="s">
        <v>288</v>
      </c>
      <c r="F447" t="s">
        <v>215</v>
      </c>
      <c r="G447" t="s">
        <v>217</v>
      </c>
      <c r="H447">
        <f>VLOOKUP(C447,'TB Apr 24'!$B$13:$K$103,10,0)</f>
        <v>3751</v>
      </c>
    </row>
    <row r="448" spans="1:8" x14ac:dyDescent="0.35">
      <c r="A448" s="77">
        <v>45383</v>
      </c>
      <c r="B448" s="3" t="s">
        <v>153</v>
      </c>
      <c r="C448" s="4" t="s">
        <v>154</v>
      </c>
      <c r="D448" s="4" t="s">
        <v>314</v>
      </c>
      <c r="E448" s="4" t="s">
        <v>288</v>
      </c>
      <c r="F448" t="s">
        <v>215</v>
      </c>
      <c r="G448" t="s">
        <v>217</v>
      </c>
      <c r="H448">
        <f>VLOOKUP(C448,'TB Apr 24'!$B$13:$K$103,10,0)</f>
        <v>40548.160000000003</v>
      </c>
    </row>
    <row r="449" spans="1:8" x14ac:dyDescent="0.35">
      <c r="A449" s="77">
        <v>45383</v>
      </c>
      <c r="B449" s="3" t="s">
        <v>155</v>
      </c>
      <c r="C449" s="4" t="s">
        <v>156</v>
      </c>
      <c r="D449" s="4" t="s">
        <v>314</v>
      </c>
      <c r="E449" s="4" t="s">
        <v>288</v>
      </c>
      <c r="F449" t="s">
        <v>215</v>
      </c>
      <c r="G449" t="s">
        <v>217</v>
      </c>
      <c r="H449">
        <f>VLOOKUP(C449,'TB Apr 24'!$B$13:$K$103,10,0)</f>
        <v>3993.97</v>
      </c>
    </row>
    <row r="450" spans="1:8" x14ac:dyDescent="0.35">
      <c r="A450" s="77">
        <v>45383</v>
      </c>
      <c r="B450" s="3" t="s">
        <v>157</v>
      </c>
      <c r="C450" s="4" t="s">
        <v>158</v>
      </c>
      <c r="D450" s="4" t="s">
        <v>314</v>
      </c>
      <c r="E450" s="4" t="s">
        <v>292</v>
      </c>
      <c r="F450" t="s">
        <v>215</v>
      </c>
      <c r="G450" t="s">
        <v>217</v>
      </c>
      <c r="H450">
        <f>VLOOKUP(C450,'TB Apr 24'!$B$13:$K$103,10,0)</f>
        <v>5000</v>
      </c>
    </row>
    <row r="451" spans="1:8" x14ac:dyDescent="0.35">
      <c r="A451" s="77">
        <v>45383</v>
      </c>
      <c r="B451" s="3" t="s">
        <v>159</v>
      </c>
      <c r="C451" s="4" t="s">
        <v>160</v>
      </c>
      <c r="D451" s="4" t="s">
        <v>314</v>
      </c>
      <c r="E451" s="4" t="s">
        <v>323</v>
      </c>
      <c r="F451" t="s">
        <v>215</v>
      </c>
      <c r="G451" t="s">
        <v>217</v>
      </c>
      <c r="H451">
        <f>VLOOKUP(C451,'TB Apr 24'!$B$13:$K$103,10,0)</f>
        <v>2900</v>
      </c>
    </row>
    <row r="452" spans="1:8" x14ac:dyDescent="0.35">
      <c r="A452" s="77">
        <v>45383</v>
      </c>
      <c r="B452" s="3" t="s">
        <v>161</v>
      </c>
      <c r="C452" s="4" t="s">
        <v>162</v>
      </c>
      <c r="D452" s="4" t="s">
        <v>314</v>
      </c>
      <c r="E452" s="4" t="s">
        <v>323</v>
      </c>
      <c r="F452" t="s">
        <v>215</v>
      </c>
      <c r="G452" t="s">
        <v>217</v>
      </c>
      <c r="H452">
        <f>VLOOKUP(C452,'TB Apr 24'!$B$13:$K$103,10,0)</f>
        <v>0</v>
      </c>
    </row>
    <row r="453" spans="1:8" x14ac:dyDescent="0.35">
      <c r="A453" s="77">
        <v>45383</v>
      </c>
      <c r="B453" s="3" t="s">
        <v>163</v>
      </c>
      <c r="C453" s="4" t="s">
        <v>164</v>
      </c>
      <c r="D453" s="4" t="s">
        <v>314</v>
      </c>
      <c r="E453" s="4" t="s">
        <v>319</v>
      </c>
      <c r="F453" t="s">
        <v>215</v>
      </c>
      <c r="G453" t="s">
        <v>217</v>
      </c>
      <c r="H453">
        <f>VLOOKUP(C453,'TB Apr 24'!$B$13:$K$103,10,0)</f>
        <v>8620</v>
      </c>
    </row>
    <row r="454" spans="1:8" x14ac:dyDescent="0.35">
      <c r="A454" s="77">
        <v>45383</v>
      </c>
      <c r="B454" s="3" t="s">
        <v>165</v>
      </c>
      <c r="C454" s="4" t="s">
        <v>166</v>
      </c>
      <c r="D454" s="4" t="s">
        <v>314</v>
      </c>
      <c r="E454" s="4" t="s">
        <v>304</v>
      </c>
      <c r="F454" t="s">
        <v>215</v>
      </c>
      <c r="G454" t="s">
        <v>217</v>
      </c>
      <c r="H454">
        <f>VLOOKUP(C454,'TB Apr 24'!$B$13:$K$103,10,0)</f>
        <v>5505</v>
      </c>
    </row>
    <row r="455" spans="1:8" x14ac:dyDescent="0.35">
      <c r="A455" s="77">
        <v>45383</v>
      </c>
      <c r="B455" s="3" t="s">
        <v>167</v>
      </c>
      <c r="C455" s="4" t="s">
        <v>168</v>
      </c>
      <c r="D455" s="4" t="s">
        <v>314</v>
      </c>
      <c r="E455" s="4" t="s">
        <v>322</v>
      </c>
      <c r="F455" t="s">
        <v>215</v>
      </c>
      <c r="G455" t="s">
        <v>217</v>
      </c>
      <c r="H455">
        <f>VLOOKUP(C455,'TB Apr 24'!$B$13:$K$103,10,0)</f>
        <v>9646</v>
      </c>
    </row>
    <row r="456" spans="1:8" x14ac:dyDescent="0.35">
      <c r="A456" s="77">
        <v>45383</v>
      </c>
      <c r="B456" s="3" t="s">
        <v>169</v>
      </c>
      <c r="C456" s="4" t="s">
        <v>170</v>
      </c>
      <c r="D456" s="4" t="s">
        <v>314</v>
      </c>
      <c r="E456" s="4" t="s">
        <v>304</v>
      </c>
      <c r="F456" t="s">
        <v>215</v>
      </c>
      <c r="G456" t="s">
        <v>217</v>
      </c>
      <c r="H456">
        <f>VLOOKUP(C456,'TB Apr 24'!$B$13:$K$103,10,0)</f>
        <v>3982.5</v>
      </c>
    </row>
    <row r="457" spans="1:8" x14ac:dyDescent="0.35">
      <c r="A457" s="77">
        <v>45383</v>
      </c>
      <c r="B457" s="3" t="s">
        <v>171</v>
      </c>
      <c r="C457" s="4" t="s">
        <v>172</v>
      </c>
      <c r="D457" s="4" t="s">
        <v>314</v>
      </c>
      <c r="E457" s="4" t="s">
        <v>303</v>
      </c>
      <c r="F457" t="s">
        <v>215</v>
      </c>
      <c r="G457" t="s">
        <v>217</v>
      </c>
      <c r="H457">
        <f>VLOOKUP(C457,'TB Apr 24'!$B$13:$K$103,10,0)</f>
        <v>92447</v>
      </c>
    </row>
    <row r="458" spans="1:8" x14ac:dyDescent="0.35">
      <c r="A458" s="77">
        <v>45383</v>
      </c>
      <c r="B458" s="3" t="s">
        <v>173</v>
      </c>
      <c r="C458" s="4" t="s">
        <v>174</v>
      </c>
      <c r="D458" s="4" t="s">
        <v>314</v>
      </c>
      <c r="E458" s="4" t="s">
        <v>257</v>
      </c>
      <c r="F458" t="s">
        <v>215</v>
      </c>
      <c r="G458" t="s">
        <v>217</v>
      </c>
      <c r="H458">
        <f>VLOOKUP(C458,'TB Apr 24'!$B$13:$K$103,10,0)</f>
        <v>0</v>
      </c>
    </row>
    <row r="459" spans="1:8" x14ac:dyDescent="0.35">
      <c r="A459" s="77">
        <v>45383</v>
      </c>
      <c r="B459" s="3" t="s">
        <v>175</v>
      </c>
      <c r="C459" s="4" t="s">
        <v>176</v>
      </c>
      <c r="D459" s="4" t="s">
        <v>314</v>
      </c>
      <c r="E459" s="4" t="s">
        <v>257</v>
      </c>
      <c r="F459" t="s">
        <v>215</v>
      </c>
      <c r="G459" t="s">
        <v>217</v>
      </c>
      <c r="H459">
        <f>VLOOKUP(C459,'TB Apr 24'!$B$13:$K$103,10,0)</f>
        <v>0</v>
      </c>
    </row>
    <row r="460" spans="1:8" x14ac:dyDescent="0.35">
      <c r="A460" s="77">
        <v>45383</v>
      </c>
      <c r="B460" s="3" t="s">
        <v>177</v>
      </c>
      <c r="C460" s="4" t="s">
        <v>178</v>
      </c>
      <c r="D460" s="4" t="s">
        <v>314</v>
      </c>
      <c r="E460" s="4" t="s">
        <v>257</v>
      </c>
      <c r="F460" t="s">
        <v>215</v>
      </c>
      <c r="G460" t="s">
        <v>217</v>
      </c>
      <c r="H460">
        <f>VLOOKUP(C460,'TB Apr 24'!$B$13:$K$103,10,0)</f>
        <v>0</v>
      </c>
    </row>
    <row r="461" spans="1:8" x14ac:dyDescent="0.35">
      <c r="A461" s="77">
        <v>45383</v>
      </c>
      <c r="B461" s="3" t="s">
        <v>179</v>
      </c>
      <c r="C461" s="4" t="s">
        <v>180</v>
      </c>
      <c r="D461" s="4" t="s">
        <v>314</v>
      </c>
      <c r="E461" s="4" t="s">
        <v>322</v>
      </c>
      <c r="F461" t="s">
        <v>215</v>
      </c>
      <c r="G461" t="s">
        <v>217</v>
      </c>
      <c r="H461">
        <f>VLOOKUP(C461,'TB Apr 24'!$B$13:$K$103,10,0)</f>
        <v>0</v>
      </c>
    </row>
    <row r="462" spans="1:8" x14ac:dyDescent="0.35">
      <c r="A462" s="77">
        <v>45383</v>
      </c>
      <c r="B462" s="3" t="s">
        <v>181</v>
      </c>
      <c r="C462" s="4" t="s">
        <v>182</v>
      </c>
      <c r="D462" s="4" t="s">
        <v>314</v>
      </c>
      <c r="E462" s="4" t="s">
        <v>290</v>
      </c>
      <c r="F462" t="s">
        <v>215</v>
      </c>
      <c r="G462" t="s">
        <v>217</v>
      </c>
      <c r="H462">
        <f>VLOOKUP(C462,'TB Apr 24'!$B$13:$K$103,10,0)</f>
        <v>0</v>
      </c>
    </row>
    <row r="463" spans="1:8" x14ac:dyDescent="0.35">
      <c r="A463" s="77">
        <v>45383</v>
      </c>
      <c r="B463" s="3" t="s">
        <v>183</v>
      </c>
      <c r="C463" s="4" t="s">
        <v>184</v>
      </c>
      <c r="D463" s="4" t="s">
        <v>314</v>
      </c>
      <c r="E463" s="4" t="s">
        <v>290</v>
      </c>
      <c r="F463" t="s">
        <v>215</v>
      </c>
      <c r="G463" t="s">
        <v>217</v>
      </c>
      <c r="H463">
        <f>VLOOKUP(C463,'TB Apr 24'!$B$13:$K$103,10,0)</f>
        <v>2700</v>
      </c>
    </row>
    <row r="464" spans="1:8" x14ac:dyDescent="0.35">
      <c r="A464" s="77">
        <v>45383</v>
      </c>
      <c r="B464" s="3" t="s">
        <v>185</v>
      </c>
      <c r="C464" s="4" t="s">
        <v>186</v>
      </c>
      <c r="D464" s="4" t="s">
        <v>314</v>
      </c>
      <c r="E464" s="4" t="s">
        <v>290</v>
      </c>
      <c r="F464" t="s">
        <v>215</v>
      </c>
      <c r="G464" t="s">
        <v>217</v>
      </c>
      <c r="H464">
        <f>VLOOKUP(C464,'TB Apr 24'!$B$13:$K$103,10,0)</f>
        <v>79998.5</v>
      </c>
    </row>
    <row r="465" spans="1:8" x14ac:dyDescent="0.35">
      <c r="A465" s="77">
        <v>45383</v>
      </c>
      <c r="B465" s="3" t="s">
        <v>187</v>
      </c>
      <c r="C465" s="4" t="s">
        <v>188</v>
      </c>
      <c r="D465" s="4" t="s">
        <v>314</v>
      </c>
      <c r="E465" s="4" t="s">
        <v>291</v>
      </c>
      <c r="F465" t="s">
        <v>215</v>
      </c>
      <c r="G465" t="s">
        <v>217</v>
      </c>
      <c r="H465">
        <f>VLOOKUP(C465,'TB Apr 24'!$B$13:$K$103,10,0)</f>
        <v>54717.96</v>
      </c>
    </row>
    <row r="466" spans="1:8" x14ac:dyDescent="0.35">
      <c r="A466" s="77">
        <v>45383</v>
      </c>
      <c r="B466" s="3" t="s">
        <v>189</v>
      </c>
      <c r="C466" s="4" t="s">
        <v>190</v>
      </c>
      <c r="D466" s="4" t="s">
        <v>314</v>
      </c>
      <c r="E466" s="4" t="s">
        <v>254</v>
      </c>
      <c r="F466" t="s">
        <v>215</v>
      </c>
      <c r="G466" t="s">
        <v>217</v>
      </c>
      <c r="H466">
        <f>VLOOKUP(C466,'TB Apr 24'!$B$13:$K$103,10,0)</f>
        <v>0</v>
      </c>
    </row>
    <row r="467" spans="1:8" x14ac:dyDescent="0.35">
      <c r="A467" s="77">
        <v>45383</v>
      </c>
      <c r="B467" s="3" t="s">
        <v>191</v>
      </c>
      <c r="C467" s="4" t="s">
        <v>192</v>
      </c>
      <c r="D467" s="4" t="s">
        <v>314</v>
      </c>
      <c r="E467" s="4" t="s">
        <v>254</v>
      </c>
      <c r="F467" t="s">
        <v>215</v>
      </c>
      <c r="G467" t="s">
        <v>217</v>
      </c>
      <c r="H467">
        <f>VLOOKUP(C467,'TB Apr 24'!$B$13:$K$103,10,0)</f>
        <v>0</v>
      </c>
    </row>
    <row r="468" spans="1:8" x14ac:dyDescent="0.35">
      <c r="A468" s="77">
        <v>45383</v>
      </c>
      <c r="B468" s="3" t="s">
        <v>193</v>
      </c>
      <c r="C468" s="4" t="s">
        <v>194</v>
      </c>
      <c r="D468" s="4" t="s">
        <v>314</v>
      </c>
      <c r="E468" s="4" t="s">
        <v>254</v>
      </c>
      <c r="F468" t="s">
        <v>215</v>
      </c>
      <c r="G468" t="s">
        <v>217</v>
      </c>
      <c r="H468">
        <f>VLOOKUP(C468,'TB Apr 24'!$B$13:$K$103,10,0)</f>
        <v>772814.06943232822</v>
      </c>
    </row>
    <row r="469" spans="1:8" x14ac:dyDescent="0.35">
      <c r="A469" s="77">
        <v>45383</v>
      </c>
      <c r="B469" s="3" t="s">
        <v>195</v>
      </c>
      <c r="C469" s="4" t="s">
        <v>196</v>
      </c>
      <c r="D469" s="4" t="s">
        <v>314</v>
      </c>
      <c r="E469" s="4" t="s">
        <v>255</v>
      </c>
      <c r="F469" t="s">
        <v>215</v>
      </c>
      <c r="G469" t="s">
        <v>217</v>
      </c>
      <c r="H469">
        <f>VLOOKUP(C469,'TB Apr 24'!$B$13:$K$103,10,0)</f>
        <v>0</v>
      </c>
    </row>
    <row r="470" spans="1:8" x14ac:dyDescent="0.35">
      <c r="A470" s="77">
        <v>45383</v>
      </c>
      <c r="B470" s="3" t="s">
        <v>197</v>
      </c>
      <c r="C470" s="4" t="s">
        <v>198</v>
      </c>
      <c r="D470" s="4" t="s">
        <v>314</v>
      </c>
      <c r="E470" s="4" t="s">
        <v>255</v>
      </c>
      <c r="F470" t="s">
        <v>215</v>
      </c>
      <c r="G470" t="s">
        <v>217</v>
      </c>
      <c r="H470">
        <f>VLOOKUP(C470,'TB Apr 24'!$B$13:$K$103,10,0)</f>
        <v>0</v>
      </c>
    </row>
    <row r="471" spans="1:8" x14ac:dyDescent="0.35">
      <c r="A471" s="77">
        <v>45383</v>
      </c>
      <c r="B471" s="3" t="s">
        <v>199</v>
      </c>
      <c r="C471" s="4" t="s">
        <v>200</v>
      </c>
      <c r="D471" s="4" t="s">
        <v>314</v>
      </c>
      <c r="E471" s="4" t="s">
        <v>254</v>
      </c>
      <c r="F471" t="s">
        <v>215</v>
      </c>
      <c r="G471" t="s">
        <v>217</v>
      </c>
      <c r="H471">
        <f>VLOOKUP(C471,'TB Apr 24'!$B$13:$K$103,10,0)</f>
        <v>0</v>
      </c>
    </row>
    <row r="472" spans="1:8" x14ac:dyDescent="0.35">
      <c r="A472" s="77">
        <v>45383</v>
      </c>
      <c r="B472" s="3" t="s">
        <v>201</v>
      </c>
      <c r="C472" s="4" t="s">
        <v>202</v>
      </c>
      <c r="D472" s="4" t="s">
        <v>314</v>
      </c>
      <c r="E472" s="4" t="s">
        <v>254</v>
      </c>
      <c r="F472" t="s">
        <v>215</v>
      </c>
      <c r="G472" t="s">
        <v>217</v>
      </c>
      <c r="H472">
        <f>VLOOKUP(C472,'TB Apr 24'!$B$13:$K$103,10,0)</f>
        <v>0</v>
      </c>
    </row>
    <row r="473" spans="1:8" x14ac:dyDescent="0.35">
      <c r="A473" s="77">
        <v>45383</v>
      </c>
      <c r="B473" s="3" t="s">
        <v>203</v>
      </c>
      <c r="C473" s="4" t="s">
        <v>204</v>
      </c>
      <c r="D473" s="4" t="s">
        <v>314</v>
      </c>
      <c r="E473" s="4" t="s">
        <v>256</v>
      </c>
      <c r="F473" t="s">
        <v>215</v>
      </c>
      <c r="G473" t="s">
        <v>217</v>
      </c>
      <c r="H473">
        <f>VLOOKUP(C473,'TB Apr 24'!$B$13:$K$103,10,0)</f>
        <v>245029.75589999996</v>
      </c>
    </row>
    <row r="474" spans="1:8" x14ac:dyDescent="0.35">
      <c r="A474" s="77">
        <v>45383</v>
      </c>
      <c r="B474" s="3" t="s">
        <v>205</v>
      </c>
      <c r="C474" s="6" t="s">
        <v>206</v>
      </c>
      <c r="D474" s="4" t="s">
        <v>314</v>
      </c>
      <c r="E474" s="6" t="s">
        <v>322</v>
      </c>
      <c r="F474" s="79" t="s">
        <v>215</v>
      </c>
      <c r="G474" s="79" t="s">
        <v>217</v>
      </c>
      <c r="H474" s="79">
        <f>VLOOKUP(C474,'TB Apr 24'!$B$13:$K$103,10,0)</f>
        <v>0</v>
      </c>
    </row>
    <row r="475" spans="1:8" x14ac:dyDescent="0.35">
      <c r="A475" s="77">
        <v>45383</v>
      </c>
      <c r="B475" s="3" t="s">
        <v>57</v>
      </c>
      <c r="C475" s="4" t="s">
        <v>58</v>
      </c>
      <c r="D475" s="4" t="s">
        <v>314</v>
      </c>
      <c r="E475" s="4" t="s">
        <v>253</v>
      </c>
      <c r="F475" t="s">
        <v>215</v>
      </c>
      <c r="G475" t="s">
        <v>221</v>
      </c>
      <c r="H475">
        <f>VLOOKUP(C475,'TB Apr 24'!$B$13:$M$103,12,0)</f>
        <v>0</v>
      </c>
    </row>
    <row r="476" spans="1:8" x14ac:dyDescent="0.35">
      <c r="A476" s="77">
        <v>45383</v>
      </c>
      <c r="B476" s="3" t="s">
        <v>307</v>
      </c>
      <c r="C476" s="4" t="s">
        <v>308</v>
      </c>
      <c r="D476" s="4" t="s">
        <v>314</v>
      </c>
      <c r="E476" s="4" t="s">
        <v>253</v>
      </c>
      <c r="F476" t="s">
        <v>215</v>
      </c>
      <c r="G476" t="s">
        <v>221</v>
      </c>
      <c r="H476">
        <f>VLOOKUP(C476,'TB Apr 24'!$B$13:$M$103,12,0)</f>
        <v>0</v>
      </c>
    </row>
    <row r="477" spans="1:8" x14ac:dyDescent="0.35">
      <c r="A477" s="77">
        <v>45383</v>
      </c>
      <c r="B477" s="3" t="s">
        <v>59</v>
      </c>
      <c r="C477" s="4" t="s">
        <v>60</v>
      </c>
      <c r="D477" s="4" t="s">
        <v>314</v>
      </c>
      <c r="E477" s="4" t="s">
        <v>253</v>
      </c>
      <c r="F477" t="s">
        <v>215</v>
      </c>
      <c r="G477" t="s">
        <v>221</v>
      </c>
      <c r="H477">
        <f>VLOOKUP(C477,'TB Apr 24'!$B$13:$M$103,12,0)</f>
        <v>-34.36</v>
      </c>
    </row>
    <row r="478" spans="1:8" x14ac:dyDescent="0.35">
      <c r="A478" s="77">
        <v>45383</v>
      </c>
      <c r="B478" s="3" t="s">
        <v>61</v>
      </c>
      <c r="C478" s="4" t="s">
        <v>62</v>
      </c>
      <c r="D478" s="4" t="s">
        <v>314</v>
      </c>
      <c r="E478" s="4" t="s">
        <v>66</v>
      </c>
      <c r="F478" t="s">
        <v>215</v>
      </c>
      <c r="G478" t="s">
        <v>221</v>
      </c>
      <c r="H478">
        <f>VLOOKUP(C478,'TB Apr 24'!$B$13:$M$103,12,0)</f>
        <v>-18583.95</v>
      </c>
    </row>
    <row r="479" spans="1:8" x14ac:dyDescent="0.35">
      <c r="A479" s="77">
        <v>45383</v>
      </c>
      <c r="B479" s="3" t="s">
        <v>63</v>
      </c>
      <c r="C479" s="4" t="s">
        <v>64</v>
      </c>
      <c r="D479" s="4" t="s">
        <v>314</v>
      </c>
      <c r="E479" s="4" t="s">
        <v>252</v>
      </c>
      <c r="F479" t="s">
        <v>215</v>
      </c>
      <c r="G479" t="s">
        <v>221</v>
      </c>
      <c r="H479">
        <f>VLOOKUP(C479,'TB Apr 24'!$B$13:$M$103,12,0)</f>
        <v>0</v>
      </c>
    </row>
    <row r="480" spans="1:8" x14ac:dyDescent="0.35">
      <c r="A480" s="77">
        <v>45383</v>
      </c>
      <c r="B480" s="3" t="s">
        <v>65</v>
      </c>
      <c r="C480" s="4" t="s">
        <v>66</v>
      </c>
      <c r="D480" s="4" t="s">
        <v>314</v>
      </c>
      <c r="E480" s="4" t="s">
        <v>66</v>
      </c>
      <c r="F480" t="s">
        <v>215</v>
      </c>
      <c r="G480" t="s">
        <v>221</v>
      </c>
      <c r="H480">
        <f>VLOOKUP(C480,'TB Apr 24'!$B$13:$M$103,12,0)</f>
        <v>-1555056.49</v>
      </c>
    </row>
    <row r="481" spans="1:8" x14ac:dyDescent="0.35">
      <c r="A481" s="77">
        <v>45383</v>
      </c>
      <c r="B481" s="3" t="s">
        <v>67</v>
      </c>
      <c r="C481" s="4" t="s">
        <v>68</v>
      </c>
      <c r="D481" s="4" t="s">
        <v>314</v>
      </c>
      <c r="E481" s="4" t="s">
        <v>252</v>
      </c>
      <c r="F481" t="s">
        <v>215</v>
      </c>
      <c r="G481" t="s">
        <v>221</v>
      </c>
      <c r="H481">
        <f>VLOOKUP(C481,'TB Apr 24'!$B$13:$M$103,12,0)</f>
        <v>-309537.02</v>
      </c>
    </row>
    <row r="482" spans="1:8" x14ac:dyDescent="0.35">
      <c r="A482" s="77">
        <v>45383</v>
      </c>
      <c r="B482" s="3" t="s">
        <v>69</v>
      </c>
      <c r="C482" s="4" t="s">
        <v>70</v>
      </c>
      <c r="D482" s="4" t="s">
        <v>314</v>
      </c>
      <c r="E482" s="4" t="s">
        <v>70</v>
      </c>
      <c r="F482" t="s">
        <v>215</v>
      </c>
      <c r="G482" t="s">
        <v>221</v>
      </c>
      <c r="H482">
        <f>VLOOKUP(C482,'TB Apr 24'!$B$13:$M$103,12,0)</f>
        <v>-1605395.9</v>
      </c>
    </row>
    <row r="483" spans="1:8" x14ac:dyDescent="0.35">
      <c r="A483" s="77">
        <v>45383</v>
      </c>
      <c r="B483" s="3" t="s">
        <v>71</v>
      </c>
      <c r="C483" s="4" t="s">
        <v>72</v>
      </c>
      <c r="D483" s="4" t="s">
        <v>314</v>
      </c>
      <c r="E483" s="4" t="s">
        <v>253</v>
      </c>
      <c r="F483" t="s">
        <v>215</v>
      </c>
      <c r="G483" t="s">
        <v>221</v>
      </c>
      <c r="H483">
        <f>VLOOKUP(C483,'TB Apr 24'!$B$13:$M$103,12,0)</f>
        <v>-21552.68</v>
      </c>
    </row>
    <row r="484" spans="1:8" x14ac:dyDescent="0.35">
      <c r="A484" s="77">
        <v>45383</v>
      </c>
      <c r="B484" s="3" t="s">
        <v>73</v>
      </c>
      <c r="C484" s="4" t="s">
        <v>74</v>
      </c>
      <c r="D484" s="4" t="s">
        <v>314</v>
      </c>
      <c r="E484" s="4" t="s">
        <v>253</v>
      </c>
      <c r="F484" t="s">
        <v>215</v>
      </c>
      <c r="G484" t="s">
        <v>221</v>
      </c>
      <c r="H484">
        <f>VLOOKUP(C484,'TB Apr 24'!$B$13:$M$103,12,0)</f>
        <v>-771.26</v>
      </c>
    </row>
    <row r="485" spans="1:8" x14ac:dyDescent="0.35">
      <c r="A485" s="77">
        <v>45383</v>
      </c>
      <c r="B485" s="3" t="s">
        <v>75</v>
      </c>
      <c r="C485" s="4" t="s">
        <v>76</v>
      </c>
      <c r="D485" s="4" t="s">
        <v>314</v>
      </c>
      <c r="E485" s="4" t="s">
        <v>253</v>
      </c>
      <c r="F485" t="s">
        <v>215</v>
      </c>
      <c r="G485" t="s">
        <v>221</v>
      </c>
      <c r="H485">
        <f>VLOOKUP(C485,'TB Apr 24'!$B$13:$M$103,12,0)</f>
        <v>0</v>
      </c>
    </row>
    <row r="486" spans="1:8" x14ac:dyDescent="0.35">
      <c r="A486" s="77">
        <v>45383</v>
      </c>
      <c r="B486" s="3" t="s">
        <v>77</v>
      </c>
      <c r="C486" s="4" t="s">
        <v>78</v>
      </c>
      <c r="D486" s="4" t="s">
        <v>314</v>
      </c>
      <c r="E486" s="4" t="s">
        <v>253</v>
      </c>
      <c r="F486" t="s">
        <v>215</v>
      </c>
      <c r="G486" t="s">
        <v>221</v>
      </c>
      <c r="H486">
        <f>VLOOKUP(C486,'TB Apr 24'!$B$13:$M$103,12,0)</f>
        <v>33148.28</v>
      </c>
    </row>
    <row r="487" spans="1:8" x14ac:dyDescent="0.35">
      <c r="A487" s="77">
        <v>45383</v>
      </c>
      <c r="B487" s="3" t="s">
        <v>79</v>
      </c>
      <c r="C487" s="4" t="s">
        <v>80</v>
      </c>
      <c r="D487" s="4" t="s">
        <v>314</v>
      </c>
      <c r="E487" s="4" t="s">
        <v>253</v>
      </c>
      <c r="F487" t="s">
        <v>215</v>
      </c>
      <c r="G487" t="s">
        <v>221</v>
      </c>
      <c r="H487">
        <f>VLOOKUP(C487,'TB Apr 24'!$B$13:$M$103,12,0)</f>
        <v>-107913.71</v>
      </c>
    </row>
    <row r="488" spans="1:8" x14ac:dyDescent="0.35">
      <c r="A488" s="77">
        <v>45383</v>
      </c>
      <c r="B488" s="3" t="s">
        <v>81</v>
      </c>
      <c r="C488" s="4" t="s">
        <v>82</v>
      </c>
      <c r="D488" s="4" t="s">
        <v>314</v>
      </c>
      <c r="E488" s="4" t="s">
        <v>319</v>
      </c>
      <c r="F488" t="s">
        <v>215</v>
      </c>
      <c r="G488" t="s">
        <v>221</v>
      </c>
      <c r="H488">
        <f>VLOOKUP(C488,'TB Apr 24'!$B$13:$M$103,12,0)</f>
        <v>0</v>
      </c>
    </row>
    <row r="489" spans="1:8" x14ac:dyDescent="0.35">
      <c r="A489" s="77">
        <v>45383</v>
      </c>
      <c r="B489" s="3" t="s">
        <v>83</v>
      </c>
      <c r="C489" s="4" t="s">
        <v>84</v>
      </c>
      <c r="D489" s="4" t="s">
        <v>314</v>
      </c>
      <c r="E489" s="4" t="s">
        <v>319</v>
      </c>
      <c r="F489" t="s">
        <v>215</v>
      </c>
      <c r="G489" t="s">
        <v>221</v>
      </c>
      <c r="H489">
        <f>VLOOKUP(C489,'TB Apr 24'!$B$13:$M$103,12,0)</f>
        <v>6450</v>
      </c>
    </row>
    <row r="490" spans="1:8" x14ac:dyDescent="0.35">
      <c r="A490" s="77">
        <v>45383</v>
      </c>
      <c r="B490" s="3" t="s">
        <v>85</v>
      </c>
      <c r="C490" s="4" t="s">
        <v>86</v>
      </c>
      <c r="D490" s="4" t="s">
        <v>314</v>
      </c>
      <c r="E490" s="4" t="s">
        <v>291</v>
      </c>
      <c r="F490" t="s">
        <v>215</v>
      </c>
      <c r="G490" t="s">
        <v>221</v>
      </c>
      <c r="H490">
        <f>VLOOKUP(C490,'TB Apr 24'!$B$13:$M$103,12,0)</f>
        <v>0</v>
      </c>
    </row>
    <row r="491" spans="1:8" x14ac:dyDescent="0.35">
      <c r="A491" s="77">
        <v>45383</v>
      </c>
      <c r="B491" s="3" t="s">
        <v>88</v>
      </c>
      <c r="C491" s="4" t="s">
        <v>89</v>
      </c>
      <c r="D491" s="4" t="s">
        <v>314</v>
      </c>
      <c r="E491" s="4" t="s">
        <v>300</v>
      </c>
      <c r="F491" t="s">
        <v>215</v>
      </c>
      <c r="G491" t="s">
        <v>221</v>
      </c>
      <c r="H491">
        <f>VLOOKUP(C491,'TB Apr 24'!$B$13:$M$103,12,0)</f>
        <v>0</v>
      </c>
    </row>
    <row r="492" spans="1:8" x14ac:dyDescent="0.35">
      <c r="A492" s="77">
        <v>45383</v>
      </c>
      <c r="B492" s="3" t="s">
        <v>90</v>
      </c>
      <c r="C492" s="4" t="s">
        <v>91</v>
      </c>
      <c r="D492" s="4" t="s">
        <v>314</v>
      </c>
      <c r="E492" s="4" t="s">
        <v>300</v>
      </c>
      <c r="F492" t="s">
        <v>215</v>
      </c>
      <c r="G492" t="s">
        <v>221</v>
      </c>
      <c r="H492">
        <f>VLOOKUP(C492,'TB Apr 24'!$B$13:$M$103,12,0)</f>
        <v>18650</v>
      </c>
    </row>
    <row r="493" spans="1:8" x14ac:dyDescent="0.35">
      <c r="A493" s="77">
        <v>45383</v>
      </c>
      <c r="B493" s="3" t="s">
        <v>92</v>
      </c>
      <c r="C493" s="4" t="s">
        <v>93</v>
      </c>
      <c r="D493" s="4" t="s">
        <v>314</v>
      </c>
      <c r="E493" s="4" t="s">
        <v>300</v>
      </c>
      <c r="F493" t="s">
        <v>215</v>
      </c>
      <c r="G493" t="s">
        <v>221</v>
      </c>
      <c r="H493">
        <f>VLOOKUP(C493,'TB Apr 24'!$B$13:$M$103,12,0)</f>
        <v>0</v>
      </c>
    </row>
    <row r="494" spans="1:8" x14ac:dyDescent="0.35">
      <c r="A494" s="77">
        <v>45383</v>
      </c>
      <c r="B494" s="3" t="s">
        <v>94</v>
      </c>
      <c r="C494" s="4" t="s">
        <v>95</v>
      </c>
      <c r="D494" s="4" t="s">
        <v>314</v>
      </c>
      <c r="E494" s="4" t="s">
        <v>289</v>
      </c>
      <c r="F494" t="s">
        <v>215</v>
      </c>
      <c r="G494" t="s">
        <v>221</v>
      </c>
      <c r="H494">
        <f>VLOOKUP(C494,'TB Apr 24'!$B$13:$M$103,12,0)</f>
        <v>578858</v>
      </c>
    </row>
    <row r="495" spans="1:8" x14ac:dyDescent="0.35">
      <c r="A495" s="77">
        <v>45383</v>
      </c>
      <c r="B495" s="3" t="s">
        <v>96</v>
      </c>
      <c r="C495" s="4" t="s">
        <v>97</v>
      </c>
      <c r="D495" s="4" t="s">
        <v>314</v>
      </c>
      <c r="E495" s="4" t="s">
        <v>289</v>
      </c>
      <c r="F495" t="s">
        <v>215</v>
      </c>
      <c r="G495" t="s">
        <v>221</v>
      </c>
      <c r="H495">
        <f>VLOOKUP(C495,'TB Apr 24'!$B$13:$M$103,12,0)</f>
        <v>0</v>
      </c>
    </row>
    <row r="496" spans="1:8" x14ac:dyDescent="0.35">
      <c r="A496" s="77">
        <v>45383</v>
      </c>
      <c r="B496" s="3" t="s">
        <v>309</v>
      </c>
      <c r="C496" s="4" t="s">
        <v>310</v>
      </c>
      <c r="D496" s="4" t="s">
        <v>314</v>
      </c>
      <c r="E496" s="4" t="s">
        <v>289</v>
      </c>
      <c r="F496" t="s">
        <v>215</v>
      </c>
      <c r="G496" t="s">
        <v>221</v>
      </c>
      <c r="H496">
        <f>VLOOKUP(C496,'TB Apr 24'!$B$13:$M$103,12,0)</f>
        <v>0</v>
      </c>
    </row>
    <row r="497" spans="1:8" x14ac:dyDescent="0.35">
      <c r="A497" s="77">
        <v>45383</v>
      </c>
      <c r="B497" s="3" t="s">
        <v>98</v>
      </c>
      <c r="C497" s="4" t="s">
        <v>99</v>
      </c>
      <c r="D497" s="4" t="s">
        <v>314</v>
      </c>
      <c r="E497" s="4" t="s">
        <v>289</v>
      </c>
      <c r="F497" t="s">
        <v>215</v>
      </c>
      <c r="G497" t="s">
        <v>221</v>
      </c>
      <c r="H497">
        <f>VLOOKUP(C497,'TB Apr 24'!$B$13:$M$103,12,0)</f>
        <v>0</v>
      </c>
    </row>
    <row r="498" spans="1:8" x14ac:dyDescent="0.35">
      <c r="A498" s="77">
        <v>45383</v>
      </c>
      <c r="B498" s="3" t="s">
        <v>100</v>
      </c>
      <c r="C498" s="4" t="s">
        <v>101</v>
      </c>
      <c r="D498" s="4" t="s">
        <v>314</v>
      </c>
      <c r="E498" s="4" t="s">
        <v>291</v>
      </c>
      <c r="F498" t="s">
        <v>215</v>
      </c>
      <c r="G498" t="s">
        <v>221</v>
      </c>
      <c r="H498">
        <f>VLOOKUP(C498,'TB Apr 24'!$B$13:$M$103,12,0)</f>
        <v>0</v>
      </c>
    </row>
    <row r="499" spans="1:8" x14ac:dyDescent="0.35">
      <c r="A499" s="77">
        <v>45383</v>
      </c>
      <c r="B499" s="3" t="s">
        <v>102</v>
      </c>
      <c r="C499" s="4" t="s">
        <v>103</v>
      </c>
      <c r="D499" s="4" t="s">
        <v>314</v>
      </c>
      <c r="E499" s="4" t="s">
        <v>291</v>
      </c>
      <c r="F499" t="s">
        <v>215</v>
      </c>
      <c r="G499" t="s">
        <v>221</v>
      </c>
      <c r="H499">
        <f>VLOOKUP(C499,'TB Apr 24'!$B$13:$M$103,12,0)</f>
        <v>0</v>
      </c>
    </row>
    <row r="500" spans="1:8" x14ac:dyDescent="0.35">
      <c r="A500" s="77">
        <v>45383</v>
      </c>
      <c r="B500" s="3" t="s">
        <v>104</v>
      </c>
      <c r="C500" s="4" t="s">
        <v>105</v>
      </c>
      <c r="D500" s="4" t="s">
        <v>314</v>
      </c>
      <c r="E500" s="4" t="s">
        <v>291</v>
      </c>
      <c r="F500" t="s">
        <v>215</v>
      </c>
      <c r="G500" t="s">
        <v>221</v>
      </c>
      <c r="H500">
        <f>VLOOKUP(C500,'TB Apr 24'!$B$13:$M$103,12,0)</f>
        <v>0</v>
      </c>
    </row>
    <row r="501" spans="1:8" x14ac:dyDescent="0.35">
      <c r="A501" s="77">
        <v>45383</v>
      </c>
      <c r="B501" s="3" t="s">
        <v>106</v>
      </c>
      <c r="C501" s="4" t="s">
        <v>107</v>
      </c>
      <c r="D501" s="4" t="s">
        <v>314</v>
      </c>
      <c r="E501" s="4" t="s">
        <v>321</v>
      </c>
      <c r="F501" t="s">
        <v>215</v>
      </c>
      <c r="G501" t="s">
        <v>221</v>
      </c>
      <c r="H501">
        <f>VLOOKUP(C501,'TB Apr 24'!$B$13:$M$103,12,0)</f>
        <v>0</v>
      </c>
    </row>
    <row r="502" spans="1:8" x14ac:dyDescent="0.35">
      <c r="A502" s="77">
        <v>45383</v>
      </c>
      <c r="B502" s="3" t="s">
        <v>108</v>
      </c>
      <c r="C502" s="4" t="s">
        <v>109</v>
      </c>
      <c r="D502" s="4" t="s">
        <v>314</v>
      </c>
      <c r="E502" s="4" t="s">
        <v>321</v>
      </c>
      <c r="F502" t="s">
        <v>215</v>
      </c>
      <c r="G502" t="s">
        <v>221</v>
      </c>
      <c r="H502">
        <f>VLOOKUP(C502,'TB Apr 24'!$B$13:$M$103,12,0)</f>
        <v>62</v>
      </c>
    </row>
    <row r="503" spans="1:8" x14ac:dyDescent="0.35">
      <c r="A503" s="77">
        <v>45383</v>
      </c>
      <c r="B503" s="3" t="s">
        <v>110</v>
      </c>
      <c r="C503" s="4" t="s">
        <v>111</v>
      </c>
      <c r="D503" s="4" t="s">
        <v>314</v>
      </c>
      <c r="E503" s="4" t="s">
        <v>320</v>
      </c>
      <c r="F503" t="s">
        <v>215</v>
      </c>
      <c r="G503" t="s">
        <v>221</v>
      </c>
      <c r="H503">
        <f>VLOOKUP(C503,'TB Apr 24'!$B$13:$M$103,12,0)</f>
        <v>0</v>
      </c>
    </row>
    <row r="504" spans="1:8" x14ac:dyDescent="0.35">
      <c r="A504" s="77">
        <v>45383</v>
      </c>
      <c r="B504" s="3" t="s">
        <v>112</v>
      </c>
      <c r="C504" s="4" t="s">
        <v>113</v>
      </c>
      <c r="D504" s="4" t="s">
        <v>314</v>
      </c>
      <c r="E504" s="4" t="s">
        <v>321</v>
      </c>
      <c r="F504" t="s">
        <v>215</v>
      </c>
      <c r="G504" t="s">
        <v>221</v>
      </c>
      <c r="H504">
        <f>VLOOKUP(C504,'TB Apr 24'!$B$13:$M$103,12,0)</f>
        <v>3250</v>
      </c>
    </row>
    <row r="505" spans="1:8" x14ac:dyDescent="0.35">
      <c r="A505" s="77">
        <v>45383</v>
      </c>
      <c r="B505" s="3" t="s">
        <v>311</v>
      </c>
      <c r="C505" s="4" t="s">
        <v>312</v>
      </c>
      <c r="D505" s="4" t="s">
        <v>314</v>
      </c>
      <c r="E505" s="4" t="s">
        <v>288</v>
      </c>
      <c r="F505" t="s">
        <v>215</v>
      </c>
      <c r="G505" t="s">
        <v>221</v>
      </c>
      <c r="H505">
        <f>VLOOKUP(C505,'TB Apr 24'!$B$13:$M$103,12,0)</f>
        <v>0</v>
      </c>
    </row>
    <row r="506" spans="1:8" x14ac:dyDescent="0.35">
      <c r="A506" s="77">
        <v>45383</v>
      </c>
      <c r="B506" s="3" t="s">
        <v>114</v>
      </c>
      <c r="C506" s="4" t="s">
        <v>115</v>
      </c>
      <c r="D506" s="4" t="s">
        <v>314</v>
      </c>
      <c r="E506" s="4" t="s">
        <v>294</v>
      </c>
      <c r="F506" t="s">
        <v>215</v>
      </c>
      <c r="G506" t="s">
        <v>221</v>
      </c>
      <c r="H506">
        <f>VLOOKUP(C506,'TB Apr 24'!$B$13:$M$103,12,0)</f>
        <v>0</v>
      </c>
    </row>
    <row r="507" spans="1:8" x14ac:dyDescent="0.35">
      <c r="A507" s="77">
        <v>45383</v>
      </c>
      <c r="B507" s="3" t="s">
        <v>116</v>
      </c>
      <c r="C507" s="4" t="s">
        <v>117</v>
      </c>
      <c r="D507" s="4" t="s">
        <v>314</v>
      </c>
      <c r="E507" s="4" t="s">
        <v>296</v>
      </c>
      <c r="F507" t="s">
        <v>215</v>
      </c>
      <c r="G507" t="s">
        <v>221</v>
      </c>
      <c r="H507">
        <f>VLOOKUP(C507,'TB Apr 24'!$B$13:$M$103,12,0)</f>
        <v>0</v>
      </c>
    </row>
    <row r="508" spans="1:8" x14ac:dyDescent="0.35">
      <c r="A508" s="77">
        <v>45383</v>
      </c>
      <c r="B508" s="3" t="s">
        <v>118</v>
      </c>
      <c r="C508" s="4" t="s">
        <v>119</v>
      </c>
      <c r="D508" s="4" t="s">
        <v>314</v>
      </c>
      <c r="E508" s="4" t="s">
        <v>296</v>
      </c>
      <c r="F508" t="s">
        <v>215</v>
      </c>
      <c r="G508" t="s">
        <v>221</v>
      </c>
      <c r="H508">
        <f>VLOOKUP(C508,'TB Apr 24'!$B$13:$M$103,12,0)</f>
        <v>0</v>
      </c>
    </row>
    <row r="509" spans="1:8" x14ac:dyDescent="0.35">
      <c r="A509" s="77">
        <v>45383</v>
      </c>
      <c r="B509" s="3" t="s">
        <v>120</v>
      </c>
      <c r="C509" s="4" t="s">
        <v>121</v>
      </c>
      <c r="D509" s="4" t="s">
        <v>314</v>
      </c>
      <c r="E509" s="4" t="s">
        <v>322</v>
      </c>
      <c r="F509" t="s">
        <v>215</v>
      </c>
      <c r="G509" t="s">
        <v>221</v>
      </c>
      <c r="H509">
        <f>VLOOKUP(C509,'TB Apr 24'!$B$13:$M$103,12,0)</f>
        <v>6371</v>
      </c>
    </row>
    <row r="510" spans="1:8" x14ac:dyDescent="0.35">
      <c r="A510" s="77">
        <v>45383</v>
      </c>
      <c r="B510" s="3" t="s">
        <v>122</v>
      </c>
      <c r="C510" s="4" t="s">
        <v>123</v>
      </c>
      <c r="D510" s="4" t="s">
        <v>314</v>
      </c>
      <c r="E510" s="4" t="s">
        <v>322</v>
      </c>
      <c r="F510" t="s">
        <v>215</v>
      </c>
      <c r="G510" t="s">
        <v>221</v>
      </c>
      <c r="H510">
        <f>VLOOKUP(C510,'TB Apr 24'!$B$13:$M$103,12,0)</f>
        <v>0</v>
      </c>
    </row>
    <row r="511" spans="1:8" x14ac:dyDescent="0.35">
      <c r="A511" s="77">
        <v>45383</v>
      </c>
      <c r="B511" s="3" t="s">
        <v>124</v>
      </c>
      <c r="C511" s="4" t="s">
        <v>125</v>
      </c>
      <c r="D511" s="4" t="s">
        <v>314</v>
      </c>
      <c r="E511" s="4" t="s">
        <v>322</v>
      </c>
      <c r="F511" t="s">
        <v>215</v>
      </c>
      <c r="G511" t="s">
        <v>221</v>
      </c>
      <c r="H511">
        <f>VLOOKUP(C511,'TB Apr 24'!$B$13:$M$103,12,0)</f>
        <v>0</v>
      </c>
    </row>
    <row r="512" spans="1:8" x14ac:dyDescent="0.35">
      <c r="A512" s="77">
        <v>45383</v>
      </c>
      <c r="B512" s="3" t="s">
        <v>126</v>
      </c>
      <c r="C512" s="4" t="s">
        <v>127</v>
      </c>
      <c r="D512" s="4" t="s">
        <v>314</v>
      </c>
      <c r="E512" s="4" t="s">
        <v>291</v>
      </c>
      <c r="F512" t="s">
        <v>215</v>
      </c>
      <c r="G512" t="s">
        <v>221</v>
      </c>
      <c r="H512">
        <f>VLOOKUP(C512,'TB Apr 24'!$B$13:$M$103,12,0)</f>
        <v>0</v>
      </c>
    </row>
    <row r="513" spans="1:8" x14ac:dyDescent="0.35">
      <c r="A513" s="77">
        <v>45383</v>
      </c>
      <c r="B513" s="3" t="s">
        <v>128</v>
      </c>
      <c r="C513" s="4" t="s">
        <v>129</v>
      </c>
      <c r="D513" s="4" t="s">
        <v>314</v>
      </c>
      <c r="E513" s="4" t="s">
        <v>322</v>
      </c>
      <c r="F513" t="s">
        <v>215</v>
      </c>
      <c r="G513" t="s">
        <v>221</v>
      </c>
      <c r="H513">
        <f>VLOOKUP(C513,'TB Apr 24'!$B$13:$M$103,12,0)</f>
        <v>9939.5</v>
      </c>
    </row>
    <row r="514" spans="1:8" x14ac:dyDescent="0.35">
      <c r="A514" s="77">
        <v>45383</v>
      </c>
      <c r="B514" s="3" t="s">
        <v>130</v>
      </c>
      <c r="C514" s="4" t="s">
        <v>131</v>
      </c>
      <c r="D514" s="4" t="s">
        <v>314</v>
      </c>
      <c r="E514" s="4" t="s">
        <v>322</v>
      </c>
      <c r="F514" t="s">
        <v>215</v>
      </c>
      <c r="G514" t="s">
        <v>221</v>
      </c>
      <c r="H514">
        <f>VLOOKUP(C514,'TB Apr 24'!$B$13:$M$103,12,0)</f>
        <v>0</v>
      </c>
    </row>
    <row r="515" spans="1:8" x14ac:dyDescent="0.35">
      <c r="A515" s="77">
        <v>45383</v>
      </c>
      <c r="B515" s="3" t="s">
        <v>132</v>
      </c>
      <c r="C515" s="4" t="s">
        <v>133</v>
      </c>
      <c r="D515" s="4" t="s">
        <v>314</v>
      </c>
      <c r="E515" s="4" t="s">
        <v>320</v>
      </c>
      <c r="F515" t="s">
        <v>215</v>
      </c>
      <c r="G515" t="s">
        <v>221</v>
      </c>
      <c r="H515">
        <f>VLOOKUP(C515,'TB Apr 24'!$B$13:$M$103,12,0)</f>
        <v>4056.25</v>
      </c>
    </row>
    <row r="516" spans="1:8" x14ac:dyDescent="0.35">
      <c r="A516" s="77">
        <v>45383</v>
      </c>
      <c r="B516" s="3" t="s">
        <v>134</v>
      </c>
      <c r="C516" s="4" t="s">
        <v>135</v>
      </c>
      <c r="D516" s="4" t="s">
        <v>314</v>
      </c>
      <c r="E516" s="4" t="s">
        <v>299</v>
      </c>
      <c r="F516" t="s">
        <v>215</v>
      </c>
      <c r="G516" t="s">
        <v>221</v>
      </c>
      <c r="H516">
        <f>VLOOKUP(C516,'TB Apr 24'!$B$13:$M$103,12,0)</f>
        <v>0</v>
      </c>
    </row>
    <row r="517" spans="1:8" x14ac:dyDescent="0.35">
      <c r="A517" s="77">
        <v>45383</v>
      </c>
      <c r="B517" s="3" t="s">
        <v>136</v>
      </c>
      <c r="C517" s="4" t="s">
        <v>137</v>
      </c>
      <c r="D517" s="4" t="s">
        <v>314</v>
      </c>
      <c r="E517" s="4" t="s">
        <v>322</v>
      </c>
      <c r="F517" t="s">
        <v>215</v>
      </c>
      <c r="G517" t="s">
        <v>221</v>
      </c>
      <c r="H517">
        <f>VLOOKUP(C517,'TB Apr 24'!$B$13:$M$103,12,0)</f>
        <v>0</v>
      </c>
    </row>
    <row r="518" spans="1:8" x14ac:dyDescent="0.35">
      <c r="A518" s="77">
        <v>45383</v>
      </c>
      <c r="B518" s="3" t="s">
        <v>138</v>
      </c>
      <c r="C518" s="4" t="s">
        <v>139</v>
      </c>
      <c r="D518" s="4" t="s">
        <v>314</v>
      </c>
      <c r="E518" s="4" t="s">
        <v>294</v>
      </c>
      <c r="F518" t="s">
        <v>215</v>
      </c>
      <c r="G518" t="s">
        <v>221</v>
      </c>
      <c r="H518">
        <f>VLOOKUP(C518,'TB Apr 24'!$B$13:$M$103,12,0)</f>
        <v>13973.6</v>
      </c>
    </row>
    <row r="519" spans="1:8" x14ac:dyDescent="0.35">
      <c r="A519" s="77">
        <v>45383</v>
      </c>
      <c r="B519" s="3" t="s">
        <v>140</v>
      </c>
      <c r="C519" s="4" t="s">
        <v>141</v>
      </c>
      <c r="D519" s="4" t="s">
        <v>314</v>
      </c>
      <c r="E519" s="4" t="s">
        <v>268</v>
      </c>
      <c r="F519" t="s">
        <v>215</v>
      </c>
      <c r="G519" t="s">
        <v>221</v>
      </c>
      <c r="H519">
        <f>VLOOKUP(C519,'TB Apr 24'!$B$13:$M$103,12,0)</f>
        <v>394426.67989999999</v>
      </c>
    </row>
    <row r="520" spans="1:8" x14ac:dyDescent="0.35">
      <c r="A520" s="77">
        <v>45383</v>
      </c>
      <c r="B520" s="3" t="s">
        <v>142</v>
      </c>
      <c r="C520" s="4" t="s">
        <v>143</v>
      </c>
      <c r="D520" s="4" t="s">
        <v>314</v>
      </c>
      <c r="E520" s="4" t="s">
        <v>269</v>
      </c>
      <c r="F520" t="s">
        <v>215</v>
      </c>
      <c r="G520" t="s">
        <v>221</v>
      </c>
      <c r="H520">
        <f>VLOOKUP(C520,'TB Apr 24'!$B$13:$M$103,12,0)</f>
        <v>72886</v>
      </c>
    </row>
    <row r="521" spans="1:8" x14ac:dyDescent="0.35">
      <c r="A521" s="77">
        <v>45383</v>
      </c>
      <c r="B521" s="3" t="s">
        <v>144</v>
      </c>
      <c r="C521" s="4" t="s">
        <v>145</v>
      </c>
      <c r="D521" s="4" t="s">
        <v>314</v>
      </c>
      <c r="E521" s="4" t="s">
        <v>288</v>
      </c>
      <c r="F521" t="s">
        <v>215</v>
      </c>
      <c r="G521" t="s">
        <v>221</v>
      </c>
      <c r="H521">
        <f>VLOOKUP(C521,'TB Apr 24'!$B$13:$M$103,12,0)</f>
        <v>47144</v>
      </c>
    </row>
    <row r="522" spans="1:8" x14ac:dyDescent="0.35">
      <c r="A522" s="77">
        <v>45383</v>
      </c>
      <c r="B522" s="3" t="s">
        <v>146</v>
      </c>
      <c r="C522" s="4" t="s">
        <v>147</v>
      </c>
      <c r="D522" s="4" t="s">
        <v>314</v>
      </c>
      <c r="E522" s="4" t="s">
        <v>288</v>
      </c>
      <c r="F522" t="s">
        <v>215</v>
      </c>
      <c r="G522" t="s">
        <v>221</v>
      </c>
      <c r="H522">
        <f>VLOOKUP(C522,'TB Apr 24'!$B$13:$M$103,12,0)</f>
        <v>18981.666666666668</v>
      </c>
    </row>
    <row r="523" spans="1:8" x14ac:dyDescent="0.35">
      <c r="A523" s="77">
        <v>45383</v>
      </c>
      <c r="B523" s="3" t="s">
        <v>148</v>
      </c>
      <c r="C523" s="4" t="s">
        <v>149</v>
      </c>
      <c r="D523" s="4" t="s">
        <v>314</v>
      </c>
      <c r="E523" s="4" t="s">
        <v>287</v>
      </c>
      <c r="F523" t="s">
        <v>215</v>
      </c>
      <c r="G523" t="s">
        <v>221</v>
      </c>
      <c r="H523">
        <f>VLOOKUP(C523,'TB Apr 24'!$B$13:$M$103,12,0)</f>
        <v>53815.5</v>
      </c>
    </row>
    <row r="524" spans="1:8" x14ac:dyDescent="0.35">
      <c r="A524" s="77">
        <v>45383</v>
      </c>
      <c r="B524" s="3" t="s">
        <v>150</v>
      </c>
      <c r="C524" s="4" t="s">
        <v>87</v>
      </c>
      <c r="D524" s="4" t="s">
        <v>314</v>
      </c>
      <c r="E524" s="4" t="s">
        <v>288</v>
      </c>
      <c r="F524" t="s">
        <v>215</v>
      </c>
      <c r="G524" t="s">
        <v>221</v>
      </c>
      <c r="H524">
        <f>VLOOKUP(C524,'TB Apr 24'!$B$13:$M$103,12,0)</f>
        <v>61542.5</v>
      </c>
    </row>
    <row r="525" spans="1:8" x14ac:dyDescent="0.35">
      <c r="A525" s="77">
        <v>45383</v>
      </c>
      <c r="B525" s="3" t="s">
        <v>151</v>
      </c>
      <c r="C525" s="4" t="s">
        <v>152</v>
      </c>
      <c r="D525" s="4" t="s">
        <v>314</v>
      </c>
      <c r="E525" s="4" t="s">
        <v>288</v>
      </c>
      <c r="F525" t="s">
        <v>215</v>
      </c>
      <c r="G525" t="s">
        <v>221</v>
      </c>
      <c r="H525">
        <f>VLOOKUP(C525,'TB Apr 24'!$B$13:$M$103,12,0)</f>
        <v>4116</v>
      </c>
    </row>
    <row r="526" spans="1:8" x14ac:dyDescent="0.35">
      <c r="A526" s="77">
        <v>45383</v>
      </c>
      <c r="B526" s="3" t="s">
        <v>153</v>
      </c>
      <c r="C526" s="4" t="s">
        <v>154</v>
      </c>
      <c r="D526" s="4" t="s">
        <v>314</v>
      </c>
      <c r="E526" s="4" t="s">
        <v>288</v>
      </c>
      <c r="F526" t="s">
        <v>215</v>
      </c>
      <c r="G526" t="s">
        <v>221</v>
      </c>
      <c r="H526">
        <f>VLOOKUP(C526,'TB Apr 24'!$B$13:$M$103,12,0)</f>
        <v>11238.34</v>
      </c>
    </row>
    <row r="527" spans="1:8" x14ac:dyDescent="0.35">
      <c r="A527" s="77">
        <v>45383</v>
      </c>
      <c r="B527" s="3" t="s">
        <v>155</v>
      </c>
      <c r="C527" s="4" t="s">
        <v>156</v>
      </c>
      <c r="D527" s="4" t="s">
        <v>314</v>
      </c>
      <c r="E527" s="4" t="s">
        <v>288</v>
      </c>
      <c r="F527" t="s">
        <v>215</v>
      </c>
      <c r="G527" t="s">
        <v>221</v>
      </c>
      <c r="H527">
        <f>VLOOKUP(C527,'TB Apr 24'!$B$13:$M$103,12,0)</f>
        <v>4476.01</v>
      </c>
    </row>
    <row r="528" spans="1:8" x14ac:dyDescent="0.35">
      <c r="A528" s="77">
        <v>45383</v>
      </c>
      <c r="B528" s="3" t="s">
        <v>157</v>
      </c>
      <c r="C528" s="4" t="s">
        <v>158</v>
      </c>
      <c r="D528" s="4" t="s">
        <v>314</v>
      </c>
      <c r="E528" s="4" t="s">
        <v>292</v>
      </c>
      <c r="F528" t="s">
        <v>215</v>
      </c>
      <c r="G528" t="s">
        <v>221</v>
      </c>
      <c r="H528">
        <f>VLOOKUP(C528,'TB Apr 24'!$B$13:$M$103,12,0)</f>
        <v>148500</v>
      </c>
    </row>
    <row r="529" spans="1:8" x14ac:dyDescent="0.35">
      <c r="A529" s="77">
        <v>45383</v>
      </c>
      <c r="B529" s="3" t="s">
        <v>159</v>
      </c>
      <c r="C529" s="4" t="s">
        <v>160</v>
      </c>
      <c r="D529" s="4" t="s">
        <v>314</v>
      </c>
      <c r="E529" s="4" t="s">
        <v>323</v>
      </c>
      <c r="F529" t="s">
        <v>215</v>
      </c>
      <c r="G529" t="s">
        <v>221</v>
      </c>
      <c r="H529">
        <f>VLOOKUP(C529,'TB Apr 24'!$B$13:$M$103,12,0)</f>
        <v>3000</v>
      </c>
    </row>
    <row r="530" spans="1:8" x14ac:dyDescent="0.35">
      <c r="A530" s="77">
        <v>45383</v>
      </c>
      <c r="B530" s="3" t="s">
        <v>161</v>
      </c>
      <c r="C530" s="4" t="s">
        <v>162</v>
      </c>
      <c r="D530" s="4" t="s">
        <v>314</v>
      </c>
      <c r="E530" s="4" t="s">
        <v>323</v>
      </c>
      <c r="F530" t="s">
        <v>215</v>
      </c>
      <c r="G530" t="s">
        <v>221</v>
      </c>
      <c r="H530">
        <f>VLOOKUP(C530,'TB Apr 24'!$B$13:$M$103,12,0)</f>
        <v>0</v>
      </c>
    </row>
    <row r="531" spans="1:8" x14ac:dyDescent="0.35">
      <c r="A531" s="77">
        <v>45383</v>
      </c>
      <c r="B531" s="3" t="s">
        <v>163</v>
      </c>
      <c r="C531" s="4" t="s">
        <v>164</v>
      </c>
      <c r="D531" s="4" t="s">
        <v>314</v>
      </c>
      <c r="E531" s="4" t="s">
        <v>319</v>
      </c>
      <c r="F531" t="s">
        <v>215</v>
      </c>
      <c r="G531" t="s">
        <v>221</v>
      </c>
      <c r="H531">
        <f>VLOOKUP(C531,'TB Apr 24'!$B$13:$M$103,12,0)</f>
        <v>36700</v>
      </c>
    </row>
    <row r="532" spans="1:8" x14ac:dyDescent="0.35">
      <c r="A532" s="77">
        <v>45383</v>
      </c>
      <c r="B532" s="3" t="s">
        <v>165</v>
      </c>
      <c r="C532" s="4" t="s">
        <v>166</v>
      </c>
      <c r="D532" s="4" t="s">
        <v>314</v>
      </c>
      <c r="E532" s="4" t="s">
        <v>304</v>
      </c>
      <c r="F532" t="s">
        <v>215</v>
      </c>
      <c r="G532" t="s">
        <v>221</v>
      </c>
      <c r="H532">
        <f>VLOOKUP(C532,'TB Apr 24'!$B$13:$M$103,12,0)</f>
        <v>5405</v>
      </c>
    </row>
    <row r="533" spans="1:8" x14ac:dyDescent="0.35">
      <c r="A533" s="77">
        <v>45383</v>
      </c>
      <c r="B533" s="3" t="s">
        <v>167</v>
      </c>
      <c r="C533" s="4" t="s">
        <v>168</v>
      </c>
      <c r="D533" s="4" t="s">
        <v>314</v>
      </c>
      <c r="E533" s="4" t="s">
        <v>322</v>
      </c>
      <c r="F533" t="s">
        <v>215</v>
      </c>
      <c r="G533" t="s">
        <v>221</v>
      </c>
      <c r="H533">
        <f>VLOOKUP(C533,'TB Apr 24'!$B$13:$M$103,12,0)</f>
        <v>6708</v>
      </c>
    </row>
    <row r="534" spans="1:8" x14ac:dyDescent="0.35">
      <c r="A534" s="77">
        <v>45383</v>
      </c>
      <c r="B534" s="3" t="s">
        <v>169</v>
      </c>
      <c r="C534" s="4" t="s">
        <v>170</v>
      </c>
      <c r="D534" s="4" t="s">
        <v>314</v>
      </c>
      <c r="E534" s="4" t="s">
        <v>304</v>
      </c>
      <c r="F534" t="s">
        <v>215</v>
      </c>
      <c r="G534" t="s">
        <v>221</v>
      </c>
      <c r="H534">
        <f>VLOOKUP(C534,'TB Apr 24'!$B$13:$M$103,12,0)</f>
        <v>3982.5</v>
      </c>
    </row>
    <row r="535" spans="1:8" x14ac:dyDescent="0.35">
      <c r="A535" s="77">
        <v>45383</v>
      </c>
      <c r="B535" s="3" t="s">
        <v>171</v>
      </c>
      <c r="C535" s="4" t="s">
        <v>172</v>
      </c>
      <c r="D535" s="4" t="s">
        <v>314</v>
      </c>
      <c r="E535" s="4" t="s">
        <v>303</v>
      </c>
      <c r="F535" t="s">
        <v>215</v>
      </c>
      <c r="G535" t="s">
        <v>221</v>
      </c>
      <c r="H535">
        <f>VLOOKUP(C535,'TB Apr 24'!$B$13:$M$103,12,0)</f>
        <v>117197</v>
      </c>
    </row>
    <row r="536" spans="1:8" x14ac:dyDescent="0.35">
      <c r="A536" s="77">
        <v>45383</v>
      </c>
      <c r="B536" s="3" t="s">
        <v>173</v>
      </c>
      <c r="C536" s="4" t="s">
        <v>174</v>
      </c>
      <c r="D536" s="4" t="s">
        <v>314</v>
      </c>
      <c r="E536" s="4" t="s">
        <v>257</v>
      </c>
      <c r="F536" t="s">
        <v>215</v>
      </c>
      <c r="G536" t="s">
        <v>221</v>
      </c>
      <c r="H536">
        <f>VLOOKUP(C536,'TB Apr 24'!$B$13:$M$103,12,0)</f>
        <v>0</v>
      </c>
    </row>
    <row r="537" spans="1:8" x14ac:dyDescent="0.35">
      <c r="A537" s="77">
        <v>45383</v>
      </c>
      <c r="B537" s="3" t="s">
        <v>175</v>
      </c>
      <c r="C537" s="4" t="s">
        <v>176</v>
      </c>
      <c r="D537" s="4" t="s">
        <v>314</v>
      </c>
      <c r="E537" s="4" t="s">
        <v>257</v>
      </c>
      <c r="F537" t="s">
        <v>215</v>
      </c>
      <c r="G537" t="s">
        <v>221</v>
      </c>
      <c r="H537">
        <f>VLOOKUP(C537,'TB Apr 24'!$B$13:$M$103,12,0)</f>
        <v>0</v>
      </c>
    </row>
    <row r="538" spans="1:8" x14ac:dyDescent="0.35">
      <c r="A538" s="77">
        <v>45383</v>
      </c>
      <c r="B538" s="3" t="s">
        <v>177</v>
      </c>
      <c r="C538" s="4" t="s">
        <v>178</v>
      </c>
      <c r="D538" s="4" t="s">
        <v>314</v>
      </c>
      <c r="E538" s="4" t="s">
        <v>257</v>
      </c>
      <c r="F538" t="s">
        <v>215</v>
      </c>
      <c r="G538" t="s">
        <v>221</v>
      </c>
      <c r="H538">
        <f>VLOOKUP(C538,'TB Apr 24'!$B$13:$M$103,12,0)</f>
        <v>0</v>
      </c>
    </row>
    <row r="539" spans="1:8" x14ac:dyDescent="0.35">
      <c r="A539" s="77">
        <v>45383</v>
      </c>
      <c r="B539" s="3" t="s">
        <v>179</v>
      </c>
      <c r="C539" s="4" t="s">
        <v>180</v>
      </c>
      <c r="D539" s="4" t="s">
        <v>314</v>
      </c>
      <c r="E539" s="4" t="s">
        <v>322</v>
      </c>
      <c r="F539" t="s">
        <v>215</v>
      </c>
      <c r="G539" t="s">
        <v>221</v>
      </c>
      <c r="H539">
        <f>VLOOKUP(C539,'TB Apr 24'!$B$13:$M$103,12,0)</f>
        <v>0</v>
      </c>
    </row>
    <row r="540" spans="1:8" x14ac:dyDescent="0.35">
      <c r="A540" s="77">
        <v>45383</v>
      </c>
      <c r="B540" s="3" t="s">
        <v>181</v>
      </c>
      <c r="C540" s="4" t="s">
        <v>182</v>
      </c>
      <c r="D540" s="4" t="s">
        <v>314</v>
      </c>
      <c r="E540" s="4" t="s">
        <v>290</v>
      </c>
      <c r="F540" t="s">
        <v>215</v>
      </c>
      <c r="G540" t="s">
        <v>221</v>
      </c>
      <c r="H540">
        <f>VLOOKUP(C540,'TB Apr 24'!$B$13:$M$103,12,0)</f>
        <v>0</v>
      </c>
    </row>
    <row r="541" spans="1:8" x14ac:dyDescent="0.35">
      <c r="A541" s="77">
        <v>45383</v>
      </c>
      <c r="B541" s="3" t="s">
        <v>183</v>
      </c>
      <c r="C541" s="4" t="s">
        <v>184</v>
      </c>
      <c r="D541" s="4" t="s">
        <v>314</v>
      </c>
      <c r="E541" s="4" t="s">
        <v>290</v>
      </c>
      <c r="F541" t="s">
        <v>215</v>
      </c>
      <c r="G541" t="s">
        <v>221</v>
      </c>
      <c r="H541">
        <f>VLOOKUP(C541,'TB Apr 24'!$B$13:$M$103,12,0)</f>
        <v>2700</v>
      </c>
    </row>
    <row r="542" spans="1:8" x14ac:dyDescent="0.35">
      <c r="A542" s="77">
        <v>45383</v>
      </c>
      <c r="B542" s="3" t="s">
        <v>185</v>
      </c>
      <c r="C542" s="4" t="s">
        <v>186</v>
      </c>
      <c r="D542" s="4" t="s">
        <v>314</v>
      </c>
      <c r="E542" s="4" t="s">
        <v>290</v>
      </c>
      <c r="F542" t="s">
        <v>215</v>
      </c>
      <c r="G542" t="s">
        <v>221</v>
      </c>
      <c r="H542">
        <f>VLOOKUP(C542,'TB Apr 24'!$B$13:$M$103,12,0)</f>
        <v>79998.5</v>
      </c>
    </row>
    <row r="543" spans="1:8" x14ac:dyDescent="0.35">
      <c r="A543" s="77">
        <v>45383</v>
      </c>
      <c r="B543" s="3" t="s">
        <v>187</v>
      </c>
      <c r="C543" s="4" t="s">
        <v>188</v>
      </c>
      <c r="D543" s="4" t="s">
        <v>314</v>
      </c>
      <c r="E543" s="4" t="s">
        <v>291</v>
      </c>
      <c r="F543" t="s">
        <v>215</v>
      </c>
      <c r="G543" t="s">
        <v>221</v>
      </c>
      <c r="H543">
        <f>VLOOKUP(C543,'TB Apr 24'!$B$13:$M$103,12,0)</f>
        <v>78410.260000000009</v>
      </c>
    </row>
    <row r="544" spans="1:8" x14ac:dyDescent="0.35">
      <c r="A544" s="77">
        <v>45383</v>
      </c>
      <c r="B544" s="3" t="s">
        <v>189</v>
      </c>
      <c r="C544" s="4" t="s">
        <v>190</v>
      </c>
      <c r="D544" s="4" t="s">
        <v>314</v>
      </c>
      <c r="E544" s="4" t="s">
        <v>254</v>
      </c>
      <c r="F544" t="s">
        <v>215</v>
      </c>
      <c r="G544" t="s">
        <v>221</v>
      </c>
      <c r="H544">
        <f>VLOOKUP(C544,'TB Apr 24'!$B$13:$M$103,12,0)</f>
        <v>0</v>
      </c>
    </row>
    <row r="545" spans="1:8" x14ac:dyDescent="0.35">
      <c r="A545" s="77">
        <v>45383</v>
      </c>
      <c r="B545" s="3" t="s">
        <v>191</v>
      </c>
      <c r="C545" s="4" t="s">
        <v>192</v>
      </c>
      <c r="D545" s="4" t="s">
        <v>314</v>
      </c>
      <c r="E545" s="4" t="s">
        <v>254</v>
      </c>
      <c r="F545" t="s">
        <v>215</v>
      </c>
      <c r="G545" t="s">
        <v>221</v>
      </c>
      <c r="H545">
        <f>VLOOKUP(C545,'TB Apr 24'!$B$13:$M$103,12,0)</f>
        <v>0</v>
      </c>
    </row>
    <row r="546" spans="1:8" x14ac:dyDescent="0.35">
      <c r="A546" s="77">
        <v>45383</v>
      </c>
      <c r="B546" s="3" t="s">
        <v>193</v>
      </c>
      <c r="C546" s="4" t="s">
        <v>194</v>
      </c>
      <c r="D546" s="4" t="s">
        <v>314</v>
      </c>
      <c r="E546" s="4" t="s">
        <v>254</v>
      </c>
      <c r="F546" t="s">
        <v>215</v>
      </c>
      <c r="G546" t="s">
        <v>221</v>
      </c>
      <c r="H546">
        <f>VLOOKUP(C546,'TB Apr 24'!$B$13:$M$103,12,0)</f>
        <v>545994.59342090331</v>
      </c>
    </row>
    <row r="547" spans="1:8" x14ac:dyDescent="0.35">
      <c r="A547" s="77">
        <v>45383</v>
      </c>
      <c r="B547" s="3" t="s">
        <v>195</v>
      </c>
      <c r="C547" s="4" t="s">
        <v>196</v>
      </c>
      <c r="D547" s="4" t="s">
        <v>314</v>
      </c>
      <c r="E547" s="4" t="s">
        <v>255</v>
      </c>
      <c r="F547" t="s">
        <v>215</v>
      </c>
      <c r="G547" t="s">
        <v>221</v>
      </c>
      <c r="H547">
        <f>VLOOKUP(C547,'TB Apr 24'!$B$13:$M$103,12,0)</f>
        <v>0</v>
      </c>
    </row>
    <row r="548" spans="1:8" x14ac:dyDescent="0.35">
      <c r="A548" s="77">
        <v>45383</v>
      </c>
      <c r="B548" s="3" t="s">
        <v>197</v>
      </c>
      <c r="C548" s="4" t="s">
        <v>198</v>
      </c>
      <c r="D548" s="4" t="s">
        <v>314</v>
      </c>
      <c r="E548" s="4" t="s">
        <v>255</v>
      </c>
      <c r="F548" t="s">
        <v>215</v>
      </c>
      <c r="G548" t="s">
        <v>221</v>
      </c>
      <c r="H548">
        <f>VLOOKUP(C548,'TB Apr 24'!$B$13:$M$103,12,0)</f>
        <v>0</v>
      </c>
    </row>
    <row r="549" spans="1:8" x14ac:dyDescent="0.35">
      <c r="A549" s="77">
        <v>45383</v>
      </c>
      <c r="B549" s="3" t="s">
        <v>199</v>
      </c>
      <c r="C549" s="4" t="s">
        <v>200</v>
      </c>
      <c r="D549" s="4" t="s">
        <v>314</v>
      </c>
      <c r="E549" s="4" t="s">
        <v>254</v>
      </c>
      <c r="F549" t="s">
        <v>215</v>
      </c>
      <c r="G549" t="s">
        <v>221</v>
      </c>
      <c r="H549">
        <f>VLOOKUP(C549,'TB Apr 24'!$B$13:$M$103,12,0)</f>
        <v>0</v>
      </c>
    </row>
    <row r="550" spans="1:8" x14ac:dyDescent="0.35">
      <c r="A550" s="77">
        <v>45383</v>
      </c>
      <c r="B550" s="3" t="s">
        <v>201</v>
      </c>
      <c r="C550" s="4" t="s">
        <v>202</v>
      </c>
      <c r="D550" s="4" t="s">
        <v>314</v>
      </c>
      <c r="E550" s="4" t="s">
        <v>254</v>
      </c>
      <c r="F550" t="s">
        <v>215</v>
      </c>
      <c r="G550" t="s">
        <v>221</v>
      </c>
      <c r="H550">
        <f>VLOOKUP(C550,'TB Apr 24'!$B$13:$M$103,12,0)</f>
        <v>0</v>
      </c>
    </row>
    <row r="551" spans="1:8" x14ac:dyDescent="0.35">
      <c r="A551" s="77">
        <v>45383</v>
      </c>
      <c r="B551" s="3" t="s">
        <v>203</v>
      </c>
      <c r="C551" s="4" t="s">
        <v>204</v>
      </c>
      <c r="D551" s="4" t="s">
        <v>314</v>
      </c>
      <c r="E551" s="4" t="s">
        <v>256</v>
      </c>
      <c r="F551" t="s">
        <v>215</v>
      </c>
      <c r="G551" t="s">
        <v>221</v>
      </c>
      <c r="H551">
        <f>VLOOKUP(C551,'TB Apr 24'!$B$13:$M$103,12,0)</f>
        <v>670119.7062104037</v>
      </c>
    </row>
    <row r="552" spans="1:8" x14ac:dyDescent="0.35">
      <c r="A552" s="77">
        <v>45383</v>
      </c>
      <c r="B552" s="3" t="s">
        <v>205</v>
      </c>
      <c r="C552" s="6" t="s">
        <v>206</v>
      </c>
      <c r="D552" s="4" t="s">
        <v>314</v>
      </c>
      <c r="E552" s="6" t="s">
        <v>322</v>
      </c>
      <c r="F552" s="79" t="s">
        <v>215</v>
      </c>
      <c r="G552" s="79" t="s">
        <v>221</v>
      </c>
      <c r="H552" s="79">
        <f>VLOOKUP(C552,'TB Apr 24'!$B$13:$M$103,12,0)</f>
        <v>0</v>
      </c>
    </row>
    <row r="553" spans="1:8" x14ac:dyDescent="0.35">
      <c r="A553" s="77">
        <v>45383</v>
      </c>
      <c r="B553" s="3" t="s">
        <v>57</v>
      </c>
      <c r="C553" s="4" t="s">
        <v>58</v>
      </c>
      <c r="D553" s="4" t="s">
        <v>314</v>
      </c>
      <c r="E553" s="4" t="s">
        <v>253</v>
      </c>
      <c r="F553" t="s">
        <v>215</v>
      </c>
      <c r="G553" t="s">
        <v>219</v>
      </c>
      <c r="H553">
        <f>VLOOKUP(C553,'TB Apr 24'!$B$13:$N$103,13,0)</f>
        <v>0</v>
      </c>
    </row>
    <row r="554" spans="1:8" x14ac:dyDescent="0.35">
      <c r="A554" s="77">
        <v>45383</v>
      </c>
      <c r="B554" s="3" t="s">
        <v>307</v>
      </c>
      <c r="C554" s="4" t="s">
        <v>308</v>
      </c>
      <c r="D554" s="4" t="s">
        <v>314</v>
      </c>
      <c r="E554" s="4" t="s">
        <v>253</v>
      </c>
      <c r="F554" t="s">
        <v>215</v>
      </c>
      <c r="G554" t="s">
        <v>219</v>
      </c>
      <c r="H554">
        <f>VLOOKUP(C554,'TB Apr 24'!$B$13:$N$103,13,0)</f>
        <v>0</v>
      </c>
    </row>
    <row r="555" spans="1:8" x14ac:dyDescent="0.35">
      <c r="A555" s="77">
        <v>45383</v>
      </c>
      <c r="B555" s="3" t="s">
        <v>59</v>
      </c>
      <c r="C555" s="4" t="s">
        <v>60</v>
      </c>
      <c r="D555" s="4" t="s">
        <v>314</v>
      </c>
      <c r="E555" s="4" t="s">
        <v>253</v>
      </c>
      <c r="F555" t="s">
        <v>215</v>
      </c>
      <c r="G555" t="s">
        <v>219</v>
      </c>
      <c r="H555">
        <f>VLOOKUP(C555,'TB Apr 24'!$B$13:$N$103,13,0)</f>
        <v>-20.41</v>
      </c>
    </row>
    <row r="556" spans="1:8" x14ac:dyDescent="0.35">
      <c r="A556" s="77">
        <v>45383</v>
      </c>
      <c r="B556" s="3" t="s">
        <v>61</v>
      </c>
      <c r="C556" s="4" t="s">
        <v>62</v>
      </c>
      <c r="D556" s="4" t="s">
        <v>314</v>
      </c>
      <c r="E556" s="4" t="s">
        <v>66</v>
      </c>
      <c r="F556" t="s">
        <v>215</v>
      </c>
      <c r="G556" t="s">
        <v>219</v>
      </c>
      <c r="H556">
        <f>VLOOKUP(C556,'TB Apr 24'!$B$13:$N$103,13,0)</f>
        <v>-19676.03</v>
      </c>
    </row>
    <row r="557" spans="1:8" x14ac:dyDescent="0.35">
      <c r="A557" s="77">
        <v>45383</v>
      </c>
      <c r="B557" s="3" t="s">
        <v>63</v>
      </c>
      <c r="C557" s="4" t="s">
        <v>64</v>
      </c>
      <c r="D557" s="4" t="s">
        <v>314</v>
      </c>
      <c r="E557" s="4" t="s">
        <v>252</v>
      </c>
      <c r="F557" t="s">
        <v>215</v>
      </c>
      <c r="G557" t="s">
        <v>219</v>
      </c>
      <c r="H557">
        <f>VLOOKUP(C557,'TB Apr 24'!$B$13:$N$103,13,0)</f>
        <v>0</v>
      </c>
    </row>
    <row r="558" spans="1:8" x14ac:dyDescent="0.35">
      <c r="A558" s="77">
        <v>45383</v>
      </c>
      <c r="B558" s="3" t="s">
        <v>65</v>
      </c>
      <c r="C558" s="4" t="s">
        <v>66</v>
      </c>
      <c r="D558" s="4" t="s">
        <v>314</v>
      </c>
      <c r="E558" s="4" t="s">
        <v>66</v>
      </c>
      <c r="F558" t="s">
        <v>215</v>
      </c>
      <c r="G558" t="s">
        <v>219</v>
      </c>
      <c r="H558">
        <f>VLOOKUP(C558,'TB Apr 24'!$B$13:$N$103,13,0)</f>
        <v>-1884843.44</v>
      </c>
    </row>
    <row r="559" spans="1:8" x14ac:dyDescent="0.35">
      <c r="A559" s="77">
        <v>45383</v>
      </c>
      <c r="B559" s="3" t="s">
        <v>67</v>
      </c>
      <c r="C559" s="4" t="s">
        <v>68</v>
      </c>
      <c r="D559" s="4" t="s">
        <v>314</v>
      </c>
      <c r="E559" s="4" t="s">
        <v>252</v>
      </c>
      <c r="F559" t="s">
        <v>215</v>
      </c>
      <c r="G559" t="s">
        <v>219</v>
      </c>
      <c r="H559">
        <f>VLOOKUP(C559,'TB Apr 24'!$B$13:$N$103,13,0)</f>
        <v>-364928.3</v>
      </c>
    </row>
    <row r="560" spans="1:8" x14ac:dyDescent="0.35">
      <c r="A560" s="77">
        <v>45383</v>
      </c>
      <c r="B560" s="3" t="s">
        <v>69</v>
      </c>
      <c r="C560" s="4" t="s">
        <v>70</v>
      </c>
      <c r="D560" s="4" t="s">
        <v>314</v>
      </c>
      <c r="E560" s="4" t="s">
        <v>70</v>
      </c>
      <c r="F560" t="s">
        <v>215</v>
      </c>
      <c r="G560" t="s">
        <v>219</v>
      </c>
      <c r="H560">
        <f>VLOOKUP(C560,'TB Apr 24'!$B$13:$N$103,13,0)</f>
        <v>-337006.14</v>
      </c>
    </row>
    <row r="561" spans="1:8" x14ac:dyDescent="0.35">
      <c r="A561" s="77">
        <v>45383</v>
      </c>
      <c r="B561" s="3" t="s">
        <v>71</v>
      </c>
      <c r="C561" s="4" t="s">
        <v>72</v>
      </c>
      <c r="D561" s="4" t="s">
        <v>314</v>
      </c>
      <c r="E561" s="4" t="s">
        <v>253</v>
      </c>
      <c r="F561" t="s">
        <v>215</v>
      </c>
      <c r="G561" t="s">
        <v>219</v>
      </c>
      <c r="H561">
        <f>VLOOKUP(C561,'TB Apr 24'!$B$13:$N$103,13,0)</f>
        <v>0</v>
      </c>
    </row>
    <row r="562" spans="1:8" x14ac:dyDescent="0.35">
      <c r="A562" s="77">
        <v>45383</v>
      </c>
      <c r="B562" s="3" t="s">
        <v>73</v>
      </c>
      <c r="C562" s="4" t="s">
        <v>74</v>
      </c>
      <c r="D562" s="4" t="s">
        <v>314</v>
      </c>
      <c r="E562" s="4" t="s">
        <v>253</v>
      </c>
      <c r="F562" t="s">
        <v>215</v>
      </c>
      <c r="G562" t="s">
        <v>219</v>
      </c>
      <c r="H562">
        <f>VLOOKUP(C562,'TB Apr 24'!$B$13:$N$103,13,0)</f>
        <v>-890.18</v>
      </c>
    </row>
    <row r="563" spans="1:8" x14ac:dyDescent="0.35">
      <c r="A563" s="77">
        <v>45383</v>
      </c>
      <c r="B563" s="3" t="s">
        <v>75</v>
      </c>
      <c r="C563" s="4" t="s">
        <v>76</v>
      </c>
      <c r="D563" s="4" t="s">
        <v>314</v>
      </c>
      <c r="E563" s="4" t="s">
        <v>253</v>
      </c>
      <c r="F563" t="s">
        <v>215</v>
      </c>
      <c r="G563" t="s">
        <v>219</v>
      </c>
      <c r="H563">
        <f>VLOOKUP(C563,'TB Apr 24'!$B$13:$N$103,13,0)</f>
        <v>0</v>
      </c>
    </row>
    <row r="564" spans="1:8" x14ac:dyDescent="0.35">
      <c r="A564" s="77">
        <v>45383</v>
      </c>
      <c r="B564" s="3" t="s">
        <v>77</v>
      </c>
      <c r="C564" s="4" t="s">
        <v>78</v>
      </c>
      <c r="D564" s="4" t="s">
        <v>314</v>
      </c>
      <c r="E564" s="4" t="s">
        <v>253</v>
      </c>
      <c r="F564" t="s">
        <v>215</v>
      </c>
      <c r="G564" t="s">
        <v>219</v>
      </c>
      <c r="H564">
        <f>VLOOKUP(C564,'TB Apr 24'!$B$13:$N$103,13,0)</f>
        <v>-33937.120000000003</v>
      </c>
    </row>
    <row r="565" spans="1:8" x14ac:dyDescent="0.35">
      <c r="A565" s="77">
        <v>45383</v>
      </c>
      <c r="B565" s="3" t="s">
        <v>79</v>
      </c>
      <c r="C565" s="4" t="s">
        <v>80</v>
      </c>
      <c r="D565" s="4" t="s">
        <v>314</v>
      </c>
      <c r="E565" s="4" t="s">
        <v>253</v>
      </c>
      <c r="F565" t="s">
        <v>215</v>
      </c>
      <c r="G565" t="s">
        <v>219</v>
      </c>
      <c r="H565">
        <f>VLOOKUP(C565,'TB Apr 24'!$B$13:$N$103,13,0)</f>
        <v>-29154.92</v>
      </c>
    </row>
    <row r="566" spans="1:8" x14ac:dyDescent="0.35">
      <c r="A566" s="77">
        <v>45383</v>
      </c>
      <c r="B566" s="3" t="s">
        <v>81</v>
      </c>
      <c r="C566" s="4" t="s">
        <v>82</v>
      </c>
      <c r="D566" s="4" t="s">
        <v>314</v>
      </c>
      <c r="E566" s="4" t="s">
        <v>319</v>
      </c>
      <c r="F566" t="s">
        <v>215</v>
      </c>
      <c r="G566" t="s">
        <v>219</v>
      </c>
      <c r="H566">
        <f>VLOOKUP(C566,'TB Apr 24'!$B$13:$N$103,13,0)</f>
        <v>0</v>
      </c>
    </row>
    <row r="567" spans="1:8" x14ac:dyDescent="0.35">
      <c r="A567" s="77">
        <v>45383</v>
      </c>
      <c r="B567" s="3" t="s">
        <v>83</v>
      </c>
      <c r="C567" s="4" t="s">
        <v>84</v>
      </c>
      <c r="D567" s="4" t="s">
        <v>314</v>
      </c>
      <c r="E567" s="4" t="s">
        <v>319</v>
      </c>
      <c r="F567" t="s">
        <v>215</v>
      </c>
      <c r="G567" t="s">
        <v>219</v>
      </c>
      <c r="H567">
        <f>VLOOKUP(C567,'TB Apr 24'!$B$13:$N$103,13,0)</f>
        <v>0</v>
      </c>
    </row>
    <row r="568" spans="1:8" x14ac:dyDescent="0.35">
      <c r="A568" s="77">
        <v>45383</v>
      </c>
      <c r="B568" s="3" t="s">
        <v>85</v>
      </c>
      <c r="C568" s="4" t="s">
        <v>86</v>
      </c>
      <c r="D568" s="4" t="s">
        <v>314</v>
      </c>
      <c r="E568" s="4" t="s">
        <v>291</v>
      </c>
      <c r="F568" t="s">
        <v>215</v>
      </c>
      <c r="G568" t="s">
        <v>219</v>
      </c>
      <c r="H568">
        <f>VLOOKUP(C568,'TB Apr 24'!$B$13:$N$103,13,0)</f>
        <v>600</v>
      </c>
    </row>
    <row r="569" spans="1:8" x14ac:dyDescent="0.35">
      <c r="A569" s="77">
        <v>45383</v>
      </c>
      <c r="B569" s="3" t="s">
        <v>88</v>
      </c>
      <c r="C569" s="4" t="s">
        <v>89</v>
      </c>
      <c r="D569" s="4" t="s">
        <v>314</v>
      </c>
      <c r="E569" s="4" t="s">
        <v>300</v>
      </c>
      <c r="F569" t="s">
        <v>215</v>
      </c>
      <c r="G569" t="s">
        <v>219</v>
      </c>
      <c r="H569">
        <f>VLOOKUP(C569,'TB Apr 24'!$B$13:$N$103,13,0)</f>
        <v>0</v>
      </c>
    </row>
    <row r="570" spans="1:8" x14ac:dyDescent="0.35">
      <c r="A570" s="77">
        <v>45383</v>
      </c>
      <c r="B570" s="3" t="s">
        <v>90</v>
      </c>
      <c r="C570" s="4" t="s">
        <v>91</v>
      </c>
      <c r="D570" s="4" t="s">
        <v>314</v>
      </c>
      <c r="E570" s="4" t="s">
        <v>300</v>
      </c>
      <c r="F570" t="s">
        <v>215</v>
      </c>
      <c r="G570" t="s">
        <v>219</v>
      </c>
      <c r="H570">
        <f>VLOOKUP(C570,'TB Apr 24'!$B$13:$N$103,13,0)</f>
        <v>8780</v>
      </c>
    </row>
    <row r="571" spans="1:8" x14ac:dyDescent="0.35">
      <c r="A571" s="77">
        <v>45383</v>
      </c>
      <c r="B571" s="3" t="s">
        <v>92</v>
      </c>
      <c r="C571" s="4" t="s">
        <v>93</v>
      </c>
      <c r="D571" s="4" t="s">
        <v>314</v>
      </c>
      <c r="E571" s="4" t="s">
        <v>300</v>
      </c>
      <c r="F571" t="s">
        <v>215</v>
      </c>
      <c r="G571" t="s">
        <v>219</v>
      </c>
      <c r="H571">
        <f>VLOOKUP(C571,'TB Apr 24'!$B$13:$N$103,13,0)</f>
        <v>0</v>
      </c>
    </row>
    <row r="572" spans="1:8" x14ac:dyDescent="0.35">
      <c r="A572" s="77">
        <v>45383</v>
      </c>
      <c r="B572" s="3" t="s">
        <v>94</v>
      </c>
      <c r="C572" s="4" t="s">
        <v>95</v>
      </c>
      <c r="D572" s="4" t="s">
        <v>314</v>
      </c>
      <c r="E572" s="4" t="s">
        <v>289</v>
      </c>
      <c r="F572" t="s">
        <v>215</v>
      </c>
      <c r="G572" t="s">
        <v>219</v>
      </c>
      <c r="H572">
        <f>VLOOKUP(C572,'TB Apr 24'!$B$13:$N$103,13,0)</f>
        <v>674925</v>
      </c>
    </row>
    <row r="573" spans="1:8" x14ac:dyDescent="0.35">
      <c r="A573" s="77">
        <v>45383</v>
      </c>
      <c r="B573" s="3" t="s">
        <v>96</v>
      </c>
      <c r="C573" s="4" t="s">
        <v>97</v>
      </c>
      <c r="D573" s="4" t="s">
        <v>314</v>
      </c>
      <c r="E573" s="4" t="s">
        <v>289</v>
      </c>
      <c r="F573" t="s">
        <v>215</v>
      </c>
      <c r="G573" t="s">
        <v>219</v>
      </c>
      <c r="H573">
        <f>VLOOKUP(C573,'TB Apr 24'!$B$13:$N$103,13,0)</f>
        <v>0</v>
      </c>
    </row>
    <row r="574" spans="1:8" x14ac:dyDescent="0.35">
      <c r="A574" s="77">
        <v>45383</v>
      </c>
      <c r="B574" s="3" t="s">
        <v>309</v>
      </c>
      <c r="C574" s="4" t="s">
        <v>310</v>
      </c>
      <c r="D574" s="4" t="s">
        <v>314</v>
      </c>
      <c r="E574" s="4" t="s">
        <v>289</v>
      </c>
      <c r="F574" t="s">
        <v>215</v>
      </c>
      <c r="G574" t="s">
        <v>219</v>
      </c>
      <c r="H574">
        <f>VLOOKUP(C574,'TB Apr 24'!$B$13:$N$103,13,0)</f>
        <v>0</v>
      </c>
    </row>
    <row r="575" spans="1:8" x14ac:dyDescent="0.35">
      <c r="A575" s="77">
        <v>45383</v>
      </c>
      <c r="B575" s="3" t="s">
        <v>98</v>
      </c>
      <c r="C575" s="4" t="s">
        <v>99</v>
      </c>
      <c r="D575" s="4" t="s">
        <v>314</v>
      </c>
      <c r="E575" s="4" t="s">
        <v>289</v>
      </c>
      <c r="F575" t="s">
        <v>215</v>
      </c>
      <c r="G575" t="s">
        <v>219</v>
      </c>
      <c r="H575">
        <f>VLOOKUP(C575,'TB Apr 24'!$B$13:$N$103,13,0)</f>
        <v>0</v>
      </c>
    </row>
    <row r="576" spans="1:8" x14ac:dyDescent="0.35">
      <c r="A576" s="77">
        <v>45383</v>
      </c>
      <c r="B576" s="3" t="s">
        <v>100</v>
      </c>
      <c r="C576" s="4" t="s">
        <v>101</v>
      </c>
      <c r="D576" s="4" t="s">
        <v>314</v>
      </c>
      <c r="E576" s="4" t="s">
        <v>291</v>
      </c>
      <c r="F576" t="s">
        <v>215</v>
      </c>
      <c r="G576" t="s">
        <v>219</v>
      </c>
      <c r="H576">
        <f>VLOOKUP(C576,'TB Apr 24'!$B$13:$N$103,13,0)</f>
        <v>0</v>
      </c>
    </row>
    <row r="577" spans="1:8" x14ac:dyDescent="0.35">
      <c r="A577" s="77">
        <v>45383</v>
      </c>
      <c r="B577" s="3" t="s">
        <v>102</v>
      </c>
      <c r="C577" s="4" t="s">
        <v>103</v>
      </c>
      <c r="D577" s="4" t="s">
        <v>314</v>
      </c>
      <c r="E577" s="4" t="s">
        <v>291</v>
      </c>
      <c r="F577" t="s">
        <v>215</v>
      </c>
      <c r="G577" t="s">
        <v>219</v>
      </c>
      <c r="H577">
        <f>VLOOKUP(C577,'TB Apr 24'!$B$13:$N$103,13,0)</f>
        <v>0</v>
      </c>
    </row>
    <row r="578" spans="1:8" x14ac:dyDescent="0.35">
      <c r="A578" s="77">
        <v>45383</v>
      </c>
      <c r="B578" s="3" t="s">
        <v>104</v>
      </c>
      <c r="C578" s="4" t="s">
        <v>105</v>
      </c>
      <c r="D578" s="4" t="s">
        <v>314</v>
      </c>
      <c r="E578" s="4" t="s">
        <v>291</v>
      </c>
      <c r="F578" t="s">
        <v>215</v>
      </c>
      <c r="G578" t="s">
        <v>219</v>
      </c>
      <c r="H578">
        <f>VLOOKUP(C578,'TB Apr 24'!$B$13:$N$103,13,0)</f>
        <v>5400</v>
      </c>
    </row>
    <row r="579" spans="1:8" x14ac:dyDescent="0.35">
      <c r="A579" s="77">
        <v>45383</v>
      </c>
      <c r="B579" s="3" t="s">
        <v>106</v>
      </c>
      <c r="C579" s="4" t="s">
        <v>107</v>
      </c>
      <c r="D579" s="4" t="s">
        <v>314</v>
      </c>
      <c r="E579" s="4" t="s">
        <v>321</v>
      </c>
      <c r="F579" t="s">
        <v>215</v>
      </c>
      <c r="G579" t="s">
        <v>219</v>
      </c>
      <c r="H579">
        <f>VLOOKUP(C579,'TB Apr 24'!$B$13:$N$103,13,0)</f>
        <v>0</v>
      </c>
    </row>
    <row r="580" spans="1:8" x14ac:dyDescent="0.35">
      <c r="A580" s="77">
        <v>45383</v>
      </c>
      <c r="B580" s="3" t="s">
        <v>108</v>
      </c>
      <c r="C580" s="4" t="s">
        <v>109</v>
      </c>
      <c r="D580" s="4" t="s">
        <v>314</v>
      </c>
      <c r="E580" s="4" t="s">
        <v>321</v>
      </c>
      <c r="F580" t="s">
        <v>215</v>
      </c>
      <c r="G580" t="s">
        <v>219</v>
      </c>
      <c r="H580">
        <f>VLOOKUP(C580,'TB Apr 24'!$B$13:$N$103,13,0)</f>
        <v>62</v>
      </c>
    </row>
    <row r="581" spans="1:8" x14ac:dyDescent="0.35">
      <c r="A581" s="77">
        <v>45383</v>
      </c>
      <c r="B581" s="3" t="s">
        <v>110</v>
      </c>
      <c r="C581" s="4" t="s">
        <v>111</v>
      </c>
      <c r="D581" s="4" t="s">
        <v>314</v>
      </c>
      <c r="E581" s="4" t="s">
        <v>320</v>
      </c>
      <c r="F581" t="s">
        <v>215</v>
      </c>
      <c r="G581" t="s">
        <v>219</v>
      </c>
      <c r="H581">
        <f>VLOOKUP(C581,'TB Apr 24'!$B$13:$N$103,13,0)</f>
        <v>0</v>
      </c>
    </row>
    <row r="582" spans="1:8" x14ac:dyDescent="0.35">
      <c r="A582" s="77">
        <v>45383</v>
      </c>
      <c r="B582" s="3" t="s">
        <v>112</v>
      </c>
      <c r="C582" s="4" t="s">
        <v>113</v>
      </c>
      <c r="D582" s="4" t="s">
        <v>314</v>
      </c>
      <c r="E582" s="4" t="s">
        <v>321</v>
      </c>
      <c r="F582" t="s">
        <v>215</v>
      </c>
      <c r="G582" t="s">
        <v>219</v>
      </c>
      <c r="H582">
        <f>VLOOKUP(C582,'TB Apr 24'!$B$13:$N$103,13,0)</f>
        <v>3250</v>
      </c>
    </row>
    <row r="583" spans="1:8" x14ac:dyDescent="0.35">
      <c r="A583" s="77">
        <v>45383</v>
      </c>
      <c r="B583" s="3" t="s">
        <v>311</v>
      </c>
      <c r="C583" s="4" t="s">
        <v>312</v>
      </c>
      <c r="D583" s="4" t="s">
        <v>314</v>
      </c>
      <c r="E583" s="4" t="s">
        <v>288</v>
      </c>
      <c r="F583" t="s">
        <v>215</v>
      </c>
      <c r="G583" t="s">
        <v>219</v>
      </c>
      <c r="H583">
        <f>VLOOKUP(C583,'TB Apr 24'!$B$13:$N$103,13,0)</f>
        <v>0</v>
      </c>
    </row>
    <row r="584" spans="1:8" x14ac:dyDescent="0.35">
      <c r="A584" s="77">
        <v>45383</v>
      </c>
      <c r="B584" s="3" t="s">
        <v>114</v>
      </c>
      <c r="C584" s="4" t="s">
        <v>115</v>
      </c>
      <c r="D584" s="4" t="s">
        <v>314</v>
      </c>
      <c r="E584" s="4" t="s">
        <v>294</v>
      </c>
      <c r="F584" t="s">
        <v>215</v>
      </c>
      <c r="G584" t="s">
        <v>219</v>
      </c>
      <c r="H584">
        <f>VLOOKUP(C584,'TB Apr 24'!$B$13:$N$103,13,0)</f>
        <v>0</v>
      </c>
    </row>
    <row r="585" spans="1:8" x14ac:dyDescent="0.35">
      <c r="A585" s="77">
        <v>45383</v>
      </c>
      <c r="B585" s="3" t="s">
        <v>116</v>
      </c>
      <c r="C585" s="4" t="s">
        <v>117</v>
      </c>
      <c r="D585" s="4" t="s">
        <v>314</v>
      </c>
      <c r="E585" s="4" t="s">
        <v>296</v>
      </c>
      <c r="F585" t="s">
        <v>215</v>
      </c>
      <c r="G585" t="s">
        <v>219</v>
      </c>
      <c r="H585">
        <f>VLOOKUP(C585,'TB Apr 24'!$B$13:$N$103,13,0)</f>
        <v>0</v>
      </c>
    </row>
    <row r="586" spans="1:8" x14ac:dyDescent="0.35">
      <c r="A586" s="77">
        <v>45383</v>
      </c>
      <c r="B586" s="3" t="s">
        <v>118</v>
      </c>
      <c r="C586" s="4" t="s">
        <v>119</v>
      </c>
      <c r="D586" s="4" t="s">
        <v>314</v>
      </c>
      <c r="E586" s="4" t="s">
        <v>296</v>
      </c>
      <c r="F586" t="s">
        <v>215</v>
      </c>
      <c r="G586" t="s">
        <v>219</v>
      </c>
      <c r="H586">
        <f>VLOOKUP(C586,'TB Apr 24'!$B$13:$N$103,13,0)</f>
        <v>0</v>
      </c>
    </row>
    <row r="587" spans="1:8" x14ac:dyDescent="0.35">
      <c r="A587" s="77">
        <v>45383</v>
      </c>
      <c r="B587" s="3" t="s">
        <v>120</v>
      </c>
      <c r="C587" s="4" t="s">
        <v>121</v>
      </c>
      <c r="D587" s="4" t="s">
        <v>314</v>
      </c>
      <c r="E587" s="4" t="s">
        <v>322</v>
      </c>
      <c r="F587" t="s">
        <v>215</v>
      </c>
      <c r="G587" t="s">
        <v>219</v>
      </c>
      <c r="H587">
        <f>VLOOKUP(C587,'TB Apr 24'!$B$13:$N$103,13,0)</f>
        <v>4904</v>
      </c>
    </row>
    <row r="588" spans="1:8" x14ac:dyDescent="0.35">
      <c r="A588" s="77">
        <v>45383</v>
      </c>
      <c r="B588" s="3" t="s">
        <v>122</v>
      </c>
      <c r="C588" s="4" t="s">
        <v>123</v>
      </c>
      <c r="D588" s="4" t="s">
        <v>314</v>
      </c>
      <c r="E588" s="4" t="s">
        <v>322</v>
      </c>
      <c r="F588" t="s">
        <v>215</v>
      </c>
      <c r="G588" t="s">
        <v>219</v>
      </c>
      <c r="H588">
        <f>VLOOKUP(C588,'TB Apr 24'!$B$13:$N$103,13,0)</f>
        <v>0</v>
      </c>
    </row>
    <row r="589" spans="1:8" x14ac:dyDescent="0.35">
      <c r="A589" s="77">
        <v>45383</v>
      </c>
      <c r="B589" s="3" t="s">
        <v>124</v>
      </c>
      <c r="C589" s="4" t="s">
        <v>125</v>
      </c>
      <c r="D589" s="4" t="s">
        <v>314</v>
      </c>
      <c r="E589" s="4" t="s">
        <v>322</v>
      </c>
      <c r="F589" t="s">
        <v>215</v>
      </c>
      <c r="G589" t="s">
        <v>219</v>
      </c>
      <c r="H589">
        <f>VLOOKUP(C589,'TB Apr 24'!$B$13:$N$103,13,0)</f>
        <v>0</v>
      </c>
    </row>
    <row r="590" spans="1:8" x14ac:dyDescent="0.35">
      <c r="A590" s="77">
        <v>45383</v>
      </c>
      <c r="B590" s="3" t="s">
        <v>126</v>
      </c>
      <c r="C590" s="4" t="s">
        <v>127</v>
      </c>
      <c r="D590" s="4" t="s">
        <v>314</v>
      </c>
      <c r="E590" s="4" t="s">
        <v>291</v>
      </c>
      <c r="F590" t="s">
        <v>215</v>
      </c>
      <c r="G590" t="s">
        <v>219</v>
      </c>
      <c r="H590">
        <f>VLOOKUP(C590,'TB Apr 24'!$B$13:$N$103,13,0)</f>
        <v>0</v>
      </c>
    </row>
    <row r="591" spans="1:8" x14ac:dyDescent="0.35">
      <c r="A591" s="77">
        <v>45383</v>
      </c>
      <c r="B591" s="3" t="s">
        <v>128</v>
      </c>
      <c r="C591" s="4" t="s">
        <v>129</v>
      </c>
      <c r="D591" s="4" t="s">
        <v>314</v>
      </c>
      <c r="E591" s="4" t="s">
        <v>322</v>
      </c>
      <c r="F591" t="s">
        <v>215</v>
      </c>
      <c r="G591" t="s">
        <v>219</v>
      </c>
      <c r="H591">
        <f>VLOOKUP(C591,'TB Apr 24'!$B$13:$N$103,13,0)</f>
        <v>8439.5</v>
      </c>
    </row>
    <row r="592" spans="1:8" x14ac:dyDescent="0.35">
      <c r="A592" s="77">
        <v>45383</v>
      </c>
      <c r="B592" s="3" t="s">
        <v>130</v>
      </c>
      <c r="C592" s="4" t="s">
        <v>131</v>
      </c>
      <c r="D592" s="4" t="s">
        <v>314</v>
      </c>
      <c r="E592" s="4" t="s">
        <v>322</v>
      </c>
      <c r="F592" t="s">
        <v>215</v>
      </c>
      <c r="G592" t="s">
        <v>219</v>
      </c>
      <c r="H592">
        <f>VLOOKUP(C592,'TB Apr 24'!$B$13:$N$103,13,0)</f>
        <v>0</v>
      </c>
    </row>
    <row r="593" spans="1:8" x14ac:dyDescent="0.35">
      <c r="A593" s="77">
        <v>45383</v>
      </c>
      <c r="B593" s="3" t="s">
        <v>132</v>
      </c>
      <c r="C593" s="4" t="s">
        <v>133</v>
      </c>
      <c r="D593" s="4" t="s">
        <v>314</v>
      </c>
      <c r="E593" s="4" t="s">
        <v>320</v>
      </c>
      <c r="F593" t="s">
        <v>215</v>
      </c>
      <c r="G593" t="s">
        <v>219</v>
      </c>
      <c r="H593">
        <f>VLOOKUP(C593,'TB Apr 24'!$B$13:$N$103,13,0)</f>
        <v>13209.25</v>
      </c>
    </row>
    <row r="594" spans="1:8" x14ac:dyDescent="0.35">
      <c r="A594" s="77">
        <v>45383</v>
      </c>
      <c r="B594" s="3" t="s">
        <v>134</v>
      </c>
      <c r="C594" s="4" t="s">
        <v>135</v>
      </c>
      <c r="D594" s="4" t="s">
        <v>314</v>
      </c>
      <c r="E594" s="4" t="s">
        <v>299</v>
      </c>
      <c r="F594" t="s">
        <v>215</v>
      </c>
      <c r="G594" t="s">
        <v>219</v>
      </c>
      <c r="H594">
        <f>VLOOKUP(C594,'TB Apr 24'!$B$13:$N$103,13,0)</f>
        <v>0</v>
      </c>
    </row>
    <row r="595" spans="1:8" x14ac:dyDescent="0.35">
      <c r="A595" s="77">
        <v>45383</v>
      </c>
      <c r="B595" s="3" t="s">
        <v>136</v>
      </c>
      <c r="C595" s="4" t="s">
        <v>137</v>
      </c>
      <c r="D595" s="4" t="s">
        <v>314</v>
      </c>
      <c r="E595" s="4" t="s">
        <v>322</v>
      </c>
      <c r="F595" t="s">
        <v>215</v>
      </c>
      <c r="G595" t="s">
        <v>219</v>
      </c>
      <c r="H595">
        <f>VLOOKUP(C595,'TB Apr 24'!$B$13:$N$103,13,0)</f>
        <v>0</v>
      </c>
    </row>
    <row r="596" spans="1:8" x14ac:dyDescent="0.35">
      <c r="A596" s="77">
        <v>45383</v>
      </c>
      <c r="B596" s="3" t="s">
        <v>138</v>
      </c>
      <c r="C596" s="4" t="s">
        <v>139</v>
      </c>
      <c r="D596" s="4" t="s">
        <v>314</v>
      </c>
      <c r="E596" s="4" t="s">
        <v>294</v>
      </c>
      <c r="F596" t="s">
        <v>215</v>
      </c>
      <c r="G596" t="s">
        <v>219</v>
      </c>
      <c r="H596">
        <f>VLOOKUP(C596,'TB Apr 24'!$B$13:$N$103,13,0)</f>
        <v>7188.9</v>
      </c>
    </row>
    <row r="597" spans="1:8" x14ac:dyDescent="0.35">
      <c r="A597" s="77">
        <v>45383</v>
      </c>
      <c r="B597" s="3" t="s">
        <v>140</v>
      </c>
      <c r="C597" s="4" t="s">
        <v>141</v>
      </c>
      <c r="D597" s="4" t="s">
        <v>314</v>
      </c>
      <c r="E597" s="4" t="s">
        <v>268</v>
      </c>
      <c r="F597" t="s">
        <v>215</v>
      </c>
      <c r="G597" t="s">
        <v>219</v>
      </c>
      <c r="H597">
        <f>VLOOKUP(C597,'TB Apr 24'!$B$13:$N$103,13,0)</f>
        <v>293750.2194</v>
      </c>
    </row>
    <row r="598" spans="1:8" x14ac:dyDescent="0.35">
      <c r="A598" s="77">
        <v>45383</v>
      </c>
      <c r="B598" s="3" t="s">
        <v>142</v>
      </c>
      <c r="C598" s="4" t="s">
        <v>143</v>
      </c>
      <c r="D598" s="4" t="s">
        <v>314</v>
      </c>
      <c r="E598" s="4" t="s">
        <v>269</v>
      </c>
      <c r="F598" t="s">
        <v>215</v>
      </c>
      <c r="G598" t="s">
        <v>219</v>
      </c>
      <c r="H598">
        <f>VLOOKUP(C598,'TB Apr 24'!$B$13:$N$103,13,0)</f>
        <v>72886</v>
      </c>
    </row>
    <row r="599" spans="1:8" x14ac:dyDescent="0.35">
      <c r="A599" s="77">
        <v>45383</v>
      </c>
      <c r="B599" s="3" t="s">
        <v>144</v>
      </c>
      <c r="C599" s="4" t="s">
        <v>145</v>
      </c>
      <c r="D599" s="4" t="s">
        <v>314</v>
      </c>
      <c r="E599" s="4" t="s">
        <v>288</v>
      </c>
      <c r="F599" t="s">
        <v>215</v>
      </c>
      <c r="G599" t="s">
        <v>219</v>
      </c>
      <c r="H599">
        <f>VLOOKUP(C599,'TB Apr 24'!$B$13:$N$103,13,0)</f>
        <v>47144</v>
      </c>
    </row>
    <row r="600" spans="1:8" x14ac:dyDescent="0.35">
      <c r="A600" s="77">
        <v>45383</v>
      </c>
      <c r="B600" s="3" t="s">
        <v>146</v>
      </c>
      <c r="C600" s="4" t="s">
        <v>147</v>
      </c>
      <c r="D600" s="4" t="s">
        <v>314</v>
      </c>
      <c r="E600" s="4" t="s">
        <v>288</v>
      </c>
      <c r="F600" t="s">
        <v>215</v>
      </c>
      <c r="G600" t="s">
        <v>219</v>
      </c>
      <c r="H600">
        <f>VLOOKUP(C600,'TB Apr 24'!$B$13:$N$103,13,0)</f>
        <v>18981.666666666668</v>
      </c>
    </row>
    <row r="601" spans="1:8" x14ac:dyDescent="0.35">
      <c r="A601" s="77">
        <v>45383</v>
      </c>
      <c r="B601" s="3" t="s">
        <v>148</v>
      </c>
      <c r="C601" s="4" t="s">
        <v>149</v>
      </c>
      <c r="D601" s="4" t="s">
        <v>314</v>
      </c>
      <c r="E601" s="4" t="s">
        <v>287</v>
      </c>
      <c r="F601" t="s">
        <v>215</v>
      </c>
      <c r="G601" t="s">
        <v>219</v>
      </c>
      <c r="H601">
        <f>VLOOKUP(C601,'TB Apr 24'!$B$13:$N$103,13,0)</f>
        <v>53815.5</v>
      </c>
    </row>
    <row r="602" spans="1:8" x14ac:dyDescent="0.35">
      <c r="A602" s="77">
        <v>45383</v>
      </c>
      <c r="B602" s="3" t="s">
        <v>150</v>
      </c>
      <c r="C602" s="4" t="s">
        <v>87</v>
      </c>
      <c r="D602" s="4" t="s">
        <v>314</v>
      </c>
      <c r="E602" s="4" t="s">
        <v>288</v>
      </c>
      <c r="F602" t="s">
        <v>215</v>
      </c>
      <c r="G602" t="s">
        <v>219</v>
      </c>
      <c r="H602">
        <f>VLOOKUP(C602,'TB Apr 24'!$B$13:$N$103,13,0)</f>
        <v>61542.5</v>
      </c>
    </row>
    <row r="603" spans="1:8" x14ac:dyDescent="0.35">
      <c r="A603" s="77">
        <v>45383</v>
      </c>
      <c r="B603" s="3" t="s">
        <v>151</v>
      </c>
      <c r="C603" s="4" t="s">
        <v>152</v>
      </c>
      <c r="D603" s="4" t="s">
        <v>314</v>
      </c>
      <c r="E603" s="4" t="s">
        <v>288</v>
      </c>
      <c r="F603" t="s">
        <v>215</v>
      </c>
      <c r="G603" t="s">
        <v>219</v>
      </c>
      <c r="H603">
        <f>VLOOKUP(C603,'TB Apr 24'!$B$13:$N$103,13,0)</f>
        <v>4116</v>
      </c>
    </row>
    <row r="604" spans="1:8" x14ac:dyDescent="0.35">
      <c r="A604" s="77">
        <v>45383</v>
      </c>
      <c r="B604" s="3" t="s">
        <v>153</v>
      </c>
      <c r="C604" s="4" t="s">
        <v>154</v>
      </c>
      <c r="D604" s="4" t="s">
        <v>314</v>
      </c>
      <c r="E604" s="4" t="s">
        <v>288</v>
      </c>
      <c r="F604" t="s">
        <v>215</v>
      </c>
      <c r="G604" t="s">
        <v>219</v>
      </c>
      <c r="H604">
        <f>VLOOKUP(C604,'TB Apr 24'!$B$13:$N$103,13,0)</f>
        <v>11236.34</v>
      </c>
    </row>
    <row r="605" spans="1:8" x14ac:dyDescent="0.35">
      <c r="A605" s="77">
        <v>45383</v>
      </c>
      <c r="B605" s="3" t="s">
        <v>155</v>
      </c>
      <c r="C605" s="4" t="s">
        <v>156</v>
      </c>
      <c r="D605" s="4" t="s">
        <v>314</v>
      </c>
      <c r="E605" s="4" t="s">
        <v>288</v>
      </c>
      <c r="F605" t="s">
        <v>215</v>
      </c>
      <c r="G605" t="s">
        <v>219</v>
      </c>
      <c r="H605">
        <f>VLOOKUP(C605,'TB Apr 24'!$B$13:$N$103,13,0)</f>
        <v>4476.01</v>
      </c>
    </row>
    <row r="606" spans="1:8" x14ac:dyDescent="0.35">
      <c r="A606" s="77">
        <v>45383</v>
      </c>
      <c r="B606" s="3" t="s">
        <v>157</v>
      </c>
      <c r="C606" s="4" t="s">
        <v>158</v>
      </c>
      <c r="D606" s="4" t="s">
        <v>314</v>
      </c>
      <c r="E606" s="4" t="s">
        <v>292</v>
      </c>
      <c r="F606" t="s">
        <v>215</v>
      </c>
      <c r="G606" t="s">
        <v>219</v>
      </c>
      <c r="H606">
        <f>VLOOKUP(C606,'TB Apr 24'!$B$13:$N$103,13,0)</f>
        <v>0</v>
      </c>
    </row>
    <row r="607" spans="1:8" x14ac:dyDescent="0.35">
      <c r="A607" s="77">
        <v>45383</v>
      </c>
      <c r="B607" s="3" t="s">
        <v>159</v>
      </c>
      <c r="C607" s="4" t="s">
        <v>160</v>
      </c>
      <c r="D607" s="4" t="s">
        <v>314</v>
      </c>
      <c r="E607" s="4" t="s">
        <v>323</v>
      </c>
      <c r="F607" t="s">
        <v>215</v>
      </c>
      <c r="G607" t="s">
        <v>219</v>
      </c>
      <c r="H607">
        <f>VLOOKUP(C607,'TB Apr 24'!$B$13:$N$103,13,0)</f>
        <v>18470</v>
      </c>
    </row>
    <row r="608" spans="1:8" x14ac:dyDescent="0.35">
      <c r="A608" s="77">
        <v>45383</v>
      </c>
      <c r="B608" s="3" t="s">
        <v>161</v>
      </c>
      <c r="C608" s="4" t="s">
        <v>162</v>
      </c>
      <c r="D608" s="4" t="s">
        <v>314</v>
      </c>
      <c r="E608" s="4" t="s">
        <v>323</v>
      </c>
      <c r="F608" t="s">
        <v>215</v>
      </c>
      <c r="G608" t="s">
        <v>219</v>
      </c>
      <c r="H608">
        <f>VLOOKUP(C608,'TB Apr 24'!$B$13:$N$103,13,0)</f>
        <v>0</v>
      </c>
    </row>
    <row r="609" spans="1:8" x14ac:dyDescent="0.35">
      <c r="A609" s="77">
        <v>45383</v>
      </c>
      <c r="B609" s="3" t="s">
        <v>163</v>
      </c>
      <c r="C609" s="4" t="s">
        <v>164</v>
      </c>
      <c r="D609" s="4" t="s">
        <v>314</v>
      </c>
      <c r="E609" s="4" t="s">
        <v>319</v>
      </c>
      <c r="F609" t="s">
        <v>215</v>
      </c>
      <c r="G609" t="s">
        <v>219</v>
      </c>
      <c r="H609">
        <f>VLOOKUP(C609,'TB Apr 24'!$B$13:$N$103,13,0)</f>
        <v>0</v>
      </c>
    </row>
    <row r="610" spans="1:8" x14ac:dyDescent="0.35">
      <c r="A610" s="77">
        <v>45383</v>
      </c>
      <c r="B610" s="3" t="s">
        <v>165</v>
      </c>
      <c r="C610" s="4" t="s">
        <v>166</v>
      </c>
      <c r="D610" s="4" t="s">
        <v>314</v>
      </c>
      <c r="E610" s="4" t="s">
        <v>304</v>
      </c>
      <c r="F610" t="s">
        <v>215</v>
      </c>
      <c r="G610" t="s">
        <v>219</v>
      </c>
      <c r="H610">
        <f>VLOOKUP(C610,'TB Apr 24'!$B$13:$N$103,13,0)</f>
        <v>10491</v>
      </c>
    </row>
    <row r="611" spans="1:8" x14ac:dyDescent="0.35">
      <c r="A611" s="77">
        <v>45383</v>
      </c>
      <c r="B611" s="3" t="s">
        <v>167</v>
      </c>
      <c r="C611" s="4" t="s">
        <v>168</v>
      </c>
      <c r="D611" s="4" t="s">
        <v>314</v>
      </c>
      <c r="E611" s="4" t="s">
        <v>322</v>
      </c>
      <c r="F611" t="s">
        <v>215</v>
      </c>
      <c r="G611" t="s">
        <v>219</v>
      </c>
      <c r="H611">
        <f>VLOOKUP(C611,'TB Apr 24'!$B$13:$N$103,13,0)</f>
        <v>8695</v>
      </c>
    </row>
    <row r="612" spans="1:8" x14ac:dyDescent="0.35">
      <c r="A612" s="77">
        <v>45383</v>
      </c>
      <c r="B612" s="3" t="s">
        <v>169</v>
      </c>
      <c r="C612" s="4" t="s">
        <v>170</v>
      </c>
      <c r="D612" s="4" t="s">
        <v>314</v>
      </c>
      <c r="E612" s="4" t="s">
        <v>304</v>
      </c>
      <c r="F612" t="s">
        <v>215</v>
      </c>
      <c r="G612" t="s">
        <v>219</v>
      </c>
      <c r="H612">
        <f>VLOOKUP(C612,'TB Apr 24'!$B$13:$N$103,13,0)</f>
        <v>3982.5</v>
      </c>
    </row>
    <row r="613" spans="1:8" x14ac:dyDescent="0.35">
      <c r="A613" s="77">
        <v>45383</v>
      </c>
      <c r="B613" s="3" t="s">
        <v>171</v>
      </c>
      <c r="C613" s="4" t="s">
        <v>172</v>
      </c>
      <c r="D613" s="4" t="s">
        <v>314</v>
      </c>
      <c r="E613" s="4" t="s">
        <v>303</v>
      </c>
      <c r="F613" t="s">
        <v>215</v>
      </c>
      <c r="G613" t="s">
        <v>219</v>
      </c>
      <c r="H613">
        <f>VLOOKUP(C613,'TB Apr 24'!$B$13:$N$103,13,0)</f>
        <v>0</v>
      </c>
    </row>
    <row r="614" spans="1:8" x14ac:dyDescent="0.35">
      <c r="A614" s="77">
        <v>45383</v>
      </c>
      <c r="B614" s="3" t="s">
        <v>173</v>
      </c>
      <c r="C614" s="4" t="s">
        <v>174</v>
      </c>
      <c r="D614" s="4" t="s">
        <v>314</v>
      </c>
      <c r="E614" s="4" t="s">
        <v>257</v>
      </c>
      <c r="F614" t="s">
        <v>215</v>
      </c>
      <c r="G614" t="s">
        <v>219</v>
      </c>
      <c r="H614">
        <f>VLOOKUP(C614,'TB Apr 24'!$B$13:$N$103,13,0)</f>
        <v>0</v>
      </c>
    </row>
    <row r="615" spans="1:8" x14ac:dyDescent="0.35">
      <c r="A615" s="77">
        <v>45383</v>
      </c>
      <c r="B615" s="3" t="s">
        <v>175</v>
      </c>
      <c r="C615" s="4" t="s">
        <v>176</v>
      </c>
      <c r="D615" s="4" t="s">
        <v>314</v>
      </c>
      <c r="E615" s="4" t="s">
        <v>257</v>
      </c>
      <c r="F615" t="s">
        <v>215</v>
      </c>
      <c r="G615" t="s">
        <v>219</v>
      </c>
      <c r="H615">
        <f>VLOOKUP(C615,'TB Apr 24'!$B$13:$N$103,13,0)</f>
        <v>0</v>
      </c>
    </row>
    <row r="616" spans="1:8" x14ac:dyDescent="0.35">
      <c r="A616" s="77">
        <v>45383</v>
      </c>
      <c r="B616" s="3" t="s">
        <v>177</v>
      </c>
      <c r="C616" s="4" t="s">
        <v>178</v>
      </c>
      <c r="D616" s="4" t="s">
        <v>314</v>
      </c>
      <c r="E616" s="4" t="s">
        <v>257</v>
      </c>
      <c r="F616" t="s">
        <v>215</v>
      </c>
      <c r="G616" t="s">
        <v>219</v>
      </c>
      <c r="H616">
        <f>VLOOKUP(C616,'TB Apr 24'!$B$13:$N$103,13,0)</f>
        <v>0</v>
      </c>
    </row>
    <row r="617" spans="1:8" x14ac:dyDescent="0.35">
      <c r="A617" s="77">
        <v>45383</v>
      </c>
      <c r="B617" s="3" t="s">
        <v>179</v>
      </c>
      <c r="C617" s="4" t="s">
        <v>180</v>
      </c>
      <c r="D617" s="4" t="s">
        <v>314</v>
      </c>
      <c r="E617" s="4" t="s">
        <v>322</v>
      </c>
      <c r="F617" t="s">
        <v>215</v>
      </c>
      <c r="G617" t="s">
        <v>219</v>
      </c>
      <c r="H617">
        <f>VLOOKUP(C617,'TB Apr 24'!$B$13:$N$103,13,0)</f>
        <v>0</v>
      </c>
    </row>
    <row r="618" spans="1:8" x14ac:dyDescent="0.35">
      <c r="A618" s="77">
        <v>45383</v>
      </c>
      <c r="B618" s="3" t="s">
        <v>181</v>
      </c>
      <c r="C618" s="4" t="s">
        <v>182</v>
      </c>
      <c r="D618" s="4" t="s">
        <v>314</v>
      </c>
      <c r="E618" s="4" t="s">
        <v>290</v>
      </c>
      <c r="F618" t="s">
        <v>215</v>
      </c>
      <c r="G618" t="s">
        <v>219</v>
      </c>
      <c r="H618">
        <f>VLOOKUP(C618,'TB Apr 24'!$B$13:$N$103,13,0)</f>
        <v>0</v>
      </c>
    </row>
    <row r="619" spans="1:8" x14ac:dyDescent="0.35">
      <c r="A619" s="77">
        <v>45383</v>
      </c>
      <c r="B619" s="3" t="s">
        <v>183</v>
      </c>
      <c r="C619" s="4" t="s">
        <v>184</v>
      </c>
      <c r="D619" s="4" t="s">
        <v>314</v>
      </c>
      <c r="E619" s="4" t="s">
        <v>290</v>
      </c>
      <c r="F619" t="s">
        <v>215</v>
      </c>
      <c r="G619" t="s">
        <v>219</v>
      </c>
      <c r="H619">
        <f>VLOOKUP(C619,'TB Apr 24'!$B$13:$N$103,13,0)</f>
        <v>2700</v>
      </c>
    </row>
    <row r="620" spans="1:8" x14ac:dyDescent="0.35">
      <c r="A620" s="77">
        <v>45383</v>
      </c>
      <c r="B620" s="3" t="s">
        <v>185</v>
      </c>
      <c r="C620" s="4" t="s">
        <v>186</v>
      </c>
      <c r="D620" s="4" t="s">
        <v>314</v>
      </c>
      <c r="E620" s="4" t="s">
        <v>290</v>
      </c>
      <c r="F620" t="s">
        <v>215</v>
      </c>
      <c r="G620" t="s">
        <v>219</v>
      </c>
      <c r="H620">
        <f>VLOOKUP(C620,'TB Apr 24'!$B$13:$N$103,13,0)</f>
        <v>74998.5</v>
      </c>
    </row>
    <row r="621" spans="1:8" x14ac:dyDescent="0.35">
      <c r="A621" s="77">
        <v>45383</v>
      </c>
      <c r="B621" s="3" t="s">
        <v>187</v>
      </c>
      <c r="C621" s="4" t="s">
        <v>188</v>
      </c>
      <c r="D621" s="4" t="s">
        <v>314</v>
      </c>
      <c r="E621" s="4" t="s">
        <v>291</v>
      </c>
      <c r="F621" t="s">
        <v>215</v>
      </c>
      <c r="G621" t="s">
        <v>219</v>
      </c>
      <c r="H621">
        <f>VLOOKUP(C621,'TB Apr 24'!$B$13:$N$103,13,0)</f>
        <v>95093.549999999988</v>
      </c>
    </row>
    <row r="622" spans="1:8" x14ac:dyDescent="0.35">
      <c r="A622" s="77">
        <v>45383</v>
      </c>
      <c r="B622" s="3" t="s">
        <v>189</v>
      </c>
      <c r="C622" s="4" t="s">
        <v>190</v>
      </c>
      <c r="D622" s="4" t="s">
        <v>314</v>
      </c>
      <c r="E622" s="4" t="s">
        <v>254</v>
      </c>
      <c r="F622" t="s">
        <v>215</v>
      </c>
      <c r="G622" t="s">
        <v>219</v>
      </c>
      <c r="H622">
        <f>VLOOKUP(C622,'TB Apr 24'!$B$13:$N$103,13,0)</f>
        <v>0</v>
      </c>
    </row>
    <row r="623" spans="1:8" x14ac:dyDescent="0.35">
      <c r="A623" s="77">
        <v>45383</v>
      </c>
      <c r="B623" s="3" t="s">
        <v>191</v>
      </c>
      <c r="C623" s="4" t="s">
        <v>192</v>
      </c>
      <c r="D623" s="4" t="s">
        <v>314</v>
      </c>
      <c r="E623" s="4" t="s">
        <v>254</v>
      </c>
      <c r="F623" t="s">
        <v>215</v>
      </c>
      <c r="G623" t="s">
        <v>219</v>
      </c>
      <c r="H623">
        <f>VLOOKUP(C623,'TB Apr 24'!$B$13:$N$103,13,0)</f>
        <v>0</v>
      </c>
    </row>
    <row r="624" spans="1:8" x14ac:dyDescent="0.35">
      <c r="A624" s="77">
        <v>45383</v>
      </c>
      <c r="B624" s="3" t="s">
        <v>193</v>
      </c>
      <c r="C624" s="4" t="s">
        <v>194</v>
      </c>
      <c r="D624" s="4" t="s">
        <v>314</v>
      </c>
      <c r="E624" s="4" t="s">
        <v>254</v>
      </c>
      <c r="F624" t="s">
        <v>215</v>
      </c>
      <c r="G624" t="s">
        <v>219</v>
      </c>
      <c r="H624">
        <f>VLOOKUP(C624,'TB Apr 24'!$B$13:$N$103,13,0)</f>
        <v>912032.348965741</v>
      </c>
    </row>
    <row r="625" spans="1:8" x14ac:dyDescent="0.35">
      <c r="A625" s="77">
        <v>45383</v>
      </c>
      <c r="B625" s="3" t="s">
        <v>195</v>
      </c>
      <c r="C625" s="4" t="s">
        <v>196</v>
      </c>
      <c r="D625" s="4" t="s">
        <v>314</v>
      </c>
      <c r="E625" s="4" t="s">
        <v>255</v>
      </c>
      <c r="F625" t="s">
        <v>215</v>
      </c>
      <c r="G625" t="s">
        <v>219</v>
      </c>
      <c r="H625">
        <f>VLOOKUP(C625,'TB Apr 24'!$B$13:$N$103,13,0)</f>
        <v>0</v>
      </c>
    </row>
    <row r="626" spans="1:8" x14ac:dyDescent="0.35">
      <c r="A626" s="77">
        <v>45383</v>
      </c>
      <c r="B626" s="3" t="s">
        <v>197</v>
      </c>
      <c r="C626" s="4" t="s">
        <v>198</v>
      </c>
      <c r="D626" s="4" t="s">
        <v>314</v>
      </c>
      <c r="E626" s="4" t="s">
        <v>255</v>
      </c>
      <c r="F626" t="s">
        <v>215</v>
      </c>
      <c r="G626" t="s">
        <v>219</v>
      </c>
      <c r="H626">
        <f>VLOOKUP(C626,'TB Apr 24'!$B$13:$N$103,13,0)</f>
        <v>0</v>
      </c>
    </row>
    <row r="627" spans="1:8" x14ac:dyDescent="0.35">
      <c r="A627" s="77">
        <v>45383</v>
      </c>
      <c r="B627" s="3" t="s">
        <v>199</v>
      </c>
      <c r="C627" s="4" t="s">
        <v>200</v>
      </c>
      <c r="D627" s="4" t="s">
        <v>314</v>
      </c>
      <c r="E627" s="4" t="s">
        <v>254</v>
      </c>
      <c r="F627" t="s">
        <v>215</v>
      </c>
      <c r="G627" t="s">
        <v>219</v>
      </c>
      <c r="H627">
        <f>VLOOKUP(C627,'TB Apr 24'!$B$13:$N$103,13,0)</f>
        <v>0</v>
      </c>
    </row>
    <row r="628" spans="1:8" x14ac:dyDescent="0.35">
      <c r="A628" s="77">
        <v>45383</v>
      </c>
      <c r="B628" s="3" t="s">
        <v>201</v>
      </c>
      <c r="C628" s="4" t="s">
        <v>202</v>
      </c>
      <c r="D628" s="4" t="s">
        <v>314</v>
      </c>
      <c r="E628" s="4" t="s">
        <v>254</v>
      </c>
      <c r="F628" t="s">
        <v>215</v>
      </c>
      <c r="G628" t="s">
        <v>219</v>
      </c>
      <c r="H628">
        <f>VLOOKUP(C628,'TB Apr 24'!$B$13:$N$103,13,0)</f>
        <v>0</v>
      </c>
    </row>
    <row r="629" spans="1:8" x14ac:dyDescent="0.35">
      <c r="A629" s="77">
        <v>45383</v>
      </c>
      <c r="B629" s="3" t="s">
        <v>203</v>
      </c>
      <c r="C629" s="4" t="s">
        <v>204</v>
      </c>
      <c r="D629" s="4" t="s">
        <v>314</v>
      </c>
      <c r="E629" s="4" t="s">
        <v>256</v>
      </c>
      <c r="F629" t="s">
        <v>215</v>
      </c>
      <c r="G629" t="s">
        <v>219</v>
      </c>
      <c r="H629">
        <f>VLOOKUP(C629,'TB Apr 24'!$B$13:$N$103,13,0)</f>
        <v>139575.54809999999</v>
      </c>
    </row>
    <row r="630" spans="1:8" x14ac:dyDescent="0.35">
      <c r="A630" s="77">
        <v>45383</v>
      </c>
      <c r="B630" s="3" t="s">
        <v>205</v>
      </c>
      <c r="C630" s="6" t="s">
        <v>206</v>
      </c>
      <c r="D630" s="4" t="s">
        <v>314</v>
      </c>
      <c r="E630" s="6" t="s">
        <v>322</v>
      </c>
      <c r="F630" s="79" t="s">
        <v>215</v>
      </c>
      <c r="G630" s="79" t="s">
        <v>219</v>
      </c>
      <c r="H630" s="79">
        <f>VLOOKUP(C630,'TB Apr 24'!$B$13:$N$103,13,0)</f>
        <v>0</v>
      </c>
    </row>
    <row r="631" spans="1:8" x14ac:dyDescent="0.35">
      <c r="A631" s="77">
        <v>45383</v>
      </c>
      <c r="B631" s="3" t="s">
        <v>57</v>
      </c>
      <c r="C631" s="4" t="s">
        <v>58</v>
      </c>
      <c r="D631" s="4" t="s">
        <v>314</v>
      </c>
      <c r="E631" s="4" t="s">
        <v>253</v>
      </c>
      <c r="F631" t="s">
        <v>210</v>
      </c>
      <c r="G631" t="s">
        <v>222</v>
      </c>
      <c r="H631">
        <f>VLOOKUP(C631,'TB Apr 24'!$B$13:$O$103,14,0)</f>
        <v>0</v>
      </c>
    </row>
    <row r="632" spans="1:8" x14ac:dyDescent="0.35">
      <c r="A632" s="77">
        <v>45383</v>
      </c>
      <c r="B632" s="3" t="s">
        <v>307</v>
      </c>
      <c r="C632" s="4" t="s">
        <v>308</v>
      </c>
      <c r="D632" s="4" t="s">
        <v>314</v>
      </c>
      <c r="E632" s="4" t="s">
        <v>253</v>
      </c>
      <c r="F632" t="s">
        <v>210</v>
      </c>
      <c r="G632" t="s">
        <v>222</v>
      </c>
      <c r="H632">
        <f>VLOOKUP(C632,'TB Apr 24'!$B$13:$O$103,14,0)</f>
        <v>0</v>
      </c>
    </row>
    <row r="633" spans="1:8" x14ac:dyDescent="0.35">
      <c r="A633" s="77">
        <v>45383</v>
      </c>
      <c r="B633" s="3" t="s">
        <v>59</v>
      </c>
      <c r="C633" s="4" t="s">
        <v>60</v>
      </c>
      <c r="D633" s="4" t="s">
        <v>314</v>
      </c>
      <c r="E633" s="4" t="s">
        <v>253</v>
      </c>
      <c r="F633" t="s">
        <v>210</v>
      </c>
      <c r="G633" t="s">
        <v>222</v>
      </c>
      <c r="H633">
        <f>VLOOKUP(C633,'TB Apr 24'!$B$13:$O$103,14,0)</f>
        <v>0</v>
      </c>
    </row>
    <row r="634" spans="1:8" x14ac:dyDescent="0.35">
      <c r="A634" s="77">
        <v>45383</v>
      </c>
      <c r="B634" s="3" t="s">
        <v>61</v>
      </c>
      <c r="C634" s="4" t="s">
        <v>62</v>
      </c>
      <c r="D634" s="4" t="s">
        <v>314</v>
      </c>
      <c r="E634" s="4" t="s">
        <v>66</v>
      </c>
      <c r="F634" t="s">
        <v>210</v>
      </c>
      <c r="G634" t="s">
        <v>222</v>
      </c>
      <c r="H634">
        <f>VLOOKUP(C634,'TB Apr 24'!$B$13:$O$103,14,0)</f>
        <v>0</v>
      </c>
    </row>
    <row r="635" spans="1:8" x14ac:dyDescent="0.35">
      <c r="A635" s="77">
        <v>45383</v>
      </c>
      <c r="B635" s="3" t="s">
        <v>63</v>
      </c>
      <c r="C635" s="4" t="s">
        <v>64</v>
      </c>
      <c r="D635" s="4" t="s">
        <v>314</v>
      </c>
      <c r="E635" s="4" t="s">
        <v>252</v>
      </c>
      <c r="F635" t="s">
        <v>210</v>
      </c>
      <c r="G635" t="s">
        <v>222</v>
      </c>
      <c r="H635">
        <f>VLOOKUP(C635,'TB Apr 24'!$B$13:$O$103,14,0)</f>
        <v>0</v>
      </c>
    </row>
    <row r="636" spans="1:8" x14ac:dyDescent="0.35">
      <c r="A636" s="77">
        <v>45383</v>
      </c>
      <c r="B636" s="3" t="s">
        <v>65</v>
      </c>
      <c r="C636" s="4" t="s">
        <v>66</v>
      </c>
      <c r="D636" s="4" t="s">
        <v>314</v>
      </c>
      <c r="E636" s="4" t="s">
        <v>66</v>
      </c>
      <c r="F636" t="s">
        <v>210</v>
      </c>
      <c r="G636" t="s">
        <v>222</v>
      </c>
      <c r="H636">
        <f>VLOOKUP(C636,'TB Apr 24'!$B$13:$O$103,14,0)</f>
        <v>0</v>
      </c>
    </row>
    <row r="637" spans="1:8" x14ac:dyDescent="0.35">
      <c r="A637" s="77">
        <v>45383</v>
      </c>
      <c r="B637" s="3" t="s">
        <v>67</v>
      </c>
      <c r="C637" s="4" t="s">
        <v>68</v>
      </c>
      <c r="D637" s="4" t="s">
        <v>314</v>
      </c>
      <c r="E637" s="4" t="s">
        <v>252</v>
      </c>
      <c r="F637" t="s">
        <v>210</v>
      </c>
      <c r="G637" t="s">
        <v>222</v>
      </c>
      <c r="H637">
        <f>VLOOKUP(C637,'TB Apr 24'!$B$13:$O$103,14,0)</f>
        <v>0</v>
      </c>
    </row>
    <row r="638" spans="1:8" x14ac:dyDescent="0.35">
      <c r="A638" s="77">
        <v>45383</v>
      </c>
      <c r="B638" s="3" t="s">
        <v>69</v>
      </c>
      <c r="C638" s="4" t="s">
        <v>70</v>
      </c>
      <c r="D638" s="4" t="s">
        <v>314</v>
      </c>
      <c r="E638" s="4" t="s">
        <v>70</v>
      </c>
      <c r="F638" t="s">
        <v>210</v>
      </c>
      <c r="G638" t="s">
        <v>222</v>
      </c>
      <c r="H638">
        <f>VLOOKUP(C638,'TB Apr 24'!$B$13:$O$103,14,0)</f>
        <v>0</v>
      </c>
    </row>
    <row r="639" spans="1:8" x14ac:dyDescent="0.35">
      <c r="A639" s="77">
        <v>45383</v>
      </c>
      <c r="B639" s="3" t="s">
        <v>71</v>
      </c>
      <c r="C639" s="4" t="s">
        <v>72</v>
      </c>
      <c r="D639" s="4" t="s">
        <v>314</v>
      </c>
      <c r="E639" s="4" t="s">
        <v>253</v>
      </c>
      <c r="F639" t="s">
        <v>210</v>
      </c>
      <c r="G639" t="s">
        <v>222</v>
      </c>
      <c r="H639">
        <f>VLOOKUP(C639,'TB Apr 24'!$B$13:$O$103,14,0)</f>
        <v>0</v>
      </c>
    </row>
    <row r="640" spans="1:8" x14ac:dyDescent="0.35">
      <c r="A640" s="77">
        <v>45383</v>
      </c>
      <c r="B640" s="3" t="s">
        <v>73</v>
      </c>
      <c r="C640" s="4" t="s">
        <v>74</v>
      </c>
      <c r="D640" s="4" t="s">
        <v>314</v>
      </c>
      <c r="E640" s="4" t="s">
        <v>253</v>
      </c>
      <c r="F640" t="s">
        <v>210</v>
      </c>
      <c r="G640" t="s">
        <v>222</v>
      </c>
      <c r="H640">
        <f>VLOOKUP(C640,'TB Apr 24'!$B$13:$O$103,14,0)</f>
        <v>0</v>
      </c>
    </row>
    <row r="641" spans="1:8" x14ac:dyDescent="0.35">
      <c r="A641" s="77">
        <v>45383</v>
      </c>
      <c r="B641" s="3" t="s">
        <v>75</v>
      </c>
      <c r="C641" s="4" t="s">
        <v>76</v>
      </c>
      <c r="D641" s="4" t="s">
        <v>314</v>
      </c>
      <c r="E641" s="4" t="s">
        <v>253</v>
      </c>
      <c r="F641" t="s">
        <v>210</v>
      </c>
      <c r="G641" t="s">
        <v>222</v>
      </c>
      <c r="H641">
        <f>VLOOKUP(C641,'TB Apr 24'!$B$13:$O$103,14,0)</f>
        <v>0</v>
      </c>
    </row>
    <row r="642" spans="1:8" x14ac:dyDescent="0.35">
      <c r="A642" s="77">
        <v>45383</v>
      </c>
      <c r="B642" s="3" t="s">
        <v>77</v>
      </c>
      <c r="C642" s="4" t="s">
        <v>78</v>
      </c>
      <c r="D642" s="4" t="s">
        <v>314</v>
      </c>
      <c r="E642" s="4" t="s">
        <v>253</v>
      </c>
      <c r="F642" t="s">
        <v>210</v>
      </c>
      <c r="G642" t="s">
        <v>222</v>
      </c>
      <c r="H642">
        <f>VLOOKUP(C642,'TB Apr 24'!$B$13:$O$103,14,0)</f>
        <v>0</v>
      </c>
    </row>
    <row r="643" spans="1:8" x14ac:dyDescent="0.35">
      <c r="A643" s="77">
        <v>45383</v>
      </c>
      <c r="B643" s="3" t="s">
        <v>79</v>
      </c>
      <c r="C643" s="4" t="s">
        <v>80</v>
      </c>
      <c r="D643" s="4" t="s">
        <v>314</v>
      </c>
      <c r="E643" s="4" t="s">
        <v>253</v>
      </c>
      <c r="F643" t="s">
        <v>210</v>
      </c>
      <c r="G643" t="s">
        <v>222</v>
      </c>
      <c r="H643">
        <f>VLOOKUP(C643,'TB Apr 24'!$B$13:$O$103,14,0)</f>
        <v>0</v>
      </c>
    </row>
    <row r="644" spans="1:8" x14ac:dyDescent="0.35">
      <c r="A644" s="77">
        <v>45383</v>
      </c>
      <c r="B644" s="3" t="s">
        <v>81</v>
      </c>
      <c r="C644" s="4" t="s">
        <v>82</v>
      </c>
      <c r="D644" s="4" t="s">
        <v>314</v>
      </c>
      <c r="E644" s="4" t="s">
        <v>319</v>
      </c>
      <c r="F644" t="s">
        <v>210</v>
      </c>
      <c r="G644" t="s">
        <v>222</v>
      </c>
      <c r="H644">
        <f>VLOOKUP(C644,'TB Apr 24'!$B$13:$O$103,14,0)</f>
        <v>0</v>
      </c>
    </row>
    <row r="645" spans="1:8" x14ac:dyDescent="0.35">
      <c r="A645" s="77">
        <v>45383</v>
      </c>
      <c r="B645" s="3" t="s">
        <v>83</v>
      </c>
      <c r="C645" s="4" t="s">
        <v>84</v>
      </c>
      <c r="D645" s="4" t="s">
        <v>314</v>
      </c>
      <c r="E645" s="4" t="s">
        <v>319</v>
      </c>
      <c r="F645" t="s">
        <v>210</v>
      </c>
      <c r="G645" t="s">
        <v>222</v>
      </c>
      <c r="H645">
        <f>VLOOKUP(C645,'TB Apr 24'!$B$13:$O$103,14,0)</f>
        <v>0</v>
      </c>
    </row>
    <row r="646" spans="1:8" x14ac:dyDescent="0.35">
      <c r="A646" s="77">
        <v>45383</v>
      </c>
      <c r="B646" s="3" t="s">
        <v>85</v>
      </c>
      <c r="C646" s="4" t="s">
        <v>86</v>
      </c>
      <c r="D646" s="4" t="s">
        <v>314</v>
      </c>
      <c r="E646" s="4" t="s">
        <v>291</v>
      </c>
      <c r="F646" t="s">
        <v>210</v>
      </c>
      <c r="G646" t="s">
        <v>222</v>
      </c>
      <c r="H646">
        <f>VLOOKUP(C646,'TB Apr 24'!$B$13:$O$103,14,0)</f>
        <v>0</v>
      </c>
    </row>
    <row r="647" spans="1:8" x14ac:dyDescent="0.35">
      <c r="A647" s="77">
        <v>45383</v>
      </c>
      <c r="B647" s="3" t="s">
        <v>88</v>
      </c>
      <c r="C647" s="4" t="s">
        <v>89</v>
      </c>
      <c r="D647" s="4" t="s">
        <v>314</v>
      </c>
      <c r="E647" s="4" t="s">
        <v>300</v>
      </c>
      <c r="F647" t="s">
        <v>210</v>
      </c>
      <c r="G647" t="s">
        <v>222</v>
      </c>
      <c r="H647">
        <f>VLOOKUP(C647,'TB Apr 24'!$B$13:$O$103,14,0)</f>
        <v>0</v>
      </c>
    </row>
    <row r="648" spans="1:8" x14ac:dyDescent="0.35">
      <c r="A648" s="77">
        <v>45383</v>
      </c>
      <c r="B648" s="3" t="s">
        <v>90</v>
      </c>
      <c r="C648" s="4" t="s">
        <v>91</v>
      </c>
      <c r="D648" s="4" t="s">
        <v>314</v>
      </c>
      <c r="E648" s="4" t="s">
        <v>300</v>
      </c>
      <c r="F648" t="s">
        <v>210</v>
      </c>
      <c r="G648" t="s">
        <v>222</v>
      </c>
      <c r="H648">
        <f>VLOOKUP(C648,'TB Apr 24'!$B$13:$O$103,14,0)</f>
        <v>0</v>
      </c>
    </row>
    <row r="649" spans="1:8" x14ac:dyDescent="0.35">
      <c r="A649" s="77">
        <v>45383</v>
      </c>
      <c r="B649" s="3" t="s">
        <v>92</v>
      </c>
      <c r="C649" s="4" t="s">
        <v>93</v>
      </c>
      <c r="D649" s="4" t="s">
        <v>314</v>
      </c>
      <c r="E649" s="4" t="s">
        <v>300</v>
      </c>
      <c r="F649" t="s">
        <v>210</v>
      </c>
      <c r="G649" t="s">
        <v>222</v>
      </c>
      <c r="H649">
        <f>VLOOKUP(C649,'TB Apr 24'!$B$13:$O$103,14,0)</f>
        <v>0</v>
      </c>
    </row>
    <row r="650" spans="1:8" x14ac:dyDescent="0.35">
      <c r="A650" s="77">
        <v>45383</v>
      </c>
      <c r="B650" s="3" t="s">
        <v>94</v>
      </c>
      <c r="C650" s="4" t="s">
        <v>95</v>
      </c>
      <c r="D650" s="4" t="s">
        <v>314</v>
      </c>
      <c r="E650" s="4" t="s">
        <v>289</v>
      </c>
      <c r="F650" t="s">
        <v>210</v>
      </c>
      <c r="G650" t="s">
        <v>222</v>
      </c>
      <c r="H650">
        <f>VLOOKUP(C650,'TB Apr 24'!$B$13:$O$103,14,0)</f>
        <v>3050629</v>
      </c>
    </row>
    <row r="651" spans="1:8" x14ac:dyDescent="0.35">
      <c r="A651" s="77">
        <v>45383</v>
      </c>
      <c r="B651" s="3" t="s">
        <v>96</v>
      </c>
      <c r="C651" s="4" t="s">
        <v>97</v>
      </c>
      <c r="D651" s="4" t="s">
        <v>314</v>
      </c>
      <c r="E651" s="4" t="s">
        <v>289</v>
      </c>
      <c r="F651" t="s">
        <v>210</v>
      </c>
      <c r="G651" t="s">
        <v>222</v>
      </c>
      <c r="H651">
        <f>VLOOKUP(C651,'TB Apr 24'!$B$13:$O$103,14,0)</f>
        <v>1091329</v>
      </c>
    </row>
    <row r="652" spans="1:8" x14ac:dyDescent="0.35">
      <c r="A652" s="77">
        <v>45383</v>
      </c>
      <c r="B652" s="3" t="s">
        <v>309</v>
      </c>
      <c r="C652" s="4" t="s">
        <v>310</v>
      </c>
      <c r="D652" s="4" t="s">
        <v>314</v>
      </c>
      <c r="E652" s="4" t="s">
        <v>289</v>
      </c>
      <c r="F652" t="s">
        <v>210</v>
      </c>
      <c r="G652" t="s">
        <v>222</v>
      </c>
      <c r="H652">
        <f>VLOOKUP(C652,'TB Apr 24'!$B$13:$O$103,14,0)</f>
        <v>0</v>
      </c>
    </row>
    <row r="653" spans="1:8" x14ac:dyDescent="0.35">
      <c r="A653" s="77">
        <v>45383</v>
      </c>
      <c r="B653" s="3" t="s">
        <v>98</v>
      </c>
      <c r="C653" s="4" t="s">
        <v>99</v>
      </c>
      <c r="D653" s="4" t="s">
        <v>314</v>
      </c>
      <c r="E653" s="4" t="s">
        <v>289</v>
      </c>
      <c r="F653" t="s">
        <v>210</v>
      </c>
      <c r="G653" t="s">
        <v>222</v>
      </c>
      <c r="H653">
        <f>VLOOKUP(C653,'TB Apr 24'!$B$13:$O$103,14,0)</f>
        <v>97553</v>
      </c>
    </row>
    <row r="654" spans="1:8" x14ac:dyDescent="0.35">
      <c r="A654" s="77">
        <v>45383</v>
      </c>
      <c r="B654" s="3" t="s">
        <v>100</v>
      </c>
      <c r="C654" s="4" t="s">
        <v>101</v>
      </c>
      <c r="D654" s="4" t="s">
        <v>314</v>
      </c>
      <c r="E654" s="4" t="s">
        <v>291</v>
      </c>
      <c r="F654" t="s">
        <v>210</v>
      </c>
      <c r="G654" t="s">
        <v>222</v>
      </c>
      <c r="H654">
        <f>VLOOKUP(C654,'TB Apr 24'!$B$13:$O$103,14,0)</f>
        <v>62787</v>
      </c>
    </row>
    <row r="655" spans="1:8" x14ac:dyDescent="0.35">
      <c r="A655" s="77">
        <v>45383</v>
      </c>
      <c r="B655" s="3" t="s">
        <v>102</v>
      </c>
      <c r="C655" s="4" t="s">
        <v>103</v>
      </c>
      <c r="D655" s="4" t="s">
        <v>314</v>
      </c>
      <c r="E655" s="4" t="s">
        <v>291</v>
      </c>
      <c r="F655" t="s">
        <v>210</v>
      </c>
      <c r="G655" t="s">
        <v>222</v>
      </c>
      <c r="H655">
        <f>VLOOKUP(C655,'TB Apr 24'!$B$13:$O$103,14,0)</f>
        <v>40950</v>
      </c>
    </row>
    <row r="656" spans="1:8" x14ac:dyDescent="0.35">
      <c r="A656" s="77">
        <v>45383</v>
      </c>
      <c r="B656" s="3" t="s">
        <v>104</v>
      </c>
      <c r="C656" s="4" t="s">
        <v>105</v>
      </c>
      <c r="D656" s="4" t="s">
        <v>314</v>
      </c>
      <c r="E656" s="4" t="s">
        <v>291</v>
      </c>
      <c r="F656" t="s">
        <v>210</v>
      </c>
      <c r="G656" t="s">
        <v>222</v>
      </c>
      <c r="H656">
        <f>VLOOKUP(C656,'TB Apr 24'!$B$13:$O$103,14,0)</f>
        <v>5301</v>
      </c>
    </row>
    <row r="657" spans="1:8" x14ac:dyDescent="0.35">
      <c r="A657" s="77">
        <v>45383</v>
      </c>
      <c r="B657" s="3" t="s">
        <v>106</v>
      </c>
      <c r="C657" s="4" t="s">
        <v>107</v>
      </c>
      <c r="D657" s="4" t="s">
        <v>314</v>
      </c>
      <c r="E657" s="4" t="s">
        <v>321</v>
      </c>
      <c r="F657" t="s">
        <v>210</v>
      </c>
      <c r="G657" t="s">
        <v>222</v>
      </c>
      <c r="H657">
        <f>VLOOKUP(C657,'TB Apr 24'!$B$13:$O$103,14,0)</f>
        <v>42541</v>
      </c>
    </row>
    <row r="658" spans="1:8" x14ac:dyDescent="0.35">
      <c r="A658" s="77">
        <v>45383</v>
      </c>
      <c r="B658" s="3" t="s">
        <v>108</v>
      </c>
      <c r="C658" s="4" t="s">
        <v>109</v>
      </c>
      <c r="D658" s="4" t="s">
        <v>314</v>
      </c>
      <c r="E658" s="4" t="s">
        <v>321</v>
      </c>
      <c r="F658" t="s">
        <v>210</v>
      </c>
      <c r="G658" t="s">
        <v>222</v>
      </c>
      <c r="H658">
        <f>VLOOKUP(C658,'TB Apr 24'!$B$13:$O$103,14,0)</f>
        <v>645</v>
      </c>
    </row>
    <row r="659" spans="1:8" x14ac:dyDescent="0.35">
      <c r="A659" s="77">
        <v>45383</v>
      </c>
      <c r="B659" s="3" t="s">
        <v>110</v>
      </c>
      <c r="C659" s="4" t="s">
        <v>111</v>
      </c>
      <c r="D659" s="4" t="s">
        <v>314</v>
      </c>
      <c r="E659" s="4" t="s">
        <v>320</v>
      </c>
      <c r="F659" t="s">
        <v>210</v>
      </c>
      <c r="G659" t="s">
        <v>222</v>
      </c>
      <c r="H659">
        <f>VLOOKUP(C659,'TB Apr 24'!$B$13:$O$103,14,0)</f>
        <v>0</v>
      </c>
    </row>
    <row r="660" spans="1:8" x14ac:dyDescent="0.35">
      <c r="A660" s="77">
        <v>45383</v>
      </c>
      <c r="B660" s="3" t="s">
        <v>112</v>
      </c>
      <c r="C660" s="4" t="s">
        <v>113</v>
      </c>
      <c r="D660" s="4" t="s">
        <v>314</v>
      </c>
      <c r="E660" s="4" t="s">
        <v>321</v>
      </c>
      <c r="F660" t="s">
        <v>210</v>
      </c>
      <c r="G660" t="s">
        <v>222</v>
      </c>
      <c r="H660">
        <f>VLOOKUP(C660,'TB Apr 24'!$B$13:$O$103,14,0)</f>
        <v>0</v>
      </c>
    </row>
    <row r="661" spans="1:8" x14ac:dyDescent="0.35">
      <c r="A661" s="77">
        <v>45383</v>
      </c>
      <c r="B661" s="3" t="s">
        <v>311</v>
      </c>
      <c r="C661" s="4" t="s">
        <v>312</v>
      </c>
      <c r="D661" s="4" t="s">
        <v>314</v>
      </c>
      <c r="E661" s="4" t="s">
        <v>288</v>
      </c>
      <c r="F661" t="s">
        <v>210</v>
      </c>
      <c r="G661" t="s">
        <v>222</v>
      </c>
      <c r="H661">
        <f>VLOOKUP(C661,'TB Apr 24'!$B$13:$O$103,14,0)</f>
        <v>0</v>
      </c>
    </row>
    <row r="662" spans="1:8" x14ac:dyDescent="0.35">
      <c r="A662" s="77">
        <v>45383</v>
      </c>
      <c r="B662" s="3" t="s">
        <v>114</v>
      </c>
      <c r="C662" s="4" t="s">
        <v>115</v>
      </c>
      <c r="D662" s="4" t="s">
        <v>314</v>
      </c>
      <c r="E662" s="4" t="s">
        <v>294</v>
      </c>
      <c r="F662" t="s">
        <v>210</v>
      </c>
      <c r="G662" t="s">
        <v>222</v>
      </c>
      <c r="H662">
        <f>VLOOKUP(C662,'TB Apr 24'!$B$13:$O$103,14,0)</f>
        <v>0</v>
      </c>
    </row>
    <row r="663" spans="1:8" x14ac:dyDescent="0.35">
      <c r="A663" s="77">
        <v>45383</v>
      </c>
      <c r="B663" s="3" t="s">
        <v>116</v>
      </c>
      <c r="C663" s="4" t="s">
        <v>117</v>
      </c>
      <c r="D663" s="4" t="s">
        <v>314</v>
      </c>
      <c r="E663" s="4" t="s">
        <v>296</v>
      </c>
      <c r="F663" t="s">
        <v>210</v>
      </c>
      <c r="G663" t="s">
        <v>222</v>
      </c>
      <c r="H663">
        <f>VLOOKUP(C663,'TB Apr 24'!$B$13:$O$103,14,0)</f>
        <v>2300</v>
      </c>
    </row>
    <row r="664" spans="1:8" x14ac:dyDescent="0.35">
      <c r="A664" s="77">
        <v>45383</v>
      </c>
      <c r="B664" s="3" t="s">
        <v>118</v>
      </c>
      <c r="C664" s="4" t="s">
        <v>119</v>
      </c>
      <c r="D664" s="4" t="s">
        <v>314</v>
      </c>
      <c r="E664" s="4" t="s">
        <v>296</v>
      </c>
      <c r="F664" t="s">
        <v>210</v>
      </c>
      <c r="G664" t="s">
        <v>222</v>
      </c>
      <c r="H664">
        <f>VLOOKUP(C664,'TB Apr 24'!$B$13:$O$103,14,0)</f>
        <v>1227830</v>
      </c>
    </row>
    <row r="665" spans="1:8" x14ac:dyDescent="0.35">
      <c r="A665" s="77">
        <v>45383</v>
      </c>
      <c r="B665" s="3" t="s">
        <v>120</v>
      </c>
      <c r="C665" s="4" t="s">
        <v>121</v>
      </c>
      <c r="D665" s="4" t="s">
        <v>314</v>
      </c>
      <c r="E665" s="4" t="s">
        <v>322</v>
      </c>
      <c r="F665" t="s">
        <v>210</v>
      </c>
      <c r="G665" t="s">
        <v>222</v>
      </c>
      <c r="H665">
        <f>VLOOKUP(C665,'TB Apr 24'!$B$13:$O$103,14,0)</f>
        <v>0</v>
      </c>
    </row>
    <row r="666" spans="1:8" x14ac:dyDescent="0.35">
      <c r="A666" s="77">
        <v>45383</v>
      </c>
      <c r="B666" s="3" t="s">
        <v>122</v>
      </c>
      <c r="C666" s="4" t="s">
        <v>123</v>
      </c>
      <c r="D666" s="4" t="s">
        <v>314</v>
      </c>
      <c r="E666" s="4" t="s">
        <v>322</v>
      </c>
      <c r="F666" t="s">
        <v>210</v>
      </c>
      <c r="G666" t="s">
        <v>222</v>
      </c>
      <c r="H666">
        <f>VLOOKUP(C666,'TB Apr 24'!$B$13:$O$103,14,0)</f>
        <v>68258</v>
      </c>
    </row>
    <row r="667" spans="1:8" x14ac:dyDescent="0.35">
      <c r="A667" s="77">
        <v>45383</v>
      </c>
      <c r="B667" s="3" t="s">
        <v>124</v>
      </c>
      <c r="C667" s="4" t="s">
        <v>125</v>
      </c>
      <c r="D667" s="4" t="s">
        <v>314</v>
      </c>
      <c r="E667" s="4" t="s">
        <v>322</v>
      </c>
      <c r="F667" t="s">
        <v>210</v>
      </c>
      <c r="G667" t="s">
        <v>222</v>
      </c>
      <c r="H667">
        <f>VLOOKUP(C667,'TB Apr 24'!$B$13:$O$103,14,0)</f>
        <v>0</v>
      </c>
    </row>
    <row r="668" spans="1:8" x14ac:dyDescent="0.35">
      <c r="A668" s="77">
        <v>45383</v>
      </c>
      <c r="B668" s="3" t="s">
        <v>126</v>
      </c>
      <c r="C668" s="4" t="s">
        <v>127</v>
      </c>
      <c r="D668" s="4" t="s">
        <v>314</v>
      </c>
      <c r="E668" s="4" t="s">
        <v>291</v>
      </c>
      <c r="F668" t="s">
        <v>210</v>
      </c>
      <c r="G668" t="s">
        <v>222</v>
      </c>
      <c r="H668">
        <f>VLOOKUP(C668,'TB Apr 24'!$B$13:$O$103,14,0)</f>
        <v>0</v>
      </c>
    </row>
    <row r="669" spans="1:8" x14ac:dyDescent="0.35">
      <c r="A669" s="77">
        <v>45383</v>
      </c>
      <c r="B669" s="3" t="s">
        <v>128</v>
      </c>
      <c r="C669" s="4" t="s">
        <v>129</v>
      </c>
      <c r="D669" s="4" t="s">
        <v>314</v>
      </c>
      <c r="E669" s="4" t="s">
        <v>322</v>
      </c>
      <c r="F669" t="s">
        <v>210</v>
      </c>
      <c r="G669" t="s">
        <v>222</v>
      </c>
      <c r="H669">
        <f>VLOOKUP(C669,'TB Apr 24'!$B$13:$O$103,14,0)</f>
        <v>0</v>
      </c>
    </row>
    <row r="670" spans="1:8" x14ac:dyDescent="0.35">
      <c r="A670" s="77">
        <v>45383</v>
      </c>
      <c r="B670" s="3" t="s">
        <v>130</v>
      </c>
      <c r="C670" s="4" t="s">
        <v>131</v>
      </c>
      <c r="D670" s="4" t="s">
        <v>314</v>
      </c>
      <c r="E670" s="4" t="s">
        <v>322</v>
      </c>
      <c r="F670" t="s">
        <v>210</v>
      </c>
      <c r="G670" t="s">
        <v>222</v>
      </c>
      <c r="H670">
        <f>VLOOKUP(C670,'TB Apr 24'!$B$13:$O$103,14,0)</f>
        <v>0</v>
      </c>
    </row>
    <row r="671" spans="1:8" x14ac:dyDescent="0.35">
      <c r="A671" s="77">
        <v>45383</v>
      </c>
      <c r="B671" s="3" t="s">
        <v>132</v>
      </c>
      <c r="C671" s="4" t="s">
        <v>133</v>
      </c>
      <c r="D671" s="4" t="s">
        <v>314</v>
      </c>
      <c r="E671" s="4" t="s">
        <v>320</v>
      </c>
      <c r="F671" t="s">
        <v>210</v>
      </c>
      <c r="G671" t="s">
        <v>222</v>
      </c>
      <c r="H671">
        <f>VLOOKUP(C671,'TB Apr 24'!$B$13:$O$103,14,0)</f>
        <v>0</v>
      </c>
    </row>
    <row r="672" spans="1:8" x14ac:dyDescent="0.35">
      <c r="A672" s="77">
        <v>45383</v>
      </c>
      <c r="B672" s="3" t="s">
        <v>134</v>
      </c>
      <c r="C672" s="4" t="s">
        <v>135</v>
      </c>
      <c r="D672" s="4" t="s">
        <v>314</v>
      </c>
      <c r="E672" s="4" t="s">
        <v>299</v>
      </c>
      <c r="F672" t="s">
        <v>210</v>
      </c>
      <c r="G672" t="s">
        <v>222</v>
      </c>
      <c r="H672">
        <f>VLOOKUP(C672,'TB Apr 24'!$B$13:$O$103,14,0)</f>
        <v>0</v>
      </c>
    </row>
    <row r="673" spans="1:8" x14ac:dyDescent="0.35">
      <c r="A673" s="77">
        <v>45383</v>
      </c>
      <c r="B673" s="3" t="s">
        <v>136</v>
      </c>
      <c r="C673" s="4" t="s">
        <v>137</v>
      </c>
      <c r="D673" s="4" t="s">
        <v>314</v>
      </c>
      <c r="E673" s="4" t="s">
        <v>322</v>
      </c>
      <c r="F673" t="s">
        <v>210</v>
      </c>
      <c r="G673" t="s">
        <v>222</v>
      </c>
      <c r="H673">
        <f>VLOOKUP(C673,'TB Apr 24'!$B$13:$O$103,14,0)</f>
        <v>0</v>
      </c>
    </row>
    <row r="674" spans="1:8" x14ac:dyDescent="0.35">
      <c r="A674" s="77">
        <v>45383</v>
      </c>
      <c r="B674" s="3" t="s">
        <v>138</v>
      </c>
      <c r="C674" s="4" t="s">
        <v>139</v>
      </c>
      <c r="D674" s="4" t="s">
        <v>314</v>
      </c>
      <c r="E674" s="4" t="s">
        <v>294</v>
      </c>
      <c r="F674" t="s">
        <v>210</v>
      </c>
      <c r="G674" t="s">
        <v>222</v>
      </c>
      <c r="H674">
        <f>VLOOKUP(C674,'TB Apr 24'!$B$13:$O$103,14,0)</f>
        <v>471309.098</v>
      </c>
    </row>
    <row r="675" spans="1:8" x14ac:dyDescent="0.35">
      <c r="A675" s="77">
        <v>45383</v>
      </c>
      <c r="B675" s="3" t="s">
        <v>140</v>
      </c>
      <c r="C675" s="4" t="s">
        <v>141</v>
      </c>
      <c r="D675" s="4" t="s">
        <v>314</v>
      </c>
      <c r="E675" s="4" t="s">
        <v>268</v>
      </c>
      <c r="F675" t="s">
        <v>210</v>
      </c>
      <c r="G675" t="s">
        <v>222</v>
      </c>
      <c r="H675">
        <f>VLOOKUP(C675,'TB Apr 24'!$B$13:$O$103,14,0)</f>
        <v>0</v>
      </c>
    </row>
    <row r="676" spans="1:8" x14ac:dyDescent="0.35">
      <c r="A676" s="77">
        <v>45383</v>
      </c>
      <c r="B676" s="3" t="s">
        <v>142</v>
      </c>
      <c r="C676" s="4" t="s">
        <v>143</v>
      </c>
      <c r="D676" s="4" t="s">
        <v>314</v>
      </c>
      <c r="E676" s="4" t="s">
        <v>269</v>
      </c>
      <c r="F676" t="s">
        <v>210</v>
      </c>
      <c r="G676" t="s">
        <v>222</v>
      </c>
      <c r="H676">
        <f>VLOOKUP(C676,'TB Apr 24'!$B$13:$O$103,14,0)</f>
        <v>0</v>
      </c>
    </row>
    <row r="677" spans="1:8" x14ac:dyDescent="0.35">
      <c r="A677" s="77">
        <v>45383</v>
      </c>
      <c r="B677" s="3" t="s">
        <v>144</v>
      </c>
      <c r="C677" s="4" t="s">
        <v>145</v>
      </c>
      <c r="D677" s="4" t="s">
        <v>314</v>
      </c>
      <c r="E677" s="4" t="s">
        <v>288</v>
      </c>
      <c r="F677" t="s">
        <v>210</v>
      </c>
      <c r="G677" t="s">
        <v>222</v>
      </c>
      <c r="H677">
        <f>VLOOKUP(C677,'TB Apr 24'!$B$13:$O$103,14,0)</f>
        <v>0</v>
      </c>
    </row>
    <row r="678" spans="1:8" x14ac:dyDescent="0.35">
      <c r="A678" s="77">
        <v>45383</v>
      </c>
      <c r="B678" s="3" t="s">
        <v>146</v>
      </c>
      <c r="C678" s="4" t="s">
        <v>147</v>
      </c>
      <c r="D678" s="4" t="s">
        <v>314</v>
      </c>
      <c r="E678" s="4" t="s">
        <v>288</v>
      </c>
      <c r="F678" t="s">
        <v>210</v>
      </c>
      <c r="G678" t="s">
        <v>222</v>
      </c>
      <c r="H678">
        <f>VLOOKUP(C678,'TB Apr 24'!$B$13:$O$103,14,0)</f>
        <v>0</v>
      </c>
    </row>
    <row r="679" spans="1:8" x14ac:dyDescent="0.35">
      <c r="A679" s="77">
        <v>45383</v>
      </c>
      <c r="B679" s="3" t="s">
        <v>148</v>
      </c>
      <c r="C679" s="4" t="s">
        <v>149</v>
      </c>
      <c r="D679" s="4" t="s">
        <v>314</v>
      </c>
      <c r="E679" s="4" t="s">
        <v>287</v>
      </c>
      <c r="F679" t="s">
        <v>210</v>
      </c>
      <c r="G679" t="s">
        <v>222</v>
      </c>
      <c r="H679">
        <f>VLOOKUP(C679,'TB Apr 24'!$B$13:$O$103,14,0)</f>
        <v>0</v>
      </c>
    </row>
    <row r="680" spans="1:8" x14ac:dyDescent="0.35">
      <c r="A680" s="77">
        <v>45383</v>
      </c>
      <c r="B680" s="3" t="s">
        <v>150</v>
      </c>
      <c r="C680" s="4" t="s">
        <v>87</v>
      </c>
      <c r="D680" s="4" t="s">
        <v>314</v>
      </c>
      <c r="E680" s="4" t="s">
        <v>288</v>
      </c>
      <c r="F680" t="s">
        <v>210</v>
      </c>
      <c r="G680" t="s">
        <v>222</v>
      </c>
      <c r="H680">
        <f>VLOOKUP(C680,'TB Apr 24'!$B$13:$O$103,14,0)</f>
        <v>0</v>
      </c>
    </row>
    <row r="681" spans="1:8" x14ac:dyDescent="0.35">
      <c r="A681" s="77">
        <v>45383</v>
      </c>
      <c r="B681" s="3" t="s">
        <v>151</v>
      </c>
      <c r="C681" s="4" t="s">
        <v>152</v>
      </c>
      <c r="D681" s="4" t="s">
        <v>314</v>
      </c>
      <c r="E681" s="4" t="s">
        <v>288</v>
      </c>
      <c r="F681" t="s">
        <v>210</v>
      </c>
      <c r="G681" t="s">
        <v>222</v>
      </c>
      <c r="H681">
        <f>VLOOKUP(C681,'TB Apr 24'!$B$13:$O$103,14,0)</f>
        <v>0</v>
      </c>
    </row>
    <row r="682" spans="1:8" x14ac:dyDescent="0.35">
      <c r="A682" s="77">
        <v>45383</v>
      </c>
      <c r="B682" s="3" t="s">
        <v>153</v>
      </c>
      <c r="C682" s="4" t="s">
        <v>154</v>
      </c>
      <c r="D682" s="4" t="s">
        <v>314</v>
      </c>
      <c r="E682" s="4" t="s">
        <v>288</v>
      </c>
      <c r="F682" t="s">
        <v>210</v>
      </c>
      <c r="G682" t="s">
        <v>222</v>
      </c>
      <c r="H682">
        <f>VLOOKUP(C682,'TB Apr 24'!$B$13:$O$103,14,0)</f>
        <v>0</v>
      </c>
    </row>
    <row r="683" spans="1:8" x14ac:dyDescent="0.35">
      <c r="A683" s="77">
        <v>45383</v>
      </c>
      <c r="B683" s="3" t="s">
        <v>155</v>
      </c>
      <c r="C683" s="4" t="s">
        <v>156</v>
      </c>
      <c r="D683" s="4" t="s">
        <v>314</v>
      </c>
      <c r="E683" s="4" t="s">
        <v>288</v>
      </c>
      <c r="F683" t="s">
        <v>210</v>
      </c>
      <c r="G683" t="s">
        <v>222</v>
      </c>
      <c r="H683">
        <f>VLOOKUP(C683,'TB Apr 24'!$B$13:$O$103,14,0)</f>
        <v>0</v>
      </c>
    </row>
    <row r="684" spans="1:8" x14ac:dyDescent="0.35">
      <c r="A684" s="77">
        <v>45383</v>
      </c>
      <c r="B684" s="3" t="s">
        <v>157</v>
      </c>
      <c r="C684" s="4" t="s">
        <v>158</v>
      </c>
      <c r="D684" s="4" t="s">
        <v>314</v>
      </c>
      <c r="E684" s="4" t="s">
        <v>292</v>
      </c>
      <c r="F684" t="s">
        <v>210</v>
      </c>
      <c r="G684" t="s">
        <v>222</v>
      </c>
      <c r="H684">
        <f>VLOOKUP(C684,'TB Apr 24'!$B$13:$O$103,14,0)</f>
        <v>125000</v>
      </c>
    </row>
    <row r="685" spans="1:8" x14ac:dyDescent="0.35">
      <c r="A685" s="77">
        <v>45383</v>
      </c>
      <c r="B685" s="3" t="s">
        <v>159</v>
      </c>
      <c r="C685" s="4" t="s">
        <v>160</v>
      </c>
      <c r="D685" s="4" t="s">
        <v>314</v>
      </c>
      <c r="E685" s="4" t="s">
        <v>323</v>
      </c>
      <c r="F685" t="s">
        <v>210</v>
      </c>
      <c r="G685" t="s">
        <v>222</v>
      </c>
      <c r="H685">
        <f>VLOOKUP(C685,'TB Apr 24'!$B$13:$O$103,14,0)</f>
        <v>0</v>
      </c>
    </row>
    <row r="686" spans="1:8" x14ac:dyDescent="0.35">
      <c r="A686" s="77">
        <v>45383</v>
      </c>
      <c r="B686" s="3" t="s">
        <v>161</v>
      </c>
      <c r="C686" s="4" t="s">
        <v>162</v>
      </c>
      <c r="D686" s="4" t="s">
        <v>314</v>
      </c>
      <c r="E686" s="4" t="s">
        <v>323</v>
      </c>
      <c r="F686" t="s">
        <v>210</v>
      </c>
      <c r="G686" t="s">
        <v>222</v>
      </c>
      <c r="H686">
        <f>VLOOKUP(C686,'TB Apr 24'!$B$13:$O$103,14,0)</f>
        <v>0</v>
      </c>
    </row>
    <row r="687" spans="1:8" x14ac:dyDescent="0.35">
      <c r="A687" s="77">
        <v>45383</v>
      </c>
      <c r="B687" s="3" t="s">
        <v>163</v>
      </c>
      <c r="C687" s="4" t="s">
        <v>164</v>
      </c>
      <c r="D687" s="4" t="s">
        <v>314</v>
      </c>
      <c r="E687" s="4" t="s">
        <v>319</v>
      </c>
      <c r="F687" t="s">
        <v>210</v>
      </c>
      <c r="G687" t="s">
        <v>222</v>
      </c>
      <c r="H687">
        <f>VLOOKUP(C687,'TB Apr 24'!$B$13:$O$103,14,0)</f>
        <v>0</v>
      </c>
    </row>
    <row r="688" spans="1:8" x14ac:dyDescent="0.35">
      <c r="A688" s="77">
        <v>45383</v>
      </c>
      <c r="B688" s="3" t="s">
        <v>165</v>
      </c>
      <c r="C688" s="4" t="s">
        <v>166</v>
      </c>
      <c r="D688" s="4" t="s">
        <v>314</v>
      </c>
      <c r="E688" s="4" t="s">
        <v>304</v>
      </c>
      <c r="F688" t="s">
        <v>210</v>
      </c>
      <c r="G688" t="s">
        <v>222</v>
      </c>
      <c r="H688">
        <f>VLOOKUP(C688,'TB Apr 24'!$B$13:$O$103,14,0)</f>
        <v>27602</v>
      </c>
    </row>
    <row r="689" spans="1:8" x14ac:dyDescent="0.35">
      <c r="A689" s="77">
        <v>45383</v>
      </c>
      <c r="B689" s="3" t="s">
        <v>167</v>
      </c>
      <c r="C689" s="4" t="s">
        <v>168</v>
      </c>
      <c r="D689" s="4" t="s">
        <v>314</v>
      </c>
      <c r="E689" s="4" t="s">
        <v>322</v>
      </c>
      <c r="F689" t="s">
        <v>210</v>
      </c>
      <c r="G689" t="s">
        <v>222</v>
      </c>
      <c r="H689">
        <f>VLOOKUP(C689,'TB Apr 24'!$B$13:$O$103,14,0)</f>
        <v>0</v>
      </c>
    </row>
    <row r="690" spans="1:8" x14ac:dyDescent="0.35">
      <c r="A690" s="77">
        <v>45383</v>
      </c>
      <c r="B690" s="3" t="s">
        <v>169</v>
      </c>
      <c r="C690" s="4" t="s">
        <v>170</v>
      </c>
      <c r="D690" s="4" t="s">
        <v>314</v>
      </c>
      <c r="E690" s="4" t="s">
        <v>304</v>
      </c>
      <c r="F690" t="s">
        <v>210</v>
      </c>
      <c r="G690" t="s">
        <v>222</v>
      </c>
      <c r="H690">
        <f>VLOOKUP(C690,'TB Apr 24'!$B$13:$O$103,14,0)</f>
        <v>0</v>
      </c>
    </row>
    <row r="691" spans="1:8" x14ac:dyDescent="0.35">
      <c r="A691" s="77">
        <v>45383</v>
      </c>
      <c r="B691" s="3" t="s">
        <v>171</v>
      </c>
      <c r="C691" s="4" t="s">
        <v>172</v>
      </c>
      <c r="D691" s="4" t="s">
        <v>314</v>
      </c>
      <c r="E691" s="4" t="s">
        <v>303</v>
      </c>
      <c r="F691" t="s">
        <v>210</v>
      </c>
      <c r="G691" t="s">
        <v>222</v>
      </c>
      <c r="H691">
        <f>VLOOKUP(C691,'TB Apr 24'!$B$13:$O$103,14,0)</f>
        <v>0</v>
      </c>
    </row>
    <row r="692" spans="1:8" x14ac:dyDescent="0.35">
      <c r="A692" s="77">
        <v>45383</v>
      </c>
      <c r="B692" s="3" t="s">
        <v>173</v>
      </c>
      <c r="C692" s="4" t="s">
        <v>174</v>
      </c>
      <c r="D692" s="4" t="s">
        <v>314</v>
      </c>
      <c r="E692" s="4" t="s">
        <v>257</v>
      </c>
      <c r="F692" t="s">
        <v>210</v>
      </c>
      <c r="G692" t="s">
        <v>222</v>
      </c>
      <c r="H692">
        <f>VLOOKUP(C692,'TB Apr 24'!$B$13:$O$103,14,0)</f>
        <v>0</v>
      </c>
    </row>
    <row r="693" spans="1:8" x14ac:dyDescent="0.35">
      <c r="A693" s="77">
        <v>45383</v>
      </c>
      <c r="B693" s="3" t="s">
        <v>175</v>
      </c>
      <c r="C693" s="4" t="s">
        <v>176</v>
      </c>
      <c r="D693" s="4" t="s">
        <v>314</v>
      </c>
      <c r="E693" s="4" t="s">
        <v>257</v>
      </c>
      <c r="F693" t="s">
        <v>210</v>
      </c>
      <c r="G693" t="s">
        <v>222</v>
      </c>
      <c r="H693">
        <f>VLOOKUP(C693,'TB Apr 24'!$B$13:$O$103,14,0)</f>
        <v>0</v>
      </c>
    </row>
    <row r="694" spans="1:8" x14ac:dyDescent="0.35">
      <c r="A694" s="77">
        <v>45383</v>
      </c>
      <c r="B694" s="3" t="s">
        <v>177</v>
      </c>
      <c r="C694" s="4" t="s">
        <v>178</v>
      </c>
      <c r="D694" s="4" t="s">
        <v>314</v>
      </c>
      <c r="E694" s="4" t="s">
        <v>257</v>
      </c>
      <c r="F694" t="s">
        <v>210</v>
      </c>
      <c r="G694" t="s">
        <v>222</v>
      </c>
      <c r="H694">
        <f>VLOOKUP(C694,'TB Apr 24'!$B$13:$O$103,14,0)</f>
        <v>0</v>
      </c>
    </row>
    <row r="695" spans="1:8" x14ac:dyDescent="0.35">
      <c r="A695" s="77">
        <v>45383</v>
      </c>
      <c r="B695" s="3" t="s">
        <v>179</v>
      </c>
      <c r="C695" s="4" t="s">
        <v>180</v>
      </c>
      <c r="D695" s="4" t="s">
        <v>314</v>
      </c>
      <c r="E695" s="4" t="s">
        <v>322</v>
      </c>
      <c r="F695" t="s">
        <v>210</v>
      </c>
      <c r="G695" t="s">
        <v>222</v>
      </c>
      <c r="H695">
        <f>VLOOKUP(C695,'TB Apr 24'!$B$13:$O$103,14,0)</f>
        <v>0</v>
      </c>
    </row>
    <row r="696" spans="1:8" x14ac:dyDescent="0.35">
      <c r="A696" s="77">
        <v>45383</v>
      </c>
      <c r="B696" s="3" t="s">
        <v>181</v>
      </c>
      <c r="C696" s="4" t="s">
        <v>182</v>
      </c>
      <c r="D696" s="4" t="s">
        <v>314</v>
      </c>
      <c r="E696" s="4" t="s">
        <v>290</v>
      </c>
      <c r="F696" t="s">
        <v>210</v>
      </c>
      <c r="G696" t="s">
        <v>222</v>
      </c>
      <c r="H696">
        <f>VLOOKUP(C696,'TB Apr 24'!$B$13:$O$103,14,0)</f>
        <v>0</v>
      </c>
    </row>
    <row r="697" spans="1:8" x14ac:dyDescent="0.35">
      <c r="A697" s="77">
        <v>45383</v>
      </c>
      <c r="B697" s="3" t="s">
        <v>183</v>
      </c>
      <c r="C697" s="4" t="s">
        <v>184</v>
      </c>
      <c r="D697" s="4" t="s">
        <v>314</v>
      </c>
      <c r="E697" s="4" t="s">
        <v>290</v>
      </c>
      <c r="F697" t="s">
        <v>210</v>
      </c>
      <c r="G697" t="s">
        <v>222</v>
      </c>
      <c r="H697">
        <f>VLOOKUP(C697,'TB Apr 24'!$B$13:$O$103,14,0)</f>
        <v>0</v>
      </c>
    </row>
    <row r="698" spans="1:8" x14ac:dyDescent="0.35">
      <c r="A698" s="77">
        <v>45383</v>
      </c>
      <c r="B698" s="3" t="s">
        <v>185</v>
      </c>
      <c r="C698" s="4" t="s">
        <v>186</v>
      </c>
      <c r="D698" s="4" t="s">
        <v>314</v>
      </c>
      <c r="E698" s="4" t="s">
        <v>290</v>
      </c>
      <c r="F698" t="s">
        <v>210</v>
      </c>
      <c r="G698" t="s">
        <v>222</v>
      </c>
      <c r="H698">
        <f>VLOOKUP(C698,'TB Apr 24'!$B$13:$O$103,14,0)</f>
        <v>0</v>
      </c>
    </row>
    <row r="699" spans="1:8" x14ac:dyDescent="0.35">
      <c r="A699" s="77">
        <v>45383</v>
      </c>
      <c r="B699" s="3" t="s">
        <v>187</v>
      </c>
      <c r="C699" s="4" t="s">
        <v>188</v>
      </c>
      <c r="D699" s="4" t="s">
        <v>314</v>
      </c>
      <c r="E699" s="4" t="s">
        <v>291</v>
      </c>
      <c r="F699" t="s">
        <v>210</v>
      </c>
      <c r="G699" t="s">
        <v>222</v>
      </c>
      <c r="H699">
        <f>VLOOKUP(C699,'TB Apr 24'!$B$13:$O$103,14,0)</f>
        <v>3335.4384666664992</v>
      </c>
    </row>
    <row r="700" spans="1:8" x14ac:dyDescent="0.35">
      <c r="A700" s="77">
        <v>45383</v>
      </c>
      <c r="B700" s="3" t="s">
        <v>189</v>
      </c>
      <c r="C700" s="4" t="s">
        <v>190</v>
      </c>
      <c r="D700" s="4" t="s">
        <v>314</v>
      </c>
      <c r="E700" s="4" t="s">
        <v>254</v>
      </c>
      <c r="F700" t="s">
        <v>210</v>
      </c>
      <c r="G700" t="s">
        <v>222</v>
      </c>
      <c r="H700">
        <f>VLOOKUP(C700,'TB Apr 24'!$B$13:$O$103,14,0)</f>
        <v>0</v>
      </c>
    </row>
    <row r="701" spans="1:8" x14ac:dyDescent="0.35">
      <c r="A701" s="77">
        <v>45383</v>
      </c>
      <c r="B701" s="3" t="s">
        <v>191</v>
      </c>
      <c r="C701" s="4" t="s">
        <v>192</v>
      </c>
      <c r="D701" s="4" t="s">
        <v>314</v>
      </c>
      <c r="E701" s="4" t="s">
        <v>254</v>
      </c>
      <c r="F701" t="s">
        <v>210</v>
      </c>
      <c r="G701" t="s">
        <v>222</v>
      </c>
      <c r="H701">
        <f>VLOOKUP(C701,'TB Apr 24'!$B$13:$O$103,14,0)</f>
        <v>0</v>
      </c>
    </row>
    <row r="702" spans="1:8" x14ac:dyDescent="0.35">
      <c r="A702" s="77">
        <v>45383</v>
      </c>
      <c r="B702" s="3" t="s">
        <v>193</v>
      </c>
      <c r="C702" s="4" t="s">
        <v>194</v>
      </c>
      <c r="D702" s="4" t="s">
        <v>314</v>
      </c>
      <c r="E702" s="4" t="s">
        <v>254</v>
      </c>
      <c r="F702" t="s">
        <v>210</v>
      </c>
      <c r="G702" t="s">
        <v>222</v>
      </c>
      <c r="H702">
        <f>VLOOKUP(C702,'TB Apr 24'!$B$13:$O$103,14,0)</f>
        <v>0</v>
      </c>
    </row>
    <row r="703" spans="1:8" x14ac:dyDescent="0.35">
      <c r="A703" s="77">
        <v>45383</v>
      </c>
      <c r="B703" s="3" t="s">
        <v>195</v>
      </c>
      <c r="C703" s="4" t="s">
        <v>196</v>
      </c>
      <c r="D703" s="4" t="s">
        <v>314</v>
      </c>
      <c r="E703" s="4" t="s">
        <v>255</v>
      </c>
      <c r="F703" t="s">
        <v>210</v>
      </c>
      <c r="G703" t="s">
        <v>222</v>
      </c>
      <c r="H703">
        <f>VLOOKUP(C703,'TB Apr 24'!$B$13:$O$103,14,0)</f>
        <v>0</v>
      </c>
    </row>
    <row r="704" spans="1:8" x14ac:dyDescent="0.35">
      <c r="A704" s="77">
        <v>45383</v>
      </c>
      <c r="B704" s="3" t="s">
        <v>197</v>
      </c>
      <c r="C704" s="4" t="s">
        <v>198</v>
      </c>
      <c r="D704" s="4" t="s">
        <v>314</v>
      </c>
      <c r="E704" s="4" t="s">
        <v>255</v>
      </c>
      <c r="F704" t="s">
        <v>210</v>
      </c>
      <c r="G704" t="s">
        <v>222</v>
      </c>
      <c r="H704">
        <f>VLOOKUP(C704,'TB Apr 24'!$B$13:$O$103,14,0)</f>
        <v>0</v>
      </c>
    </row>
    <row r="705" spans="1:8" x14ac:dyDescent="0.35">
      <c r="A705" s="77">
        <v>45383</v>
      </c>
      <c r="B705" s="3" t="s">
        <v>199</v>
      </c>
      <c r="C705" s="4" t="s">
        <v>200</v>
      </c>
      <c r="D705" s="4" t="s">
        <v>314</v>
      </c>
      <c r="E705" s="4" t="s">
        <v>254</v>
      </c>
      <c r="F705" t="s">
        <v>210</v>
      </c>
      <c r="G705" t="s">
        <v>222</v>
      </c>
      <c r="H705">
        <f>VLOOKUP(C705,'TB Apr 24'!$B$13:$O$103,14,0)</f>
        <v>0</v>
      </c>
    </row>
    <row r="706" spans="1:8" x14ac:dyDescent="0.35">
      <c r="A706" s="77">
        <v>45383</v>
      </c>
      <c r="B706" s="3" t="s">
        <v>201</v>
      </c>
      <c r="C706" s="4" t="s">
        <v>202</v>
      </c>
      <c r="D706" s="4" t="s">
        <v>314</v>
      </c>
      <c r="E706" s="4" t="s">
        <v>254</v>
      </c>
      <c r="F706" t="s">
        <v>210</v>
      </c>
      <c r="G706" t="s">
        <v>222</v>
      </c>
      <c r="H706">
        <f>VLOOKUP(C706,'TB Apr 24'!$B$13:$O$103,14,0)</f>
        <v>0</v>
      </c>
    </row>
    <row r="707" spans="1:8" x14ac:dyDescent="0.35">
      <c r="A707" s="77">
        <v>45383</v>
      </c>
      <c r="B707" s="3" t="s">
        <v>203</v>
      </c>
      <c r="C707" s="4" t="s">
        <v>204</v>
      </c>
      <c r="D707" s="4" t="s">
        <v>314</v>
      </c>
      <c r="E707" s="4" t="s">
        <v>256</v>
      </c>
      <c r="F707" t="s">
        <v>210</v>
      </c>
      <c r="G707" t="s">
        <v>222</v>
      </c>
      <c r="H707">
        <f>VLOOKUP(C707,'TB Apr 24'!$B$13:$O$103,14,0)</f>
        <v>0</v>
      </c>
    </row>
    <row r="708" spans="1:8" x14ac:dyDescent="0.35">
      <c r="A708" s="77">
        <v>45383</v>
      </c>
      <c r="B708" s="3" t="s">
        <v>205</v>
      </c>
      <c r="C708" s="6" t="s">
        <v>206</v>
      </c>
      <c r="D708" s="4" t="s">
        <v>314</v>
      </c>
      <c r="E708" s="6" t="s">
        <v>322</v>
      </c>
      <c r="F708" s="79" t="s">
        <v>210</v>
      </c>
      <c r="G708" s="79" t="s">
        <v>222</v>
      </c>
      <c r="H708" s="79">
        <f>VLOOKUP(C708,'TB Apr 24'!$B$13:$O$103,14,0)</f>
        <v>11.8</v>
      </c>
    </row>
    <row r="709" spans="1:8" x14ac:dyDescent="0.35">
      <c r="A709" s="77">
        <v>45383</v>
      </c>
      <c r="B709" s="3" t="s">
        <v>57</v>
      </c>
      <c r="C709" s="4" t="s">
        <v>58</v>
      </c>
      <c r="D709" s="4" t="s">
        <v>314</v>
      </c>
      <c r="E709" s="4" t="s">
        <v>253</v>
      </c>
      <c r="F709" t="s">
        <v>226</v>
      </c>
      <c r="G709" t="s">
        <v>223</v>
      </c>
      <c r="H709">
        <f>VLOOKUP(C709,'TB Apr 24'!$B$13:$P$103,15,0)</f>
        <v>0</v>
      </c>
    </row>
    <row r="710" spans="1:8" x14ac:dyDescent="0.35">
      <c r="A710" s="77">
        <v>45383</v>
      </c>
      <c r="B710" s="3" t="s">
        <v>307</v>
      </c>
      <c r="C710" s="4" t="s">
        <v>308</v>
      </c>
      <c r="D710" s="4" t="s">
        <v>314</v>
      </c>
      <c r="E710" s="4" t="s">
        <v>253</v>
      </c>
      <c r="F710" t="s">
        <v>226</v>
      </c>
      <c r="G710" t="s">
        <v>223</v>
      </c>
      <c r="H710">
        <f>VLOOKUP(C710,'TB Apr 24'!$B$13:$P$103,15,0)</f>
        <v>0</v>
      </c>
    </row>
    <row r="711" spans="1:8" x14ac:dyDescent="0.35">
      <c r="A711" s="77">
        <v>45383</v>
      </c>
      <c r="B711" s="3" t="s">
        <v>59</v>
      </c>
      <c r="C711" s="4" t="s">
        <v>60</v>
      </c>
      <c r="D711" s="4" t="s">
        <v>314</v>
      </c>
      <c r="E711" s="4" t="s">
        <v>253</v>
      </c>
      <c r="F711" t="s">
        <v>226</v>
      </c>
      <c r="G711" t="s">
        <v>223</v>
      </c>
      <c r="H711">
        <f>VLOOKUP(C711,'TB Apr 24'!$B$13:$P$103,15,0)</f>
        <v>0</v>
      </c>
    </row>
    <row r="712" spans="1:8" x14ac:dyDescent="0.35">
      <c r="A712" s="77">
        <v>45383</v>
      </c>
      <c r="B712" s="3" t="s">
        <v>61</v>
      </c>
      <c r="C712" s="4" t="s">
        <v>62</v>
      </c>
      <c r="D712" s="4" t="s">
        <v>314</v>
      </c>
      <c r="E712" s="4" t="s">
        <v>66</v>
      </c>
      <c r="F712" t="s">
        <v>226</v>
      </c>
      <c r="G712" t="s">
        <v>223</v>
      </c>
      <c r="H712">
        <f>VLOOKUP(C712,'TB Apr 24'!$B$13:$P$103,15,0)</f>
        <v>0</v>
      </c>
    </row>
    <row r="713" spans="1:8" x14ac:dyDescent="0.35">
      <c r="A713" s="77">
        <v>45383</v>
      </c>
      <c r="B713" s="3" t="s">
        <v>63</v>
      </c>
      <c r="C713" s="4" t="s">
        <v>64</v>
      </c>
      <c r="D713" s="4" t="s">
        <v>314</v>
      </c>
      <c r="E713" s="4" t="s">
        <v>252</v>
      </c>
      <c r="F713" t="s">
        <v>226</v>
      </c>
      <c r="G713" t="s">
        <v>223</v>
      </c>
      <c r="H713">
        <f>VLOOKUP(C713,'TB Apr 24'!$B$13:$P$103,15,0)</f>
        <v>0</v>
      </c>
    </row>
    <row r="714" spans="1:8" x14ac:dyDescent="0.35">
      <c r="A714" s="77">
        <v>45383</v>
      </c>
      <c r="B714" s="3" t="s">
        <v>65</v>
      </c>
      <c r="C714" s="4" t="s">
        <v>66</v>
      </c>
      <c r="D714" s="4" t="s">
        <v>314</v>
      </c>
      <c r="E714" s="4" t="s">
        <v>66</v>
      </c>
      <c r="F714" t="s">
        <v>226</v>
      </c>
      <c r="G714" t="s">
        <v>223</v>
      </c>
      <c r="H714">
        <f>VLOOKUP(C714,'TB Apr 24'!$B$13:$P$103,15,0)</f>
        <v>0</v>
      </c>
    </row>
    <row r="715" spans="1:8" x14ac:dyDescent="0.35">
      <c r="A715" s="77">
        <v>45383</v>
      </c>
      <c r="B715" s="3" t="s">
        <v>67</v>
      </c>
      <c r="C715" s="4" t="s">
        <v>68</v>
      </c>
      <c r="D715" s="4" t="s">
        <v>314</v>
      </c>
      <c r="E715" s="4" t="s">
        <v>252</v>
      </c>
      <c r="F715" t="s">
        <v>226</v>
      </c>
      <c r="G715" t="s">
        <v>223</v>
      </c>
      <c r="H715">
        <f>VLOOKUP(C715,'TB Apr 24'!$B$13:$P$103,15,0)</f>
        <v>0</v>
      </c>
    </row>
    <row r="716" spans="1:8" x14ac:dyDescent="0.35">
      <c r="A716" s="77">
        <v>45383</v>
      </c>
      <c r="B716" s="3" t="s">
        <v>69</v>
      </c>
      <c r="C716" s="4" t="s">
        <v>70</v>
      </c>
      <c r="D716" s="4" t="s">
        <v>314</v>
      </c>
      <c r="E716" s="4" t="s">
        <v>70</v>
      </c>
      <c r="F716" t="s">
        <v>226</v>
      </c>
      <c r="G716" t="s">
        <v>223</v>
      </c>
      <c r="H716">
        <f>VLOOKUP(C716,'TB Apr 24'!$B$13:$P$103,15,0)</f>
        <v>0</v>
      </c>
    </row>
    <row r="717" spans="1:8" x14ac:dyDescent="0.35">
      <c r="A717" s="77">
        <v>45383</v>
      </c>
      <c r="B717" s="3" t="s">
        <v>71</v>
      </c>
      <c r="C717" s="4" t="s">
        <v>72</v>
      </c>
      <c r="D717" s="4" t="s">
        <v>314</v>
      </c>
      <c r="E717" s="4" t="s">
        <v>253</v>
      </c>
      <c r="F717" t="s">
        <v>226</v>
      </c>
      <c r="G717" t="s">
        <v>223</v>
      </c>
      <c r="H717">
        <f>VLOOKUP(C717,'TB Apr 24'!$B$13:$P$103,15,0)</f>
        <v>0</v>
      </c>
    </row>
    <row r="718" spans="1:8" x14ac:dyDescent="0.35">
      <c r="A718" s="77">
        <v>45383</v>
      </c>
      <c r="B718" s="3" t="s">
        <v>73</v>
      </c>
      <c r="C718" s="4" t="s">
        <v>74</v>
      </c>
      <c r="D718" s="4" t="s">
        <v>314</v>
      </c>
      <c r="E718" s="4" t="s">
        <v>253</v>
      </c>
      <c r="F718" t="s">
        <v>226</v>
      </c>
      <c r="G718" t="s">
        <v>223</v>
      </c>
      <c r="H718">
        <f>VLOOKUP(C718,'TB Apr 24'!$B$13:$P$103,15,0)</f>
        <v>0</v>
      </c>
    </row>
    <row r="719" spans="1:8" x14ac:dyDescent="0.35">
      <c r="A719" s="77">
        <v>45383</v>
      </c>
      <c r="B719" s="3" t="s">
        <v>75</v>
      </c>
      <c r="C719" s="4" t="s">
        <v>76</v>
      </c>
      <c r="D719" s="4" t="s">
        <v>314</v>
      </c>
      <c r="E719" s="4" t="s">
        <v>253</v>
      </c>
      <c r="F719" t="s">
        <v>226</v>
      </c>
      <c r="G719" t="s">
        <v>223</v>
      </c>
      <c r="H719">
        <f>VLOOKUP(C719,'TB Apr 24'!$B$13:$P$103,15,0)</f>
        <v>0</v>
      </c>
    </row>
    <row r="720" spans="1:8" x14ac:dyDescent="0.35">
      <c r="A720" s="77">
        <v>45383</v>
      </c>
      <c r="B720" s="3" t="s">
        <v>77</v>
      </c>
      <c r="C720" s="4" t="s">
        <v>78</v>
      </c>
      <c r="D720" s="4" t="s">
        <v>314</v>
      </c>
      <c r="E720" s="4" t="s">
        <v>253</v>
      </c>
      <c r="F720" t="s">
        <v>226</v>
      </c>
      <c r="G720" t="s">
        <v>223</v>
      </c>
      <c r="H720">
        <f>VLOOKUP(C720,'TB Apr 24'!$B$13:$P$103,15,0)</f>
        <v>0</v>
      </c>
    </row>
    <row r="721" spans="1:8" x14ac:dyDescent="0.35">
      <c r="A721" s="77">
        <v>45383</v>
      </c>
      <c r="B721" s="3" t="s">
        <v>79</v>
      </c>
      <c r="C721" s="4" t="s">
        <v>80</v>
      </c>
      <c r="D721" s="4" t="s">
        <v>314</v>
      </c>
      <c r="E721" s="4" t="s">
        <v>253</v>
      </c>
      <c r="F721" t="s">
        <v>226</v>
      </c>
      <c r="G721" t="s">
        <v>223</v>
      </c>
      <c r="H721">
        <f>VLOOKUP(C721,'TB Apr 24'!$B$13:$P$103,15,0)</f>
        <v>0</v>
      </c>
    </row>
    <row r="722" spans="1:8" x14ac:dyDescent="0.35">
      <c r="A722" s="77">
        <v>45383</v>
      </c>
      <c r="B722" s="3" t="s">
        <v>81</v>
      </c>
      <c r="C722" s="4" t="s">
        <v>82</v>
      </c>
      <c r="D722" s="4" t="s">
        <v>314</v>
      </c>
      <c r="E722" s="4" t="s">
        <v>319</v>
      </c>
      <c r="F722" t="s">
        <v>226</v>
      </c>
      <c r="G722" t="s">
        <v>223</v>
      </c>
      <c r="H722">
        <f>VLOOKUP(C722,'TB Apr 24'!$B$13:$P$103,15,0)</f>
        <v>0</v>
      </c>
    </row>
    <row r="723" spans="1:8" x14ac:dyDescent="0.35">
      <c r="A723" s="77">
        <v>45383</v>
      </c>
      <c r="B723" s="3" t="s">
        <v>83</v>
      </c>
      <c r="C723" s="4" t="s">
        <v>84</v>
      </c>
      <c r="D723" s="4" t="s">
        <v>314</v>
      </c>
      <c r="E723" s="4" t="s">
        <v>319</v>
      </c>
      <c r="F723" t="s">
        <v>226</v>
      </c>
      <c r="G723" t="s">
        <v>223</v>
      </c>
      <c r="H723">
        <f>VLOOKUP(C723,'TB Apr 24'!$B$13:$P$103,15,0)</f>
        <v>0</v>
      </c>
    </row>
    <row r="724" spans="1:8" x14ac:dyDescent="0.35">
      <c r="A724" s="77">
        <v>45383</v>
      </c>
      <c r="B724" s="3" t="s">
        <v>85</v>
      </c>
      <c r="C724" s="4" t="s">
        <v>86</v>
      </c>
      <c r="D724" s="4" t="s">
        <v>314</v>
      </c>
      <c r="E724" s="4" t="s">
        <v>291</v>
      </c>
      <c r="F724" t="s">
        <v>226</v>
      </c>
      <c r="G724" t="s">
        <v>223</v>
      </c>
      <c r="H724">
        <f>VLOOKUP(C724,'TB Apr 24'!$B$13:$P$103,15,0)</f>
        <v>0</v>
      </c>
    </row>
    <row r="725" spans="1:8" x14ac:dyDescent="0.35">
      <c r="A725" s="77">
        <v>45383</v>
      </c>
      <c r="B725" s="3" t="s">
        <v>88</v>
      </c>
      <c r="C725" s="4" t="s">
        <v>89</v>
      </c>
      <c r="D725" s="4" t="s">
        <v>314</v>
      </c>
      <c r="E725" s="4" t="s">
        <v>300</v>
      </c>
      <c r="F725" t="s">
        <v>226</v>
      </c>
      <c r="G725" t="s">
        <v>223</v>
      </c>
      <c r="H725">
        <f>VLOOKUP(C725,'TB Apr 24'!$B$13:$P$103,15,0)</f>
        <v>0</v>
      </c>
    </row>
    <row r="726" spans="1:8" x14ac:dyDescent="0.35">
      <c r="A726" s="77">
        <v>45383</v>
      </c>
      <c r="B726" s="3" t="s">
        <v>90</v>
      </c>
      <c r="C726" s="4" t="s">
        <v>91</v>
      </c>
      <c r="D726" s="4" t="s">
        <v>314</v>
      </c>
      <c r="E726" s="4" t="s">
        <v>300</v>
      </c>
      <c r="F726" t="s">
        <v>226</v>
      </c>
      <c r="G726" t="s">
        <v>223</v>
      </c>
      <c r="H726">
        <f>VLOOKUP(C726,'TB Apr 24'!$B$13:$P$103,15,0)</f>
        <v>0</v>
      </c>
    </row>
    <row r="727" spans="1:8" x14ac:dyDescent="0.35">
      <c r="A727" s="77">
        <v>45383</v>
      </c>
      <c r="B727" s="3" t="s">
        <v>92</v>
      </c>
      <c r="C727" s="4" t="s">
        <v>93</v>
      </c>
      <c r="D727" s="4" t="s">
        <v>314</v>
      </c>
      <c r="E727" s="4" t="s">
        <v>300</v>
      </c>
      <c r="F727" t="s">
        <v>226</v>
      </c>
      <c r="G727" t="s">
        <v>223</v>
      </c>
      <c r="H727">
        <f>VLOOKUP(C727,'TB Apr 24'!$B$13:$P$103,15,0)</f>
        <v>0</v>
      </c>
    </row>
    <row r="728" spans="1:8" x14ac:dyDescent="0.35">
      <c r="A728" s="77">
        <v>45383</v>
      </c>
      <c r="B728" s="3" t="s">
        <v>94</v>
      </c>
      <c r="C728" s="4" t="s">
        <v>95</v>
      </c>
      <c r="D728" s="4" t="s">
        <v>314</v>
      </c>
      <c r="E728" s="4" t="s">
        <v>289</v>
      </c>
      <c r="F728" t="s">
        <v>226</v>
      </c>
      <c r="G728" t="s">
        <v>223</v>
      </c>
      <c r="H728">
        <f>VLOOKUP(C728,'TB Apr 24'!$B$13:$P$103,15,0)</f>
        <v>0</v>
      </c>
    </row>
    <row r="729" spans="1:8" x14ac:dyDescent="0.35">
      <c r="A729" s="77">
        <v>45383</v>
      </c>
      <c r="B729" s="3" t="s">
        <v>96</v>
      </c>
      <c r="C729" s="4" t="s">
        <v>97</v>
      </c>
      <c r="D729" s="4" t="s">
        <v>314</v>
      </c>
      <c r="E729" s="4" t="s">
        <v>289</v>
      </c>
      <c r="F729" t="s">
        <v>226</v>
      </c>
      <c r="G729" t="s">
        <v>223</v>
      </c>
      <c r="H729">
        <f>VLOOKUP(C729,'TB Apr 24'!$B$13:$P$103,15,0)</f>
        <v>0</v>
      </c>
    </row>
    <row r="730" spans="1:8" x14ac:dyDescent="0.35">
      <c r="A730" s="77">
        <v>45383</v>
      </c>
      <c r="B730" s="3" t="s">
        <v>309</v>
      </c>
      <c r="C730" s="4" t="s">
        <v>310</v>
      </c>
      <c r="D730" s="4" t="s">
        <v>314</v>
      </c>
      <c r="E730" s="4" t="s">
        <v>289</v>
      </c>
      <c r="F730" t="s">
        <v>226</v>
      </c>
      <c r="G730" t="s">
        <v>223</v>
      </c>
      <c r="H730">
        <f>VLOOKUP(C730,'TB Apr 24'!$B$13:$P$103,15,0)</f>
        <v>0</v>
      </c>
    </row>
    <row r="731" spans="1:8" x14ac:dyDescent="0.35">
      <c r="A731" s="77">
        <v>45383</v>
      </c>
      <c r="B731" s="3" t="s">
        <v>98</v>
      </c>
      <c r="C731" s="4" t="s">
        <v>99</v>
      </c>
      <c r="D731" s="4" t="s">
        <v>314</v>
      </c>
      <c r="E731" s="4" t="s">
        <v>289</v>
      </c>
      <c r="F731" t="s">
        <v>226</v>
      </c>
      <c r="G731" t="s">
        <v>223</v>
      </c>
      <c r="H731">
        <f>VLOOKUP(C731,'TB Apr 24'!$B$13:$P$103,15,0)</f>
        <v>0</v>
      </c>
    </row>
    <row r="732" spans="1:8" x14ac:dyDescent="0.35">
      <c r="A732" s="77">
        <v>45383</v>
      </c>
      <c r="B732" s="3" t="s">
        <v>100</v>
      </c>
      <c r="C732" s="4" t="s">
        <v>101</v>
      </c>
      <c r="D732" s="4" t="s">
        <v>314</v>
      </c>
      <c r="E732" s="4" t="s">
        <v>291</v>
      </c>
      <c r="F732" t="s">
        <v>226</v>
      </c>
      <c r="G732" t="s">
        <v>223</v>
      </c>
      <c r="H732">
        <f>VLOOKUP(C732,'TB Apr 24'!$B$13:$P$103,15,0)</f>
        <v>0</v>
      </c>
    </row>
    <row r="733" spans="1:8" x14ac:dyDescent="0.35">
      <c r="A733" s="77">
        <v>45383</v>
      </c>
      <c r="B733" s="3" t="s">
        <v>102</v>
      </c>
      <c r="C733" s="4" t="s">
        <v>103</v>
      </c>
      <c r="D733" s="4" t="s">
        <v>314</v>
      </c>
      <c r="E733" s="4" t="s">
        <v>291</v>
      </c>
      <c r="F733" t="s">
        <v>226</v>
      </c>
      <c r="G733" t="s">
        <v>223</v>
      </c>
      <c r="H733">
        <f>VLOOKUP(C733,'TB Apr 24'!$B$13:$P$103,15,0)</f>
        <v>0</v>
      </c>
    </row>
    <row r="734" spans="1:8" x14ac:dyDescent="0.35">
      <c r="A734" s="77">
        <v>45383</v>
      </c>
      <c r="B734" s="3" t="s">
        <v>104</v>
      </c>
      <c r="C734" s="4" t="s">
        <v>105</v>
      </c>
      <c r="D734" s="4" t="s">
        <v>314</v>
      </c>
      <c r="E734" s="4" t="s">
        <v>291</v>
      </c>
      <c r="F734" t="s">
        <v>226</v>
      </c>
      <c r="G734" t="s">
        <v>223</v>
      </c>
      <c r="H734">
        <f>VLOOKUP(C734,'TB Apr 24'!$B$13:$P$103,15,0)</f>
        <v>0</v>
      </c>
    </row>
    <row r="735" spans="1:8" x14ac:dyDescent="0.35">
      <c r="A735" s="77">
        <v>45383</v>
      </c>
      <c r="B735" s="3" t="s">
        <v>106</v>
      </c>
      <c r="C735" s="4" t="s">
        <v>107</v>
      </c>
      <c r="D735" s="4" t="s">
        <v>314</v>
      </c>
      <c r="E735" s="4" t="s">
        <v>321</v>
      </c>
      <c r="F735" t="s">
        <v>226</v>
      </c>
      <c r="G735" t="s">
        <v>223</v>
      </c>
      <c r="H735">
        <f>VLOOKUP(C735,'TB Apr 24'!$B$13:$P$103,15,0)</f>
        <v>0</v>
      </c>
    </row>
    <row r="736" spans="1:8" x14ac:dyDescent="0.35">
      <c r="A736" s="77">
        <v>45383</v>
      </c>
      <c r="B736" s="3" t="s">
        <v>108</v>
      </c>
      <c r="C736" s="4" t="s">
        <v>109</v>
      </c>
      <c r="D736" s="4" t="s">
        <v>314</v>
      </c>
      <c r="E736" s="4" t="s">
        <v>321</v>
      </c>
      <c r="F736" t="s">
        <v>226</v>
      </c>
      <c r="G736" t="s">
        <v>223</v>
      </c>
      <c r="H736">
        <f>VLOOKUP(C736,'TB Apr 24'!$B$13:$P$103,15,0)</f>
        <v>0</v>
      </c>
    </row>
    <row r="737" spans="1:8" x14ac:dyDescent="0.35">
      <c r="A737" s="77">
        <v>45383</v>
      </c>
      <c r="B737" s="3" t="s">
        <v>110</v>
      </c>
      <c r="C737" s="4" t="s">
        <v>111</v>
      </c>
      <c r="D737" s="4" t="s">
        <v>314</v>
      </c>
      <c r="E737" s="4" t="s">
        <v>320</v>
      </c>
      <c r="F737" t="s">
        <v>226</v>
      </c>
      <c r="G737" t="s">
        <v>223</v>
      </c>
      <c r="H737">
        <f>VLOOKUP(C737,'TB Apr 24'!$B$13:$P$103,15,0)</f>
        <v>0</v>
      </c>
    </row>
    <row r="738" spans="1:8" x14ac:dyDescent="0.35">
      <c r="A738" s="77">
        <v>45383</v>
      </c>
      <c r="B738" s="3" t="s">
        <v>112</v>
      </c>
      <c r="C738" s="4" t="s">
        <v>113</v>
      </c>
      <c r="D738" s="4" t="s">
        <v>314</v>
      </c>
      <c r="E738" s="4" t="s">
        <v>321</v>
      </c>
      <c r="F738" t="s">
        <v>226</v>
      </c>
      <c r="G738" t="s">
        <v>223</v>
      </c>
      <c r="H738">
        <f>VLOOKUP(C738,'TB Apr 24'!$B$13:$P$103,15,0)</f>
        <v>0</v>
      </c>
    </row>
    <row r="739" spans="1:8" x14ac:dyDescent="0.35">
      <c r="A739" s="77">
        <v>45383</v>
      </c>
      <c r="B739" s="3" t="s">
        <v>311</v>
      </c>
      <c r="C739" s="4" t="s">
        <v>312</v>
      </c>
      <c r="D739" s="4" t="s">
        <v>314</v>
      </c>
      <c r="E739" s="4" t="s">
        <v>288</v>
      </c>
      <c r="F739" t="s">
        <v>226</v>
      </c>
      <c r="G739" t="s">
        <v>223</v>
      </c>
      <c r="H739">
        <f>VLOOKUP(C739,'TB Apr 24'!$B$13:$P$103,15,0)</f>
        <v>0</v>
      </c>
    </row>
    <row r="740" spans="1:8" x14ac:dyDescent="0.35">
      <c r="A740" s="77">
        <v>45383</v>
      </c>
      <c r="B740" s="3" t="s">
        <v>114</v>
      </c>
      <c r="C740" s="4" t="s">
        <v>115</v>
      </c>
      <c r="D740" s="4" t="s">
        <v>314</v>
      </c>
      <c r="E740" s="4" t="s">
        <v>294</v>
      </c>
      <c r="F740" t="s">
        <v>226</v>
      </c>
      <c r="G740" t="s">
        <v>223</v>
      </c>
      <c r="H740">
        <f>VLOOKUP(C740,'TB Apr 24'!$B$13:$P$103,15,0)</f>
        <v>0</v>
      </c>
    </row>
    <row r="741" spans="1:8" x14ac:dyDescent="0.35">
      <c r="A741" s="77">
        <v>45383</v>
      </c>
      <c r="B741" s="3" t="s">
        <v>116</v>
      </c>
      <c r="C741" s="4" t="s">
        <v>117</v>
      </c>
      <c r="D741" s="4" t="s">
        <v>314</v>
      </c>
      <c r="E741" s="4" t="s">
        <v>296</v>
      </c>
      <c r="F741" t="s">
        <v>226</v>
      </c>
      <c r="G741" t="s">
        <v>223</v>
      </c>
      <c r="H741">
        <f>VLOOKUP(C741,'TB Apr 24'!$B$13:$P$103,15,0)</f>
        <v>0</v>
      </c>
    </row>
    <row r="742" spans="1:8" x14ac:dyDescent="0.35">
      <c r="A742" s="77">
        <v>45383</v>
      </c>
      <c r="B742" s="3" t="s">
        <v>118</v>
      </c>
      <c r="C742" s="4" t="s">
        <v>119</v>
      </c>
      <c r="D742" s="4" t="s">
        <v>314</v>
      </c>
      <c r="E742" s="4" t="s">
        <v>296</v>
      </c>
      <c r="F742" t="s">
        <v>226</v>
      </c>
      <c r="G742" t="s">
        <v>223</v>
      </c>
      <c r="H742">
        <f>VLOOKUP(C742,'TB Apr 24'!$B$13:$P$103,15,0)</f>
        <v>0</v>
      </c>
    </row>
    <row r="743" spans="1:8" x14ac:dyDescent="0.35">
      <c r="A743" s="77">
        <v>45383</v>
      </c>
      <c r="B743" s="3" t="s">
        <v>120</v>
      </c>
      <c r="C743" s="4" t="s">
        <v>121</v>
      </c>
      <c r="D743" s="4" t="s">
        <v>314</v>
      </c>
      <c r="E743" s="4" t="s">
        <v>322</v>
      </c>
      <c r="F743" t="s">
        <v>226</v>
      </c>
      <c r="G743" t="s">
        <v>223</v>
      </c>
      <c r="H743">
        <f>VLOOKUP(C743,'TB Apr 24'!$B$13:$P$103,15,0)</f>
        <v>0</v>
      </c>
    </row>
    <row r="744" spans="1:8" x14ac:dyDescent="0.35">
      <c r="A744" s="77">
        <v>45383</v>
      </c>
      <c r="B744" s="3" t="s">
        <v>122</v>
      </c>
      <c r="C744" s="4" t="s">
        <v>123</v>
      </c>
      <c r="D744" s="4" t="s">
        <v>314</v>
      </c>
      <c r="E744" s="4" t="s">
        <v>322</v>
      </c>
      <c r="F744" t="s">
        <v>226</v>
      </c>
      <c r="G744" t="s">
        <v>223</v>
      </c>
      <c r="H744">
        <f>VLOOKUP(C744,'TB Apr 24'!$B$13:$P$103,15,0)</f>
        <v>0</v>
      </c>
    </row>
    <row r="745" spans="1:8" x14ac:dyDescent="0.35">
      <c r="A745" s="77">
        <v>45383</v>
      </c>
      <c r="B745" s="3" t="s">
        <v>124</v>
      </c>
      <c r="C745" s="4" t="s">
        <v>125</v>
      </c>
      <c r="D745" s="4" t="s">
        <v>314</v>
      </c>
      <c r="E745" s="4" t="s">
        <v>322</v>
      </c>
      <c r="F745" t="s">
        <v>226</v>
      </c>
      <c r="G745" t="s">
        <v>223</v>
      </c>
      <c r="H745">
        <f>VLOOKUP(C745,'TB Apr 24'!$B$13:$P$103,15,0)</f>
        <v>0</v>
      </c>
    </row>
    <row r="746" spans="1:8" x14ac:dyDescent="0.35">
      <c r="A746" s="77">
        <v>45383</v>
      </c>
      <c r="B746" s="3" t="s">
        <v>126</v>
      </c>
      <c r="C746" s="4" t="s">
        <v>127</v>
      </c>
      <c r="D746" s="4" t="s">
        <v>314</v>
      </c>
      <c r="E746" s="4" t="s">
        <v>291</v>
      </c>
      <c r="F746" t="s">
        <v>226</v>
      </c>
      <c r="G746" t="s">
        <v>223</v>
      </c>
      <c r="H746">
        <f>VLOOKUP(C746,'TB Apr 24'!$B$13:$P$103,15,0)</f>
        <v>0</v>
      </c>
    </row>
    <row r="747" spans="1:8" x14ac:dyDescent="0.35">
      <c r="A747" s="77">
        <v>45383</v>
      </c>
      <c r="B747" s="3" t="s">
        <v>128</v>
      </c>
      <c r="C747" s="4" t="s">
        <v>129</v>
      </c>
      <c r="D747" s="4" t="s">
        <v>314</v>
      </c>
      <c r="E747" s="4" t="s">
        <v>322</v>
      </c>
      <c r="F747" t="s">
        <v>226</v>
      </c>
      <c r="G747" t="s">
        <v>223</v>
      </c>
      <c r="H747">
        <f>VLOOKUP(C747,'TB Apr 24'!$B$13:$P$103,15,0)</f>
        <v>0</v>
      </c>
    </row>
    <row r="748" spans="1:8" x14ac:dyDescent="0.35">
      <c r="A748" s="77">
        <v>45383</v>
      </c>
      <c r="B748" s="3" t="s">
        <v>130</v>
      </c>
      <c r="C748" s="4" t="s">
        <v>131</v>
      </c>
      <c r="D748" s="4" t="s">
        <v>314</v>
      </c>
      <c r="E748" s="4" t="s">
        <v>322</v>
      </c>
      <c r="F748" t="s">
        <v>226</v>
      </c>
      <c r="G748" t="s">
        <v>223</v>
      </c>
      <c r="H748">
        <f>VLOOKUP(C748,'TB Apr 24'!$B$13:$P$103,15,0)</f>
        <v>0</v>
      </c>
    </row>
    <row r="749" spans="1:8" x14ac:dyDescent="0.35">
      <c r="A749" s="77">
        <v>45383</v>
      </c>
      <c r="B749" s="3" t="s">
        <v>132</v>
      </c>
      <c r="C749" s="4" t="s">
        <v>133</v>
      </c>
      <c r="D749" s="4" t="s">
        <v>314</v>
      </c>
      <c r="E749" s="4" t="s">
        <v>320</v>
      </c>
      <c r="F749" t="s">
        <v>226</v>
      </c>
      <c r="G749" t="s">
        <v>223</v>
      </c>
      <c r="H749">
        <f>VLOOKUP(C749,'TB Apr 24'!$B$13:$P$103,15,0)</f>
        <v>0</v>
      </c>
    </row>
    <row r="750" spans="1:8" x14ac:dyDescent="0.35">
      <c r="A750" s="77">
        <v>45383</v>
      </c>
      <c r="B750" s="3" t="s">
        <v>134</v>
      </c>
      <c r="C750" s="4" t="s">
        <v>135</v>
      </c>
      <c r="D750" s="4" t="s">
        <v>314</v>
      </c>
      <c r="E750" s="4" t="s">
        <v>299</v>
      </c>
      <c r="F750" t="s">
        <v>226</v>
      </c>
      <c r="G750" t="s">
        <v>223</v>
      </c>
      <c r="H750">
        <f>VLOOKUP(C750,'TB Apr 24'!$B$13:$P$103,15,0)</f>
        <v>0</v>
      </c>
    </row>
    <row r="751" spans="1:8" x14ac:dyDescent="0.35">
      <c r="A751" s="77">
        <v>45383</v>
      </c>
      <c r="B751" s="3" t="s">
        <v>136</v>
      </c>
      <c r="C751" s="4" t="s">
        <v>137</v>
      </c>
      <c r="D751" s="4" t="s">
        <v>314</v>
      </c>
      <c r="E751" s="4" t="s">
        <v>322</v>
      </c>
      <c r="F751" t="s">
        <v>226</v>
      </c>
      <c r="G751" t="s">
        <v>223</v>
      </c>
      <c r="H751">
        <f>VLOOKUP(C751,'TB Apr 24'!$B$13:$P$103,15,0)</f>
        <v>0</v>
      </c>
    </row>
    <row r="752" spans="1:8" x14ac:dyDescent="0.35">
      <c r="A752" s="77">
        <v>45383</v>
      </c>
      <c r="B752" s="3" t="s">
        <v>138</v>
      </c>
      <c r="C752" s="4" t="s">
        <v>139</v>
      </c>
      <c r="D752" s="4" t="s">
        <v>314</v>
      </c>
      <c r="E752" s="4" t="s">
        <v>294</v>
      </c>
      <c r="F752" t="s">
        <v>226</v>
      </c>
      <c r="G752" t="s">
        <v>223</v>
      </c>
      <c r="H752">
        <f>VLOOKUP(C752,'TB Apr 24'!$B$13:$P$103,15,0)</f>
        <v>0</v>
      </c>
    </row>
    <row r="753" spans="1:8" x14ac:dyDescent="0.35">
      <c r="A753" s="77">
        <v>45383</v>
      </c>
      <c r="B753" s="3" t="s">
        <v>140</v>
      </c>
      <c r="C753" s="4" t="s">
        <v>141</v>
      </c>
      <c r="D753" s="4" t="s">
        <v>314</v>
      </c>
      <c r="E753" s="4" t="s">
        <v>268</v>
      </c>
      <c r="F753" t="s">
        <v>226</v>
      </c>
      <c r="G753" t="s">
        <v>223</v>
      </c>
      <c r="H753">
        <f>VLOOKUP(C753,'TB Apr 24'!$B$13:$P$103,15,0)</f>
        <v>0</v>
      </c>
    </row>
    <row r="754" spans="1:8" x14ac:dyDescent="0.35">
      <c r="A754" s="77">
        <v>45383</v>
      </c>
      <c r="B754" s="3" t="s">
        <v>142</v>
      </c>
      <c r="C754" s="4" t="s">
        <v>143</v>
      </c>
      <c r="D754" s="4" t="s">
        <v>314</v>
      </c>
      <c r="E754" s="4" t="s">
        <v>269</v>
      </c>
      <c r="F754" t="s">
        <v>226</v>
      </c>
      <c r="G754" t="s">
        <v>223</v>
      </c>
      <c r="H754">
        <f>VLOOKUP(C754,'TB Apr 24'!$B$13:$P$103,15,0)</f>
        <v>0</v>
      </c>
    </row>
    <row r="755" spans="1:8" x14ac:dyDescent="0.35">
      <c r="A755" s="77">
        <v>45383</v>
      </c>
      <c r="B755" s="3" t="s">
        <v>144</v>
      </c>
      <c r="C755" s="4" t="s">
        <v>145</v>
      </c>
      <c r="D755" s="4" t="s">
        <v>314</v>
      </c>
      <c r="E755" s="4" t="s">
        <v>288</v>
      </c>
      <c r="F755" t="s">
        <v>226</v>
      </c>
      <c r="G755" t="s">
        <v>223</v>
      </c>
      <c r="H755">
        <f>VLOOKUP(C755,'TB Apr 24'!$B$13:$P$103,15,0)</f>
        <v>0</v>
      </c>
    </row>
    <row r="756" spans="1:8" x14ac:dyDescent="0.35">
      <c r="A756" s="77">
        <v>45383</v>
      </c>
      <c r="B756" s="3" t="s">
        <v>146</v>
      </c>
      <c r="C756" s="4" t="s">
        <v>147</v>
      </c>
      <c r="D756" s="4" t="s">
        <v>314</v>
      </c>
      <c r="E756" s="4" t="s">
        <v>288</v>
      </c>
      <c r="F756" t="s">
        <v>226</v>
      </c>
      <c r="G756" t="s">
        <v>223</v>
      </c>
      <c r="H756">
        <f>VLOOKUP(C756,'TB Apr 24'!$B$13:$P$103,15,0)</f>
        <v>0</v>
      </c>
    </row>
    <row r="757" spans="1:8" x14ac:dyDescent="0.35">
      <c r="A757" s="77">
        <v>45383</v>
      </c>
      <c r="B757" s="3" t="s">
        <v>148</v>
      </c>
      <c r="C757" s="4" t="s">
        <v>149</v>
      </c>
      <c r="D757" s="4" t="s">
        <v>314</v>
      </c>
      <c r="E757" s="4" t="s">
        <v>287</v>
      </c>
      <c r="F757" t="s">
        <v>226</v>
      </c>
      <c r="G757" t="s">
        <v>223</v>
      </c>
      <c r="H757">
        <f>VLOOKUP(C757,'TB Apr 24'!$B$13:$P$103,15,0)</f>
        <v>0</v>
      </c>
    </row>
    <row r="758" spans="1:8" x14ac:dyDescent="0.35">
      <c r="A758" s="77">
        <v>45383</v>
      </c>
      <c r="B758" s="3" t="s">
        <v>150</v>
      </c>
      <c r="C758" s="4" t="s">
        <v>87</v>
      </c>
      <c r="D758" s="4" t="s">
        <v>314</v>
      </c>
      <c r="E758" s="4" t="s">
        <v>288</v>
      </c>
      <c r="F758" t="s">
        <v>226</v>
      </c>
      <c r="G758" t="s">
        <v>223</v>
      </c>
      <c r="H758">
        <f>VLOOKUP(C758,'TB Apr 24'!$B$13:$P$103,15,0)</f>
        <v>0</v>
      </c>
    </row>
    <row r="759" spans="1:8" x14ac:dyDescent="0.35">
      <c r="A759" s="77">
        <v>45383</v>
      </c>
      <c r="B759" s="3" t="s">
        <v>151</v>
      </c>
      <c r="C759" s="4" t="s">
        <v>152</v>
      </c>
      <c r="D759" s="4" t="s">
        <v>314</v>
      </c>
      <c r="E759" s="4" t="s">
        <v>288</v>
      </c>
      <c r="F759" t="s">
        <v>226</v>
      </c>
      <c r="G759" t="s">
        <v>223</v>
      </c>
      <c r="H759">
        <f>VLOOKUP(C759,'TB Apr 24'!$B$13:$P$103,15,0)</f>
        <v>0</v>
      </c>
    </row>
    <row r="760" spans="1:8" x14ac:dyDescent="0.35">
      <c r="A760" s="77">
        <v>45383</v>
      </c>
      <c r="B760" s="3" t="s">
        <v>153</v>
      </c>
      <c r="C760" s="4" t="s">
        <v>154</v>
      </c>
      <c r="D760" s="4" t="s">
        <v>314</v>
      </c>
      <c r="E760" s="4" t="s">
        <v>288</v>
      </c>
      <c r="F760" t="s">
        <v>226</v>
      </c>
      <c r="G760" t="s">
        <v>223</v>
      </c>
      <c r="H760">
        <f>VLOOKUP(C760,'TB Apr 24'!$B$13:$P$103,15,0)</f>
        <v>0</v>
      </c>
    </row>
    <row r="761" spans="1:8" x14ac:dyDescent="0.35">
      <c r="A761" s="77">
        <v>45383</v>
      </c>
      <c r="B761" s="3" t="s">
        <v>155</v>
      </c>
      <c r="C761" s="4" t="s">
        <v>156</v>
      </c>
      <c r="D761" s="4" t="s">
        <v>314</v>
      </c>
      <c r="E761" s="4" t="s">
        <v>288</v>
      </c>
      <c r="F761" t="s">
        <v>226</v>
      </c>
      <c r="G761" t="s">
        <v>223</v>
      </c>
      <c r="H761">
        <f>VLOOKUP(C761,'TB Apr 24'!$B$13:$P$103,15,0)</f>
        <v>0</v>
      </c>
    </row>
    <row r="762" spans="1:8" x14ac:dyDescent="0.35">
      <c r="A762" s="77">
        <v>45383</v>
      </c>
      <c r="B762" s="3" t="s">
        <v>157</v>
      </c>
      <c r="C762" s="4" t="s">
        <v>158</v>
      </c>
      <c r="D762" s="4" t="s">
        <v>314</v>
      </c>
      <c r="E762" s="4" t="s">
        <v>292</v>
      </c>
      <c r="F762" t="s">
        <v>226</v>
      </c>
      <c r="G762" t="s">
        <v>223</v>
      </c>
      <c r="H762">
        <f>VLOOKUP(C762,'TB Apr 24'!$B$13:$P$103,15,0)</f>
        <v>0</v>
      </c>
    </row>
    <row r="763" spans="1:8" x14ac:dyDescent="0.35">
      <c r="A763" s="77">
        <v>45383</v>
      </c>
      <c r="B763" s="3" t="s">
        <v>159</v>
      </c>
      <c r="C763" s="4" t="s">
        <v>160</v>
      </c>
      <c r="D763" s="4" t="s">
        <v>314</v>
      </c>
      <c r="E763" s="4" t="s">
        <v>323</v>
      </c>
      <c r="F763" t="s">
        <v>226</v>
      </c>
      <c r="G763" t="s">
        <v>223</v>
      </c>
      <c r="H763">
        <f>VLOOKUP(C763,'TB Apr 24'!$B$13:$P$103,15,0)</f>
        <v>0</v>
      </c>
    </row>
    <row r="764" spans="1:8" x14ac:dyDescent="0.35">
      <c r="A764" s="77">
        <v>45383</v>
      </c>
      <c r="B764" s="3" t="s">
        <v>161</v>
      </c>
      <c r="C764" s="4" t="s">
        <v>162</v>
      </c>
      <c r="D764" s="4" t="s">
        <v>314</v>
      </c>
      <c r="E764" s="4" t="s">
        <v>323</v>
      </c>
      <c r="F764" t="s">
        <v>226</v>
      </c>
      <c r="G764" t="s">
        <v>223</v>
      </c>
      <c r="H764">
        <f>VLOOKUP(C764,'TB Apr 24'!$B$13:$P$103,15,0)</f>
        <v>0</v>
      </c>
    </row>
    <row r="765" spans="1:8" x14ac:dyDescent="0.35">
      <c r="A765" s="77">
        <v>45383</v>
      </c>
      <c r="B765" s="3" t="s">
        <v>163</v>
      </c>
      <c r="C765" s="4" t="s">
        <v>164</v>
      </c>
      <c r="D765" s="4" t="s">
        <v>314</v>
      </c>
      <c r="E765" s="4" t="s">
        <v>319</v>
      </c>
      <c r="F765" t="s">
        <v>226</v>
      </c>
      <c r="G765" t="s">
        <v>223</v>
      </c>
      <c r="H765">
        <f>VLOOKUP(C765,'TB Apr 24'!$B$13:$P$103,15,0)</f>
        <v>0</v>
      </c>
    </row>
    <row r="766" spans="1:8" x14ac:dyDescent="0.35">
      <c r="A766" s="77">
        <v>45383</v>
      </c>
      <c r="B766" s="3" t="s">
        <v>165</v>
      </c>
      <c r="C766" s="4" t="s">
        <v>166</v>
      </c>
      <c r="D766" s="4" t="s">
        <v>314</v>
      </c>
      <c r="E766" s="4" t="s">
        <v>304</v>
      </c>
      <c r="F766" t="s">
        <v>226</v>
      </c>
      <c r="G766" t="s">
        <v>223</v>
      </c>
      <c r="H766">
        <f>VLOOKUP(C766,'TB Apr 24'!$B$13:$P$103,15,0)</f>
        <v>0</v>
      </c>
    </row>
    <row r="767" spans="1:8" x14ac:dyDescent="0.35">
      <c r="A767" s="77">
        <v>45383</v>
      </c>
      <c r="B767" s="3" t="s">
        <v>167</v>
      </c>
      <c r="C767" s="4" t="s">
        <v>168</v>
      </c>
      <c r="D767" s="4" t="s">
        <v>314</v>
      </c>
      <c r="E767" s="4" t="s">
        <v>322</v>
      </c>
      <c r="F767" t="s">
        <v>226</v>
      </c>
      <c r="G767" t="s">
        <v>223</v>
      </c>
      <c r="H767">
        <f>VLOOKUP(C767,'TB Apr 24'!$B$13:$P$103,15,0)</f>
        <v>0</v>
      </c>
    </row>
    <row r="768" spans="1:8" x14ac:dyDescent="0.35">
      <c r="A768" s="77">
        <v>45383</v>
      </c>
      <c r="B768" s="3" t="s">
        <v>169</v>
      </c>
      <c r="C768" s="4" t="s">
        <v>170</v>
      </c>
      <c r="D768" s="4" t="s">
        <v>314</v>
      </c>
      <c r="E768" s="4" t="s">
        <v>304</v>
      </c>
      <c r="F768" t="s">
        <v>226</v>
      </c>
      <c r="G768" t="s">
        <v>223</v>
      </c>
      <c r="H768">
        <f>VLOOKUP(C768,'TB Apr 24'!$B$13:$P$103,15,0)</f>
        <v>0</v>
      </c>
    </row>
    <row r="769" spans="1:8" x14ac:dyDescent="0.35">
      <c r="A769" s="77">
        <v>45383</v>
      </c>
      <c r="B769" s="3" t="s">
        <v>171</v>
      </c>
      <c r="C769" s="4" t="s">
        <v>172</v>
      </c>
      <c r="D769" s="4" t="s">
        <v>314</v>
      </c>
      <c r="E769" s="4" t="s">
        <v>303</v>
      </c>
      <c r="F769" t="s">
        <v>226</v>
      </c>
      <c r="G769" t="s">
        <v>223</v>
      </c>
      <c r="H769">
        <f>VLOOKUP(C769,'TB Apr 24'!$B$13:$P$103,15,0)</f>
        <v>0</v>
      </c>
    </row>
    <row r="770" spans="1:8" x14ac:dyDescent="0.35">
      <c r="A770" s="77">
        <v>45383</v>
      </c>
      <c r="B770" s="3" t="s">
        <v>173</v>
      </c>
      <c r="C770" s="4" t="s">
        <v>174</v>
      </c>
      <c r="D770" s="4" t="s">
        <v>314</v>
      </c>
      <c r="E770" s="4" t="s">
        <v>257</v>
      </c>
      <c r="F770" t="s">
        <v>226</v>
      </c>
      <c r="G770" t="s">
        <v>223</v>
      </c>
      <c r="H770">
        <f>VLOOKUP(C770,'TB Apr 24'!$B$13:$P$103,15,0)</f>
        <v>0</v>
      </c>
    </row>
    <row r="771" spans="1:8" x14ac:dyDescent="0.35">
      <c r="A771" s="77">
        <v>45383</v>
      </c>
      <c r="B771" s="3" t="s">
        <v>175</v>
      </c>
      <c r="C771" s="4" t="s">
        <v>176</v>
      </c>
      <c r="D771" s="4" t="s">
        <v>314</v>
      </c>
      <c r="E771" s="4" t="s">
        <v>257</v>
      </c>
      <c r="F771" t="s">
        <v>226</v>
      </c>
      <c r="G771" t="s">
        <v>223</v>
      </c>
      <c r="H771">
        <f>VLOOKUP(C771,'TB Apr 24'!$B$13:$P$103,15,0)</f>
        <v>0</v>
      </c>
    </row>
    <row r="772" spans="1:8" x14ac:dyDescent="0.35">
      <c r="A772" s="77">
        <v>45383</v>
      </c>
      <c r="B772" s="3" t="s">
        <v>177</v>
      </c>
      <c r="C772" s="4" t="s">
        <v>178</v>
      </c>
      <c r="D772" s="4" t="s">
        <v>314</v>
      </c>
      <c r="E772" s="4" t="s">
        <v>257</v>
      </c>
      <c r="F772" t="s">
        <v>226</v>
      </c>
      <c r="G772" t="s">
        <v>223</v>
      </c>
      <c r="H772">
        <f>VLOOKUP(C772,'TB Apr 24'!$B$13:$P$103,15,0)</f>
        <v>0</v>
      </c>
    </row>
    <row r="773" spans="1:8" x14ac:dyDescent="0.35">
      <c r="A773" s="77">
        <v>45383</v>
      </c>
      <c r="B773" s="3" t="s">
        <v>179</v>
      </c>
      <c r="C773" s="4" t="s">
        <v>180</v>
      </c>
      <c r="D773" s="4" t="s">
        <v>314</v>
      </c>
      <c r="E773" s="4" t="s">
        <v>322</v>
      </c>
      <c r="F773" t="s">
        <v>226</v>
      </c>
      <c r="G773" t="s">
        <v>223</v>
      </c>
      <c r="H773">
        <f>VLOOKUP(C773,'TB Apr 24'!$B$13:$P$103,15,0)</f>
        <v>0</v>
      </c>
    </row>
    <row r="774" spans="1:8" x14ac:dyDescent="0.35">
      <c r="A774" s="77">
        <v>45383</v>
      </c>
      <c r="B774" s="3" t="s">
        <v>181</v>
      </c>
      <c r="C774" s="4" t="s">
        <v>182</v>
      </c>
      <c r="D774" s="4" t="s">
        <v>314</v>
      </c>
      <c r="E774" s="4" t="s">
        <v>290</v>
      </c>
      <c r="F774" t="s">
        <v>226</v>
      </c>
      <c r="G774" t="s">
        <v>223</v>
      </c>
      <c r="H774">
        <f>VLOOKUP(C774,'TB Apr 24'!$B$13:$P$103,15,0)</f>
        <v>0</v>
      </c>
    </row>
    <row r="775" spans="1:8" x14ac:dyDescent="0.35">
      <c r="A775" s="77">
        <v>45383</v>
      </c>
      <c r="B775" s="3" t="s">
        <v>183</v>
      </c>
      <c r="C775" s="4" t="s">
        <v>184</v>
      </c>
      <c r="D775" s="4" t="s">
        <v>314</v>
      </c>
      <c r="E775" s="4" t="s">
        <v>290</v>
      </c>
      <c r="F775" t="s">
        <v>226</v>
      </c>
      <c r="G775" t="s">
        <v>223</v>
      </c>
      <c r="H775">
        <f>VLOOKUP(C775,'TB Apr 24'!$B$13:$P$103,15,0)</f>
        <v>0</v>
      </c>
    </row>
    <row r="776" spans="1:8" x14ac:dyDescent="0.35">
      <c r="A776" s="77">
        <v>45383</v>
      </c>
      <c r="B776" s="3" t="s">
        <v>185</v>
      </c>
      <c r="C776" s="4" t="s">
        <v>186</v>
      </c>
      <c r="D776" s="4" t="s">
        <v>314</v>
      </c>
      <c r="E776" s="4" t="s">
        <v>290</v>
      </c>
      <c r="F776" t="s">
        <v>226</v>
      </c>
      <c r="G776" t="s">
        <v>223</v>
      </c>
      <c r="H776">
        <f>VLOOKUP(C776,'TB Apr 24'!$B$13:$P$103,15,0)</f>
        <v>0</v>
      </c>
    </row>
    <row r="777" spans="1:8" x14ac:dyDescent="0.35">
      <c r="A777" s="77">
        <v>45383</v>
      </c>
      <c r="B777" s="3" t="s">
        <v>187</v>
      </c>
      <c r="C777" s="4" t="s">
        <v>188</v>
      </c>
      <c r="D777" s="4" t="s">
        <v>314</v>
      </c>
      <c r="E777" s="4" t="s">
        <v>291</v>
      </c>
      <c r="F777" t="s">
        <v>226</v>
      </c>
      <c r="G777" t="s">
        <v>223</v>
      </c>
      <c r="H777">
        <f>VLOOKUP(C777,'TB Apr 24'!$B$13:$P$103,15,0)</f>
        <v>0</v>
      </c>
    </row>
    <row r="778" spans="1:8" x14ac:dyDescent="0.35">
      <c r="A778" s="77">
        <v>45383</v>
      </c>
      <c r="B778" s="3" t="s">
        <v>189</v>
      </c>
      <c r="C778" s="4" t="s">
        <v>190</v>
      </c>
      <c r="D778" s="4" t="s">
        <v>314</v>
      </c>
      <c r="E778" s="4" t="s">
        <v>254</v>
      </c>
      <c r="F778" t="s">
        <v>226</v>
      </c>
      <c r="G778" t="s">
        <v>223</v>
      </c>
      <c r="H778">
        <f>VLOOKUP(C778,'TB Apr 24'!$B$13:$P$103,15,0)</f>
        <v>0</v>
      </c>
    </row>
    <row r="779" spans="1:8" x14ac:dyDescent="0.35">
      <c r="A779" s="77">
        <v>45383</v>
      </c>
      <c r="B779" s="3" t="s">
        <v>191</v>
      </c>
      <c r="C779" s="4" t="s">
        <v>192</v>
      </c>
      <c r="D779" s="4" t="s">
        <v>314</v>
      </c>
      <c r="E779" s="4" t="s">
        <v>254</v>
      </c>
      <c r="F779" t="s">
        <v>226</v>
      </c>
      <c r="G779" t="s">
        <v>223</v>
      </c>
      <c r="H779">
        <f>VLOOKUP(C779,'TB Apr 24'!$B$13:$P$103,15,0)</f>
        <v>0</v>
      </c>
    </row>
    <row r="780" spans="1:8" x14ac:dyDescent="0.35">
      <c r="A780" s="77">
        <v>45383</v>
      </c>
      <c r="B780" s="3" t="s">
        <v>193</v>
      </c>
      <c r="C780" s="4" t="s">
        <v>194</v>
      </c>
      <c r="D780" s="4" t="s">
        <v>314</v>
      </c>
      <c r="E780" s="4" t="s">
        <v>254</v>
      </c>
      <c r="F780" t="s">
        <v>226</v>
      </c>
      <c r="G780" t="s">
        <v>223</v>
      </c>
      <c r="H780">
        <f>VLOOKUP(C780,'TB Apr 24'!$B$13:$P$103,15,0)</f>
        <v>0</v>
      </c>
    </row>
    <row r="781" spans="1:8" x14ac:dyDescent="0.35">
      <c r="A781" s="77">
        <v>45383</v>
      </c>
      <c r="B781" s="3" t="s">
        <v>195</v>
      </c>
      <c r="C781" s="4" t="s">
        <v>196</v>
      </c>
      <c r="D781" s="4" t="s">
        <v>314</v>
      </c>
      <c r="E781" s="4" t="s">
        <v>255</v>
      </c>
      <c r="F781" t="s">
        <v>226</v>
      </c>
      <c r="G781" t="s">
        <v>223</v>
      </c>
      <c r="H781">
        <f>VLOOKUP(C781,'TB Apr 24'!$B$13:$P$103,15,0)</f>
        <v>0</v>
      </c>
    </row>
    <row r="782" spans="1:8" x14ac:dyDescent="0.35">
      <c r="A782" s="77">
        <v>45383</v>
      </c>
      <c r="B782" s="3" t="s">
        <v>197</v>
      </c>
      <c r="C782" s="4" t="s">
        <v>198</v>
      </c>
      <c r="D782" s="4" t="s">
        <v>314</v>
      </c>
      <c r="E782" s="4" t="s">
        <v>255</v>
      </c>
      <c r="F782" t="s">
        <v>226</v>
      </c>
      <c r="G782" t="s">
        <v>223</v>
      </c>
      <c r="H782">
        <f>VLOOKUP(C782,'TB Apr 24'!$B$13:$P$103,15,0)</f>
        <v>0</v>
      </c>
    </row>
    <row r="783" spans="1:8" x14ac:dyDescent="0.35">
      <c r="A783" s="77">
        <v>45383</v>
      </c>
      <c r="B783" s="3" t="s">
        <v>199</v>
      </c>
      <c r="C783" s="4" t="s">
        <v>200</v>
      </c>
      <c r="D783" s="4" t="s">
        <v>314</v>
      </c>
      <c r="E783" s="4" t="s">
        <v>254</v>
      </c>
      <c r="F783" t="s">
        <v>226</v>
      </c>
      <c r="G783" t="s">
        <v>223</v>
      </c>
      <c r="H783">
        <f>VLOOKUP(C783,'TB Apr 24'!$B$13:$P$103,15,0)</f>
        <v>0</v>
      </c>
    </row>
    <row r="784" spans="1:8" x14ac:dyDescent="0.35">
      <c r="A784" s="77">
        <v>45383</v>
      </c>
      <c r="B784" s="3" t="s">
        <v>201</v>
      </c>
      <c r="C784" s="4" t="s">
        <v>202</v>
      </c>
      <c r="D784" s="4" t="s">
        <v>314</v>
      </c>
      <c r="E784" s="4" t="s">
        <v>254</v>
      </c>
      <c r="F784" t="s">
        <v>226</v>
      </c>
      <c r="G784" t="s">
        <v>223</v>
      </c>
      <c r="H784">
        <f>VLOOKUP(C784,'TB Apr 24'!$B$13:$P$103,15,0)</f>
        <v>0</v>
      </c>
    </row>
    <row r="785" spans="1:8" x14ac:dyDescent="0.35">
      <c r="A785" s="77">
        <v>45383</v>
      </c>
      <c r="B785" s="3" t="s">
        <v>203</v>
      </c>
      <c r="C785" s="4" t="s">
        <v>204</v>
      </c>
      <c r="D785" s="4" t="s">
        <v>314</v>
      </c>
      <c r="E785" s="4" t="s">
        <v>256</v>
      </c>
      <c r="F785" t="s">
        <v>226</v>
      </c>
      <c r="G785" t="s">
        <v>223</v>
      </c>
      <c r="H785">
        <f>VLOOKUP(C785,'TB Apr 24'!$B$13:$P$103,15,0)</f>
        <v>0</v>
      </c>
    </row>
    <row r="786" spans="1:8" x14ac:dyDescent="0.35">
      <c r="A786" s="77">
        <v>45383</v>
      </c>
      <c r="B786" s="3" t="s">
        <v>205</v>
      </c>
      <c r="C786" s="6" t="s">
        <v>206</v>
      </c>
      <c r="D786" s="4" t="s">
        <v>314</v>
      </c>
      <c r="E786" s="6" t="s">
        <v>322</v>
      </c>
      <c r="F786" s="79" t="s">
        <v>226</v>
      </c>
      <c r="G786" s="79" t="s">
        <v>223</v>
      </c>
      <c r="H786" s="79">
        <f>VLOOKUP(C786,'TB Apr 24'!$B$13:$P$103,15,0)</f>
        <v>0</v>
      </c>
    </row>
    <row r="787" spans="1:8" x14ac:dyDescent="0.35">
      <c r="A787" s="77">
        <v>45383</v>
      </c>
      <c r="B787" s="3" t="s">
        <v>57</v>
      </c>
      <c r="C787" s="4" t="s">
        <v>58</v>
      </c>
      <c r="D787" s="4" t="s">
        <v>314</v>
      </c>
      <c r="E787" s="4" t="s">
        <v>253</v>
      </c>
      <c r="F787" t="s">
        <v>226</v>
      </c>
      <c r="G787" t="s">
        <v>224</v>
      </c>
      <c r="H787">
        <f>VLOOKUP(C787,'TB Apr 24'!$B$13:$R$103,17,0)</f>
        <v>0</v>
      </c>
    </row>
    <row r="788" spans="1:8" x14ac:dyDescent="0.35">
      <c r="A788" s="77">
        <v>45383</v>
      </c>
      <c r="B788" s="3" t="s">
        <v>307</v>
      </c>
      <c r="C788" s="4" t="s">
        <v>308</v>
      </c>
      <c r="D788" s="4" t="s">
        <v>314</v>
      </c>
      <c r="E788" s="4" t="s">
        <v>253</v>
      </c>
      <c r="F788" t="s">
        <v>226</v>
      </c>
      <c r="G788" t="s">
        <v>224</v>
      </c>
      <c r="H788">
        <f>VLOOKUP(C788,'TB Apr 24'!$B$13:$R$103,17,0)</f>
        <v>0</v>
      </c>
    </row>
    <row r="789" spans="1:8" x14ac:dyDescent="0.35">
      <c r="A789" s="77">
        <v>45383</v>
      </c>
      <c r="B789" s="3" t="s">
        <v>59</v>
      </c>
      <c r="C789" s="4" t="s">
        <v>60</v>
      </c>
      <c r="D789" s="4" t="s">
        <v>314</v>
      </c>
      <c r="E789" s="4" t="s">
        <v>253</v>
      </c>
      <c r="F789" t="s">
        <v>226</v>
      </c>
      <c r="G789" t="s">
        <v>224</v>
      </c>
      <c r="H789">
        <f>VLOOKUP(C789,'TB Apr 24'!$B$13:$R$103,17,0)</f>
        <v>-26</v>
      </c>
    </row>
    <row r="790" spans="1:8" x14ac:dyDescent="0.35">
      <c r="A790" s="77">
        <v>45383</v>
      </c>
      <c r="B790" s="3" t="s">
        <v>61</v>
      </c>
      <c r="C790" s="4" t="s">
        <v>62</v>
      </c>
      <c r="D790" s="4" t="s">
        <v>314</v>
      </c>
      <c r="E790" s="4" t="s">
        <v>66</v>
      </c>
      <c r="F790" t="s">
        <v>226</v>
      </c>
      <c r="G790" t="s">
        <v>224</v>
      </c>
      <c r="H790">
        <f>VLOOKUP(C790,'TB Apr 24'!$B$13:$R$103,17,0)</f>
        <v>-269043</v>
      </c>
    </row>
    <row r="791" spans="1:8" x14ac:dyDescent="0.35">
      <c r="A791" s="77">
        <v>45383</v>
      </c>
      <c r="B791" s="3" t="s">
        <v>63</v>
      </c>
      <c r="C791" s="4" t="s">
        <v>64</v>
      </c>
      <c r="D791" s="4" t="s">
        <v>314</v>
      </c>
      <c r="E791" s="4" t="s">
        <v>252</v>
      </c>
      <c r="F791" t="s">
        <v>226</v>
      </c>
      <c r="G791" t="s">
        <v>224</v>
      </c>
      <c r="H791">
        <f>VLOOKUP(C791,'TB Apr 24'!$B$13:$R$103,17,0)</f>
        <v>0</v>
      </c>
    </row>
    <row r="792" spans="1:8" x14ac:dyDescent="0.35">
      <c r="A792" s="77">
        <v>45383</v>
      </c>
      <c r="B792" s="3" t="s">
        <v>65</v>
      </c>
      <c r="C792" s="4" t="s">
        <v>66</v>
      </c>
      <c r="D792" s="4" t="s">
        <v>314</v>
      </c>
      <c r="E792" s="4" t="s">
        <v>66</v>
      </c>
      <c r="F792" t="s">
        <v>226</v>
      </c>
      <c r="G792" t="s">
        <v>224</v>
      </c>
      <c r="H792">
        <f>VLOOKUP(C792,'TB Apr 24'!$B$13:$R$103,17,0)</f>
        <v>-2197625.2599999998</v>
      </c>
    </row>
    <row r="793" spans="1:8" x14ac:dyDescent="0.35">
      <c r="A793" s="77">
        <v>45383</v>
      </c>
      <c r="B793" s="3" t="s">
        <v>67</v>
      </c>
      <c r="C793" s="4" t="s">
        <v>68</v>
      </c>
      <c r="D793" s="4" t="s">
        <v>314</v>
      </c>
      <c r="E793" s="4" t="s">
        <v>252</v>
      </c>
      <c r="F793" t="s">
        <v>226</v>
      </c>
      <c r="G793" t="s">
        <v>224</v>
      </c>
      <c r="H793">
        <f>VLOOKUP(C793,'TB Apr 24'!$B$13:$R$103,17,0)</f>
        <v>-267034.34999999998</v>
      </c>
    </row>
    <row r="794" spans="1:8" x14ac:dyDescent="0.35">
      <c r="A794" s="77">
        <v>45383</v>
      </c>
      <c r="B794" s="3" t="s">
        <v>69</v>
      </c>
      <c r="C794" s="4" t="s">
        <v>70</v>
      </c>
      <c r="D794" s="4" t="s">
        <v>314</v>
      </c>
      <c r="E794" s="4" t="s">
        <v>70</v>
      </c>
      <c r="F794" t="s">
        <v>226</v>
      </c>
      <c r="G794" t="s">
        <v>224</v>
      </c>
      <c r="H794">
        <f>VLOOKUP(C794,'TB Apr 24'!$B$13:$R$103,17,0)</f>
        <v>0</v>
      </c>
    </row>
    <row r="795" spans="1:8" x14ac:dyDescent="0.35">
      <c r="A795" s="77">
        <v>45383</v>
      </c>
      <c r="B795" s="3" t="s">
        <v>71</v>
      </c>
      <c r="C795" s="4" t="s">
        <v>72</v>
      </c>
      <c r="D795" s="4" t="s">
        <v>314</v>
      </c>
      <c r="E795" s="4" t="s">
        <v>253</v>
      </c>
      <c r="F795" t="s">
        <v>226</v>
      </c>
      <c r="G795" t="s">
        <v>224</v>
      </c>
      <c r="H795">
        <f>VLOOKUP(C795,'TB Apr 24'!$B$13:$R$103,17,0)</f>
        <v>0</v>
      </c>
    </row>
    <row r="796" spans="1:8" x14ac:dyDescent="0.35">
      <c r="A796" s="77">
        <v>45383</v>
      </c>
      <c r="B796" s="3" t="s">
        <v>73</v>
      </c>
      <c r="C796" s="4" t="s">
        <v>74</v>
      </c>
      <c r="D796" s="4" t="s">
        <v>314</v>
      </c>
      <c r="E796" s="4" t="s">
        <v>253</v>
      </c>
      <c r="F796" t="s">
        <v>226</v>
      </c>
      <c r="G796" t="s">
        <v>224</v>
      </c>
      <c r="H796">
        <f>VLOOKUP(C796,'TB Apr 24'!$B$13:$R$103,17,0)</f>
        <v>-552</v>
      </c>
    </row>
    <row r="797" spans="1:8" x14ac:dyDescent="0.35">
      <c r="A797" s="77">
        <v>45383</v>
      </c>
      <c r="B797" s="3" t="s">
        <v>75</v>
      </c>
      <c r="C797" s="4" t="s">
        <v>76</v>
      </c>
      <c r="D797" s="4" t="s">
        <v>314</v>
      </c>
      <c r="E797" s="4" t="s">
        <v>253</v>
      </c>
      <c r="F797" t="s">
        <v>226</v>
      </c>
      <c r="G797" t="s">
        <v>224</v>
      </c>
      <c r="H797">
        <f>VLOOKUP(C797,'TB Apr 24'!$B$13:$R$103,17,0)</f>
        <v>-247733.88</v>
      </c>
    </row>
    <row r="798" spans="1:8" x14ac:dyDescent="0.35">
      <c r="A798" s="77">
        <v>45383</v>
      </c>
      <c r="B798" s="3" t="s">
        <v>77</v>
      </c>
      <c r="C798" s="4" t="s">
        <v>78</v>
      </c>
      <c r="D798" s="4" t="s">
        <v>314</v>
      </c>
      <c r="E798" s="4" t="s">
        <v>253</v>
      </c>
      <c r="F798" t="s">
        <v>226</v>
      </c>
      <c r="G798" t="s">
        <v>224</v>
      </c>
      <c r="H798">
        <f>VLOOKUP(C798,'TB Apr 24'!$B$13:$R$103,17,0)</f>
        <v>-49281.93</v>
      </c>
    </row>
    <row r="799" spans="1:8" x14ac:dyDescent="0.35">
      <c r="A799" s="77">
        <v>45383</v>
      </c>
      <c r="B799" s="3" t="s">
        <v>79</v>
      </c>
      <c r="C799" s="4" t="s">
        <v>80</v>
      </c>
      <c r="D799" s="4" t="s">
        <v>314</v>
      </c>
      <c r="E799" s="4" t="s">
        <v>253</v>
      </c>
      <c r="F799" t="s">
        <v>226</v>
      </c>
      <c r="G799" t="s">
        <v>224</v>
      </c>
      <c r="H799">
        <f>VLOOKUP(C799,'TB Apr 24'!$B$13:$R$103,17,0)</f>
        <v>0</v>
      </c>
    </row>
    <row r="800" spans="1:8" x14ac:dyDescent="0.35">
      <c r="A800" s="77">
        <v>45383</v>
      </c>
      <c r="B800" s="3" t="s">
        <v>81</v>
      </c>
      <c r="C800" s="4" t="s">
        <v>82</v>
      </c>
      <c r="D800" s="4" t="s">
        <v>314</v>
      </c>
      <c r="E800" s="4" t="s">
        <v>319</v>
      </c>
      <c r="F800" t="s">
        <v>226</v>
      </c>
      <c r="G800" t="s">
        <v>224</v>
      </c>
      <c r="H800">
        <f>VLOOKUP(C800,'TB Apr 24'!$B$13:$R$103,17,0)</f>
        <v>0</v>
      </c>
    </row>
    <row r="801" spans="1:8" x14ac:dyDescent="0.35">
      <c r="A801" s="77">
        <v>45383</v>
      </c>
      <c r="B801" s="3" t="s">
        <v>83</v>
      </c>
      <c r="C801" s="4" t="s">
        <v>84</v>
      </c>
      <c r="D801" s="4" t="s">
        <v>314</v>
      </c>
      <c r="E801" s="4" t="s">
        <v>319</v>
      </c>
      <c r="F801" t="s">
        <v>226</v>
      </c>
      <c r="G801" t="s">
        <v>224</v>
      </c>
      <c r="H801">
        <f>VLOOKUP(C801,'TB Apr 24'!$B$13:$R$103,17,0)</f>
        <v>29500</v>
      </c>
    </row>
    <row r="802" spans="1:8" x14ac:dyDescent="0.35">
      <c r="A802" s="77">
        <v>45383</v>
      </c>
      <c r="B802" s="3" t="s">
        <v>85</v>
      </c>
      <c r="C802" s="4" t="s">
        <v>86</v>
      </c>
      <c r="D802" s="4" t="s">
        <v>314</v>
      </c>
      <c r="E802" s="4" t="s">
        <v>291</v>
      </c>
      <c r="F802" t="s">
        <v>226</v>
      </c>
      <c r="G802" t="s">
        <v>224</v>
      </c>
      <c r="H802">
        <f>VLOOKUP(C802,'TB Apr 24'!$B$13:$R$103,17,0)</f>
        <v>3498</v>
      </c>
    </row>
    <row r="803" spans="1:8" x14ac:dyDescent="0.35">
      <c r="A803" s="77">
        <v>45383</v>
      </c>
      <c r="B803" s="3" t="s">
        <v>88</v>
      </c>
      <c r="C803" s="4" t="s">
        <v>89</v>
      </c>
      <c r="D803" s="4" t="s">
        <v>314</v>
      </c>
      <c r="E803" s="4" t="s">
        <v>300</v>
      </c>
      <c r="F803" t="s">
        <v>226</v>
      </c>
      <c r="G803" t="s">
        <v>224</v>
      </c>
      <c r="H803">
        <f>VLOOKUP(C803,'TB Apr 24'!$B$13:$R$103,17,0)</f>
        <v>0</v>
      </c>
    </row>
    <row r="804" spans="1:8" x14ac:dyDescent="0.35">
      <c r="A804" s="77">
        <v>45383</v>
      </c>
      <c r="B804" s="3" t="s">
        <v>90</v>
      </c>
      <c r="C804" s="4" t="s">
        <v>91</v>
      </c>
      <c r="D804" s="4" t="s">
        <v>314</v>
      </c>
      <c r="E804" s="4" t="s">
        <v>300</v>
      </c>
      <c r="F804" t="s">
        <v>226</v>
      </c>
      <c r="G804" t="s">
        <v>224</v>
      </c>
      <c r="H804">
        <f>VLOOKUP(C804,'TB Apr 24'!$B$13:$R$103,17,0)</f>
        <v>31658</v>
      </c>
    </row>
    <row r="805" spans="1:8" x14ac:dyDescent="0.35">
      <c r="A805" s="77">
        <v>45383</v>
      </c>
      <c r="B805" s="3" t="s">
        <v>92</v>
      </c>
      <c r="C805" s="4" t="s">
        <v>93</v>
      </c>
      <c r="D805" s="4" t="s">
        <v>314</v>
      </c>
      <c r="E805" s="4" t="s">
        <v>300</v>
      </c>
      <c r="F805" t="s">
        <v>226</v>
      </c>
      <c r="G805" t="s">
        <v>224</v>
      </c>
      <c r="H805">
        <f>VLOOKUP(C805,'TB Apr 24'!$B$13:$R$103,17,0)</f>
        <v>0</v>
      </c>
    </row>
    <row r="806" spans="1:8" x14ac:dyDescent="0.35">
      <c r="A806" s="77">
        <v>45383</v>
      </c>
      <c r="B806" s="3" t="s">
        <v>94</v>
      </c>
      <c r="C806" s="4" t="s">
        <v>95</v>
      </c>
      <c r="D806" s="4" t="s">
        <v>314</v>
      </c>
      <c r="E806" s="4" t="s">
        <v>289</v>
      </c>
      <c r="F806" t="s">
        <v>226</v>
      </c>
      <c r="G806" t="s">
        <v>224</v>
      </c>
      <c r="H806">
        <f>VLOOKUP(C806,'TB Apr 24'!$B$13:$R$103,17,0)</f>
        <v>663009.66666666663</v>
      </c>
    </row>
    <row r="807" spans="1:8" x14ac:dyDescent="0.35">
      <c r="A807" s="77">
        <v>45383</v>
      </c>
      <c r="B807" s="3" t="s">
        <v>96</v>
      </c>
      <c r="C807" s="4" t="s">
        <v>97</v>
      </c>
      <c r="D807" s="4" t="s">
        <v>314</v>
      </c>
      <c r="E807" s="4" t="s">
        <v>289</v>
      </c>
      <c r="F807" t="s">
        <v>226</v>
      </c>
      <c r="G807" t="s">
        <v>224</v>
      </c>
      <c r="H807">
        <f>VLOOKUP(C807,'TB Apr 24'!$B$13:$R$103,17,0)</f>
        <v>0</v>
      </c>
    </row>
    <row r="808" spans="1:8" x14ac:dyDescent="0.35">
      <c r="A808" s="77">
        <v>45383</v>
      </c>
      <c r="B808" s="3" t="s">
        <v>309</v>
      </c>
      <c r="C808" s="4" t="s">
        <v>310</v>
      </c>
      <c r="D808" s="4" t="s">
        <v>314</v>
      </c>
      <c r="E808" s="4" t="s">
        <v>289</v>
      </c>
      <c r="F808" t="s">
        <v>226</v>
      </c>
      <c r="G808" t="s">
        <v>224</v>
      </c>
      <c r="H808">
        <f>VLOOKUP(C808,'TB Apr 24'!$B$13:$R$103,17,0)</f>
        <v>0</v>
      </c>
    </row>
    <row r="809" spans="1:8" x14ac:dyDescent="0.35">
      <c r="A809" s="77">
        <v>45383</v>
      </c>
      <c r="B809" s="3" t="s">
        <v>98</v>
      </c>
      <c r="C809" s="4" t="s">
        <v>99</v>
      </c>
      <c r="D809" s="4" t="s">
        <v>314</v>
      </c>
      <c r="E809" s="4" t="s">
        <v>289</v>
      </c>
      <c r="F809" t="s">
        <v>226</v>
      </c>
      <c r="G809" t="s">
        <v>224</v>
      </c>
      <c r="H809">
        <f>VLOOKUP(C809,'TB Apr 24'!$B$13:$R$103,17,0)</f>
        <v>0</v>
      </c>
    </row>
    <row r="810" spans="1:8" x14ac:dyDescent="0.35">
      <c r="A810" s="77">
        <v>45383</v>
      </c>
      <c r="B810" s="3" t="s">
        <v>100</v>
      </c>
      <c r="C810" s="4" t="s">
        <v>101</v>
      </c>
      <c r="D810" s="4" t="s">
        <v>314</v>
      </c>
      <c r="E810" s="4" t="s">
        <v>291</v>
      </c>
      <c r="F810" t="s">
        <v>226</v>
      </c>
      <c r="G810" t="s">
        <v>224</v>
      </c>
      <c r="H810">
        <f>VLOOKUP(C810,'TB Apr 24'!$B$13:$R$103,17,0)</f>
        <v>0</v>
      </c>
    </row>
    <row r="811" spans="1:8" x14ac:dyDescent="0.35">
      <c r="A811" s="77">
        <v>45383</v>
      </c>
      <c r="B811" s="3" t="s">
        <v>102</v>
      </c>
      <c r="C811" s="4" t="s">
        <v>103</v>
      </c>
      <c r="D811" s="4" t="s">
        <v>314</v>
      </c>
      <c r="E811" s="4" t="s">
        <v>291</v>
      </c>
      <c r="F811" t="s">
        <v>226</v>
      </c>
      <c r="G811" t="s">
        <v>224</v>
      </c>
      <c r="H811">
        <f>VLOOKUP(C811,'TB Apr 24'!$B$13:$R$103,17,0)</f>
        <v>28200</v>
      </c>
    </row>
    <row r="812" spans="1:8" x14ac:dyDescent="0.35">
      <c r="A812" s="77">
        <v>45383</v>
      </c>
      <c r="B812" s="3" t="s">
        <v>104</v>
      </c>
      <c r="C812" s="4" t="s">
        <v>105</v>
      </c>
      <c r="D812" s="4" t="s">
        <v>314</v>
      </c>
      <c r="E812" s="4" t="s">
        <v>291</v>
      </c>
      <c r="F812" t="s">
        <v>226</v>
      </c>
      <c r="G812" t="s">
        <v>224</v>
      </c>
      <c r="H812">
        <f>VLOOKUP(C812,'TB Apr 24'!$B$13:$R$103,17,0)</f>
        <v>0</v>
      </c>
    </row>
    <row r="813" spans="1:8" x14ac:dyDescent="0.35">
      <c r="A813" s="77">
        <v>45383</v>
      </c>
      <c r="B813" s="3" t="s">
        <v>106</v>
      </c>
      <c r="C813" s="4" t="s">
        <v>107</v>
      </c>
      <c r="D813" s="4" t="s">
        <v>314</v>
      </c>
      <c r="E813" s="4" t="s">
        <v>321</v>
      </c>
      <c r="F813" t="s">
        <v>226</v>
      </c>
      <c r="G813" t="s">
        <v>224</v>
      </c>
      <c r="H813">
        <f>VLOOKUP(C813,'TB Apr 24'!$B$13:$R$103,17,0)</f>
        <v>0</v>
      </c>
    </row>
    <row r="814" spans="1:8" x14ac:dyDescent="0.35">
      <c r="A814" s="77">
        <v>45383</v>
      </c>
      <c r="B814" s="3" t="s">
        <v>108</v>
      </c>
      <c r="C814" s="4" t="s">
        <v>109</v>
      </c>
      <c r="D814" s="4" t="s">
        <v>314</v>
      </c>
      <c r="E814" s="4" t="s">
        <v>321</v>
      </c>
      <c r="F814" t="s">
        <v>226</v>
      </c>
      <c r="G814" t="s">
        <v>224</v>
      </c>
      <c r="H814">
        <f>VLOOKUP(C814,'TB Apr 24'!$B$13:$R$103,17,0)</f>
        <v>0</v>
      </c>
    </row>
    <row r="815" spans="1:8" x14ac:dyDescent="0.35">
      <c r="A815" s="77">
        <v>45383</v>
      </c>
      <c r="B815" s="3" t="s">
        <v>110</v>
      </c>
      <c r="C815" s="4" t="s">
        <v>111</v>
      </c>
      <c r="D815" s="4" t="s">
        <v>314</v>
      </c>
      <c r="E815" s="4" t="s">
        <v>320</v>
      </c>
      <c r="F815" t="s">
        <v>226</v>
      </c>
      <c r="G815" t="s">
        <v>224</v>
      </c>
      <c r="H815">
        <f>VLOOKUP(C815,'TB Apr 24'!$B$13:$R$103,17,0)</f>
        <v>0</v>
      </c>
    </row>
    <row r="816" spans="1:8" x14ac:dyDescent="0.35">
      <c r="A816" s="77">
        <v>45383</v>
      </c>
      <c r="B816" s="3" t="s">
        <v>112</v>
      </c>
      <c r="C816" s="4" t="s">
        <v>113</v>
      </c>
      <c r="D816" s="4" t="s">
        <v>314</v>
      </c>
      <c r="E816" s="4" t="s">
        <v>321</v>
      </c>
      <c r="F816" t="s">
        <v>226</v>
      </c>
      <c r="G816" t="s">
        <v>224</v>
      </c>
      <c r="H816">
        <f>VLOOKUP(C816,'TB Apr 24'!$B$13:$R$103,17,0)</f>
        <v>0</v>
      </c>
    </row>
    <row r="817" spans="1:8" x14ac:dyDescent="0.35">
      <c r="A817" s="77">
        <v>45383</v>
      </c>
      <c r="B817" s="3" t="s">
        <v>311</v>
      </c>
      <c r="C817" s="4" t="s">
        <v>312</v>
      </c>
      <c r="D817" s="4" t="s">
        <v>314</v>
      </c>
      <c r="E817" s="4" t="s">
        <v>288</v>
      </c>
      <c r="F817" t="s">
        <v>226</v>
      </c>
      <c r="G817" t="s">
        <v>224</v>
      </c>
      <c r="H817">
        <f>VLOOKUP(C817,'TB Apr 24'!$B$13:$R$103,17,0)</f>
        <v>0</v>
      </c>
    </row>
    <row r="818" spans="1:8" x14ac:dyDescent="0.35">
      <c r="A818" s="77">
        <v>45383</v>
      </c>
      <c r="B818" s="3" t="s">
        <v>114</v>
      </c>
      <c r="C818" s="4" t="s">
        <v>115</v>
      </c>
      <c r="D818" s="4" t="s">
        <v>314</v>
      </c>
      <c r="E818" s="4" t="s">
        <v>294</v>
      </c>
      <c r="F818" t="s">
        <v>226</v>
      </c>
      <c r="G818" t="s">
        <v>224</v>
      </c>
      <c r="H818">
        <f>VLOOKUP(C818,'TB Apr 24'!$B$13:$R$103,17,0)</f>
        <v>0</v>
      </c>
    </row>
    <row r="819" spans="1:8" x14ac:dyDescent="0.35">
      <c r="A819" s="77">
        <v>45383</v>
      </c>
      <c r="B819" s="3" t="s">
        <v>116</v>
      </c>
      <c r="C819" s="4" t="s">
        <v>117</v>
      </c>
      <c r="D819" s="4" t="s">
        <v>314</v>
      </c>
      <c r="E819" s="4" t="s">
        <v>296</v>
      </c>
      <c r="F819" t="s">
        <v>226</v>
      </c>
      <c r="G819" t="s">
        <v>224</v>
      </c>
      <c r="H819">
        <f>VLOOKUP(C819,'TB Apr 24'!$B$13:$R$103,17,0)</f>
        <v>0</v>
      </c>
    </row>
    <row r="820" spans="1:8" x14ac:dyDescent="0.35">
      <c r="A820" s="77">
        <v>45383</v>
      </c>
      <c r="B820" s="3" t="s">
        <v>118</v>
      </c>
      <c r="C820" s="4" t="s">
        <v>119</v>
      </c>
      <c r="D820" s="4" t="s">
        <v>314</v>
      </c>
      <c r="E820" s="4" t="s">
        <v>296</v>
      </c>
      <c r="F820" t="s">
        <v>226</v>
      </c>
      <c r="G820" t="s">
        <v>224</v>
      </c>
      <c r="H820">
        <f>VLOOKUP(C820,'TB Apr 24'!$B$13:$R$103,17,0)</f>
        <v>0</v>
      </c>
    </row>
    <row r="821" spans="1:8" x14ac:dyDescent="0.35">
      <c r="A821" s="77">
        <v>45383</v>
      </c>
      <c r="B821" s="3" t="s">
        <v>120</v>
      </c>
      <c r="C821" s="4" t="s">
        <v>121</v>
      </c>
      <c r="D821" s="4" t="s">
        <v>314</v>
      </c>
      <c r="E821" s="4" t="s">
        <v>322</v>
      </c>
      <c r="F821" t="s">
        <v>226</v>
      </c>
      <c r="G821" t="s">
        <v>224</v>
      </c>
      <c r="H821">
        <f>VLOOKUP(C821,'TB Apr 24'!$B$13:$R$103,17,0)</f>
        <v>1382</v>
      </c>
    </row>
    <row r="822" spans="1:8" x14ac:dyDescent="0.35">
      <c r="A822" s="77">
        <v>45383</v>
      </c>
      <c r="B822" s="3" t="s">
        <v>122</v>
      </c>
      <c r="C822" s="4" t="s">
        <v>123</v>
      </c>
      <c r="D822" s="4" t="s">
        <v>314</v>
      </c>
      <c r="E822" s="4" t="s">
        <v>322</v>
      </c>
      <c r="F822" t="s">
        <v>226</v>
      </c>
      <c r="G822" t="s">
        <v>224</v>
      </c>
      <c r="H822">
        <f>VLOOKUP(C822,'TB Apr 24'!$B$13:$R$103,17,0)</f>
        <v>0</v>
      </c>
    </row>
    <row r="823" spans="1:8" x14ac:dyDescent="0.35">
      <c r="A823" s="77">
        <v>45383</v>
      </c>
      <c r="B823" s="3" t="s">
        <v>124</v>
      </c>
      <c r="C823" s="4" t="s">
        <v>125</v>
      </c>
      <c r="D823" s="4" t="s">
        <v>314</v>
      </c>
      <c r="E823" s="4" t="s">
        <v>322</v>
      </c>
      <c r="F823" t="s">
        <v>226</v>
      </c>
      <c r="G823" t="s">
        <v>224</v>
      </c>
      <c r="H823">
        <f>VLOOKUP(C823,'TB Apr 24'!$B$13:$R$103,17,0)</f>
        <v>0</v>
      </c>
    </row>
    <row r="824" spans="1:8" x14ac:dyDescent="0.35">
      <c r="A824" s="77">
        <v>45383</v>
      </c>
      <c r="B824" s="3" t="s">
        <v>126</v>
      </c>
      <c r="C824" s="4" t="s">
        <v>127</v>
      </c>
      <c r="D824" s="4" t="s">
        <v>314</v>
      </c>
      <c r="E824" s="4" t="s">
        <v>291</v>
      </c>
      <c r="F824" t="s">
        <v>226</v>
      </c>
      <c r="G824" t="s">
        <v>224</v>
      </c>
      <c r="H824">
        <f>VLOOKUP(C824,'TB Apr 24'!$B$13:$R$103,17,0)</f>
        <v>0</v>
      </c>
    </row>
    <row r="825" spans="1:8" x14ac:dyDescent="0.35">
      <c r="A825" s="77">
        <v>45383</v>
      </c>
      <c r="B825" s="3" t="s">
        <v>128</v>
      </c>
      <c r="C825" s="4" t="s">
        <v>129</v>
      </c>
      <c r="D825" s="4" t="s">
        <v>314</v>
      </c>
      <c r="E825" s="4" t="s">
        <v>322</v>
      </c>
      <c r="F825" t="s">
        <v>226</v>
      </c>
      <c r="G825" t="s">
        <v>224</v>
      </c>
      <c r="H825">
        <f>VLOOKUP(C825,'TB Apr 24'!$B$13:$R$103,17,0)</f>
        <v>39490</v>
      </c>
    </row>
    <row r="826" spans="1:8" x14ac:dyDescent="0.35">
      <c r="A826" s="77">
        <v>45383</v>
      </c>
      <c r="B826" s="3" t="s">
        <v>130</v>
      </c>
      <c r="C826" s="4" t="s">
        <v>131</v>
      </c>
      <c r="D826" s="4" t="s">
        <v>314</v>
      </c>
      <c r="E826" s="4" t="s">
        <v>322</v>
      </c>
      <c r="F826" t="s">
        <v>226</v>
      </c>
      <c r="G826" t="s">
        <v>224</v>
      </c>
      <c r="H826">
        <f>VLOOKUP(C826,'TB Apr 24'!$B$13:$R$103,17,0)</f>
        <v>1540</v>
      </c>
    </row>
    <row r="827" spans="1:8" x14ac:dyDescent="0.35">
      <c r="A827" s="77">
        <v>45383</v>
      </c>
      <c r="B827" s="3" t="s">
        <v>132</v>
      </c>
      <c r="C827" s="4" t="s">
        <v>133</v>
      </c>
      <c r="D827" s="4" t="s">
        <v>314</v>
      </c>
      <c r="E827" s="4" t="s">
        <v>320</v>
      </c>
      <c r="F827" t="s">
        <v>226</v>
      </c>
      <c r="G827" t="s">
        <v>224</v>
      </c>
      <c r="H827">
        <f>VLOOKUP(C827,'TB Apr 24'!$B$13:$R$103,17,0)</f>
        <v>500</v>
      </c>
    </row>
    <row r="828" spans="1:8" x14ac:dyDescent="0.35">
      <c r="A828" s="77">
        <v>45383</v>
      </c>
      <c r="B828" s="3" t="s">
        <v>134</v>
      </c>
      <c r="C828" s="4" t="s">
        <v>135</v>
      </c>
      <c r="D828" s="4" t="s">
        <v>314</v>
      </c>
      <c r="E828" s="4" t="s">
        <v>299</v>
      </c>
      <c r="F828" t="s">
        <v>226</v>
      </c>
      <c r="G828" t="s">
        <v>224</v>
      </c>
      <c r="H828">
        <f>VLOOKUP(C828,'TB Apr 24'!$B$13:$R$103,17,0)</f>
        <v>0</v>
      </c>
    </row>
    <row r="829" spans="1:8" x14ac:dyDescent="0.35">
      <c r="A829" s="77">
        <v>45383</v>
      </c>
      <c r="B829" s="3" t="s">
        <v>136</v>
      </c>
      <c r="C829" s="4" t="s">
        <v>137</v>
      </c>
      <c r="D829" s="4" t="s">
        <v>314</v>
      </c>
      <c r="E829" s="4" t="s">
        <v>322</v>
      </c>
      <c r="F829" t="s">
        <v>226</v>
      </c>
      <c r="G829" t="s">
        <v>224</v>
      </c>
      <c r="H829">
        <f>VLOOKUP(C829,'TB Apr 24'!$B$13:$R$103,17,0)</f>
        <v>0</v>
      </c>
    </row>
    <row r="830" spans="1:8" x14ac:dyDescent="0.35">
      <c r="A830" s="77">
        <v>45383</v>
      </c>
      <c r="B830" s="3" t="s">
        <v>138</v>
      </c>
      <c r="C830" s="4" t="s">
        <v>139</v>
      </c>
      <c r="D830" s="4" t="s">
        <v>314</v>
      </c>
      <c r="E830" s="4" t="s">
        <v>294</v>
      </c>
      <c r="F830" t="s">
        <v>226</v>
      </c>
      <c r="G830" t="s">
        <v>224</v>
      </c>
      <c r="H830">
        <f>VLOOKUP(C830,'TB Apr 24'!$B$13:$R$103,17,0)</f>
        <v>0</v>
      </c>
    </row>
    <row r="831" spans="1:8" x14ac:dyDescent="0.35">
      <c r="A831" s="77">
        <v>45383</v>
      </c>
      <c r="B831" s="3" t="s">
        <v>140</v>
      </c>
      <c r="C831" s="4" t="s">
        <v>141</v>
      </c>
      <c r="D831" s="4" t="s">
        <v>314</v>
      </c>
      <c r="E831" s="4" t="s">
        <v>268</v>
      </c>
      <c r="F831" t="s">
        <v>226</v>
      </c>
      <c r="G831" t="s">
        <v>224</v>
      </c>
      <c r="H831">
        <f>VLOOKUP(C831,'TB Apr 24'!$B$13:$R$103,17,0)</f>
        <v>306191.87940000003</v>
      </c>
    </row>
    <row r="832" spans="1:8" x14ac:dyDescent="0.35">
      <c r="A832" s="77">
        <v>45383</v>
      </c>
      <c r="B832" s="3" t="s">
        <v>142</v>
      </c>
      <c r="C832" s="4" t="s">
        <v>143</v>
      </c>
      <c r="D832" s="4" t="s">
        <v>314</v>
      </c>
      <c r="E832" s="4" t="s">
        <v>269</v>
      </c>
      <c r="F832" t="s">
        <v>226</v>
      </c>
      <c r="G832" t="s">
        <v>224</v>
      </c>
      <c r="H832">
        <f>VLOOKUP(C832,'TB Apr 24'!$B$13:$R$103,17,0)</f>
        <v>82044</v>
      </c>
    </row>
    <row r="833" spans="1:8" x14ac:dyDescent="0.35">
      <c r="A833" s="77">
        <v>45383</v>
      </c>
      <c r="B833" s="3" t="s">
        <v>144</v>
      </c>
      <c r="C833" s="4" t="s">
        <v>145</v>
      </c>
      <c r="D833" s="4" t="s">
        <v>314</v>
      </c>
      <c r="E833" s="4" t="s">
        <v>288</v>
      </c>
      <c r="F833" t="s">
        <v>226</v>
      </c>
      <c r="G833" t="s">
        <v>224</v>
      </c>
      <c r="H833">
        <f>VLOOKUP(C833,'TB Apr 24'!$B$13:$R$103,17,0)</f>
        <v>39312</v>
      </c>
    </row>
    <row r="834" spans="1:8" x14ac:dyDescent="0.35">
      <c r="A834" s="77">
        <v>45383</v>
      </c>
      <c r="B834" s="3" t="s">
        <v>146</v>
      </c>
      <c r="C834" s="4" t="s">
        <v>147</v>
      </c>
      <c r="D834" s="4" t="s">
        <v>314</v>
      </c>
      <c r="E834" s="4" t="s">
        <v>288</v>
      </c>
      <c r="F834" t="s">
        <v>226</v>
      </c>
      <c r="G834" t="s">
        <v>224</v>
      </c>
      <c r="H834">
        <f>VLOOKUP(C834,'TB Apr 24'!$B$13:$R$103,17,0)</f>
        <v>13217.25</v>
      </c>
    </row>
    <row r="835" spans="1:8" x14ac:dyDescent="0.35">
      <c r="A835" s="77">
        <v>45383</v>
      </c>
      <c r="B835" s="3" t="s">
        <v>148</v>
      </c>
      <c r="C835" s="4" t="s">
        <v>149</v>
      </c>
      <c r="D835" s="4" t="s">
        <v>314</v>
      </c>
      <c r="E835" s="4" t="s">
        <v>287</v>
      </c>
      <c r="F835" t="s">
        <v>226</v>
      </c>
      <c r="G835" t="s">
        <v>224</v>
      </c>
      <c r="H835">
        <f>VLOOKUP(C835,'TB Apr 24'!$B$13:$R$103,17,0)</f>
        <v>1932</v>
      </c>
    </row>
    <row r="836" spans="1:8" x14ac:dyDescent="0.35">
      <c r="A836" s="77">
        <v>45383</v>
      </c>
      <c r="B836" s="3" t="s">
        <v>150</v>
      </c>
      <c r="C836" s="4" t="s">
        <v>87</v>
      </c>
      <c r="D836" s="4" t="s">
        <v>314</v>
      </c>
      <c r="E836" s="4" t="s">
        <v>288</v>
      </c>
      <c r="F836" t="s">
        <v>226</v>
      </c>
      <c r="G836" t="s">
        <v>224</v>
      </c>
      <c r="H836">
        <f>VLOOKUP(C836,'TB Apr 24'!$B$13:$R$103,17,0)</f>
        <v>90542</v>
      </c>
    </row>
    <row r="837" spans="1:8" x14ac:dyDescent="0.35">
      <c r="A837" s="77">
        <v>45383</v>
      </c>
      <c r="B837" s="3" t="s">
        <v>151</v>
      </c>
      <c r="C837" s="4" t="s">
        <v>152</v>
      </c>
      <c r="D837" s="4" t="s">
        <v>314</v>
      </c>
      <c r="E837" s="4" t="s">
        <v>288</v>
      </c>
      <c r="F837" t="s">
        <v>226</v>
      </c>
      <c r="G837" t="s">
        <v>224</v>
      </c>
      <c r="H837">
        <f>VLOOKUP(C837,'TB Apr 24'!$B$13:$R$103,17,0)</f>
        <v>6769</v>
      </c>
    </row>
    <row r="838" spans="1:8" x14ac:dyDescent="0.35">
      <c r="A838" s="77">
        <v>45383</v>
      </c>
      <c r="B838" s="3" t="s">
        <v>153</v>
      </c>
      <c r="C838" s="4" t="s">
        <v>154</v>
      </c>
      <c r="D838" s="4" t="s">
        <v>314</v>
      </c>
      <c r="E838" s="4" t="s">
        <v>288</v>
      </c>
      <c r="F838" t="s">
        <v>226</v>
      </c>
      <c r="G838" t="s">
        <v>224</v>
      </c>
      <c r="H838">
        <f>VLOOKUP(C838,'TB Apr 24'!$B$13:$R$103,17,0)</f>
        <v>17823</v>
      </c>
    </row>
    <row r="839" spans="1:8" x14ac:dyDescent="0.35">
      <c r="A839" s="77">
        <v>45383</v>
      </c>
      <c r="B839" s="3" t="s">
        <v>155</v>
      </c>
      <c r="C839" s="4" t="s">
        <v>156</v>
      </c>
      <c r="D839" s="4" t="s">
        <v>314</v>
      </c>
      <c r="E839" s="4" t="s">
        <v>288</v>
      </c>
      <c r="F839" t="s">
        <v>226</v>
      </c>
      <c r="G839" t="s">
        <v>224</v>
      </c>
      <c r="H839">
        <f>VLOOKUP(C839,'TB Apr 24'!$B$13:$R$103,17,0)</f>
        <v>0</v>
      </c>
    </row>
    <row r="840" spans="1:8" x14ac:dyDescent="0.35">
      <c r="A840" s="77">
        <v>45383</v>
      </c>
      <c r="B840" s="3" t="s">
        <v>157</v>
      </c>
      <c r="C840" s="4" t="s">
        <v>158</v>
      </c>
      <c r="D840" s="4" t="s">
        <v>314</v>
      </c>
      <c r="E840" s="4" t="s">
        <v>292</v>
      </c>
      <c r="F840" t="s">
        <v>226</v>
      </c>
      <c r="G840" t="s">
        <v>224</v>
      </c>
      <c r="H840">
        <f>VLOOKUP(C840,'TB Apr 24'!$B$13:$R$103,17,0)</f>
        <v>0</v>
      </c>
    </row>
    <row r="841" spans="1:8" x14ac:dyDescent="0.35">
      <c r="A841" s="77">
        <v>45383</v>
      </c>
      <c r="B841" s="3" t="s">
        <v>159</v>
      </c>
      <c r="C841" s="4" t="s">
        <v>160</v>
      </c>
      <c r="D841" s="4" t="s">
        <v>314</v>
      </c>
      <c r="E841" s="4" t="s">
        <v>323</v>
      </c>
      <c r="F841" t="s">
        <v>226</v>
      </c>
      <c r="G841" t="s">
        <v>224</v>
      </c>
      <c r="H841">
        <f>VLOOKUP(C841,'TB Apr 24'!$B$13:$R$103,17,0)</f>
        <v>0</v>
      </c>
    </row>
    <row r="842" spans="1:8" x14ac:dyDescent="0.35">
      <c r="A842" s="77">
        <v>45383</v>
      </c>
      <c r="B842" s="3" t="s">
        <v>161</v>
      </c>
      <c r="C842" s="4" t="s">
        <v>162</v>
      </c>
      <c r="D842" s="4" t="s">
        <v>314</v>
      </c>
      <c r="E842" s="4" t="s">
        <v>323</v>
      </c>
      <c r="F842" t="s">
        <v>226</v>
      </c>
      <c r="G842" t="s">
        <v>224</v>
      </c>
      <c r="H842">
        <f>VLOOKUP(C842,'TB Apr 24'!$B$13:$R$103,17,0)</f>
        <v>0</v>
      </c>
    </row>
    <row r="843" spans="1:8" x14ac:dyDescent="0.35">
      <c r="A843" s="77">
        <v>45383</v>
      </c>
      <c r="B843" s="3" t="s">
        <v>163</v>
      </c>
      <c r="C843" s="4" t="s">
        <v>164</v>
      </c>
      <c r="D843" s="4" t="s">
        <v>314</v>
      </c>
      <c r="E843" s="4" t="s">
        <v>319</v>
      </c>
      <c r="F843" t="s">
        <v>226</v>
      </c>
      <c r="G843" t="s">
        <v>224</v>
      </c>
      <c r="H843">
        <f>VLOOKUP(C843,'TB Apr 24'!$B$13:$R$103,17,0)</f>
        <v>1300</v>
      </c>
    </row>
    <row r="844" spans="1:8" x14ac:dyDescent="0.35">
      <c r="A844" s="77">
        <v>45383</v>
      </c>
      <c r="B844" s="3" t="s">
        <v>165</v>
      </c>
      <c r="C844" s="4" t="s">
        <v>166</v>
      </c>
      <c r="D844" s="4" t="s">
        <v>314</v>
      </c>
      <c r="E844" s="4" t="s">
        <v>304</v>
      </c>
      <c r="F844" t="s">
        <v>226</v>
      </c>
      <c r="G844" t="s">
        <v>224</v>
      </c>
      <c r="H844">
        <f>VLOOKUP(C844,'TB Apr 24'!$B$13:$R$103,17,0)</f>
        <v>2319</v>
      </c>
    </row>
    <row r="845" spans="1:8" x14ac:dyDescent="0.35">
      <c r="A845" s="77">
        <v>45383</v>
      </c>
      <c r="B845" s="3" t="s">
        <v>167</v>
      </c>
      <c r="C845" s="4" t="s">
        <v>168</v>
      </c>
      <c r="D845" s="4" t="s">
        <v>314</v>
      </c>
      <c r="E845" s="4" t="s">
        <v>322</v>
      </c>
      <c r="F845" t="s">
        <v>226</v>
      </c>
      <c r="G845" t="s">
        <v>224</v>
      </c>
      <c r="H845">
        <f>VLOOKUP(C845,'TB Apr 24'!$B$13:$R$103,17,0)</f>
        <v>0</v>
      </c>
    </row>
    <row r="846" spans="1:8" x14ac:dyDescent="0.35">
      <c r="A846" s="77">
        <v>45383</v>
      </c>
      <c r="B846" s="3" t="s">
        <v>169</v>
      </c>
      <c r="C846" s="4" t="s">
        <v>170</v>
      </c>
      <c r="D846" s="4" t="s">
        <v>314</v>
      </c>
      <c r="E846" s="4" t="s">
        <v>304</v>
      </c>
      <c r="F846" t="s">
        <v>226</v>
      </c>
      <c r="G846" t="s">
        <v>224</v>
      </c>
      <c r="H846">
        <f>VLOOKUP(C846,'TB Apr 24'!$B$13:$R$103,17,0)</f>
        <v>10620</v>
      </c>
    </row>
    <row r="847" spans="1:8" x14ac:dyDescent="0.35">
      <c r="A847" s="77">
        <v>45383</v>
      </c>
      <c r="B847" s="3" t="s">
        <v>171</v>
      </c>
      <c r="C847" s="4" t="s">
        <v>172</v>
      </c>
      <c r="D847" s="4" t="s">
        <v>314</v>
      </c>
      <c r="E847" s="4" t="s">
        <v>303</v>
      </c>
      <c r="F847" t="s">
        <v>226</v>
      </c>
      <c r="G847" t="s">
        <v>224</v>
      </c>
      <c r="H847">
        <f>VLOOKUP(C847,'TB Apr 24'!$B$13:$R$103,17,0)</f>
        <v>0</v>
      </c>
    </row>
    <row r="848" spans="1:8" x14ac:dyDescent="0.35">
      <c r="A848" s="77">
        <v>45383</v>
      </c>
      <c r="B848" s="3" t="s">
        <v>173</v>
      </c>
      <c r="C848" s="4" t="s">
        <v>174</v>
      </c>
      <c r="D848" s="4" t="s">
        <v>314</v>
      </c>
      <c r="E848" s="4" t="s">
        <v>257</v>
      </c>
      <c r="F848" t="s">
        <v>226</v>
      </c>
      <c r="G848" t="s">
        <v>224</v>
      </c>
      <c r="H848">
        <f>VLOOKUP(C848,'TB Apr 24'!$B$13:$R$103,17,0)</f>
        <v>0</v>
      </c>
    </row>
    <row r="849" spans="1:8" x14ac:dyDescent="0.35">
      <c r="A849" s="77">
        <v>45383</v>
      </c>
      <c r="B849" s="3" t="s">
        <v>175</v>
      </c>
      <c r="C849" s="4" t="s">
        <v>176</v>
      </c>
      <c r="D849" s="4" t="s">
        <v>314</v>
      </c>
      <c r="E849" s="4" t="s">
        <v>257</v>
      </c>
      <c r="F849" t="s">
        <v>226</v>
      </c>
      <c r="G849" t="s">
        <v>224</v>
      </c>
      <c r="H849">
        <f>VLOOKUP(C849,'TB Apr 24'!$B$13:$R$103,17,0)</f>
        <v>0</v>
      </c>
    </row>
    <row r="850" spans="1:8" x14ac:dyDescent="0.35">
      <c r="A850" s="77">
        <v>45383</v>
      </c>
      <c r="B850" s="3" t="s">
        <v>177</v>
      </c>
      <c r="C850" s="4" t="s">
        <v>178</v>
      </c>
      <c r="D850" s="4" t="s">
        <v>314</v>
      </c>
      <c r="E850" s="4" t="s">
        <v>257</v>
      </c>
      <c r="F850" t="s">
        <v>226</v>
      </c>
      <c r="G850" t="s">
        <v>224</v>
      </c>
      <c r="H850">
        <f>VLOOKUP(C850,'TB Apr 24'!$B$13:$R$103,17,0)</f>
        <v>0</v>
      </c>
    </row>
    <row r="851" spans="1:8" x14ac:dyDescent="0.35">
      <c r="A851" s="77">
        <v>45383</v>
      </c>
      <c r="B851" s="3" t="s">
        <v>179</v>
      </c>
      <c r="C851" s="4" t="s">
        <v>180</v>
      </c>
      <c r="D851" s="4" t="s">
        <v>314</v>
      </c>
      <c r="E851" s="4" t="s">
        <v>322</v>
      </c>
      <c r="F851" t="s">
        <v>226</v>
      </c>
      <c r="G851" t="s">
        <v>224</v>
      </c>
      <c r="H851">
        <f>VLOOKUP(C851,'TB Apr 24'!$B$13:$R$103,17,0)</f>
        <v>356</v>
      </c>
    </row>
    <row r="852" spans="1:8" x14ac:dyDescent="0.35">
      <c r="A852" s="77">
        <v>45383</v>
      </c>
      <c r="B852" s="3" t="s">
        <v>181</v>
      </c>
      <c r="C852" s="4" t="s">
        <v>182</v>
      </c>
      <c r="D852" s="4" t="s">
        <v>314</v>
      </c>
      <c r="E852" s="4" t="s">
        <v>290</v>
      </c>
      <c r="F852" t="s">
        <v>226</v>
      </c>
      <c r="G852" t="s">
        <v>224</v>
      </c>
      <c r="H852">
        <f>VLOOKUP(C852,'TB Apr 24'!$B$13:$R$103,17,0)</f>
        <v>0</v>
      </c>
    </row>
    <row r="853" spans="1:8" x14ac:dyDescent="0.35">
      <c r="A853" s="77">
        <v>45383</v>
      </c>
      <c r="B853" s="3" t="s">
        <v>183</v>
      </c>
      <c r="C853" s="4" t="s">
        <v>184</v>
      </c>
      <c r="D853" s="4" t="s">
        <v>314</v>
      </c>
      <c r="E853" s="4" t="s">
        <v>290</v>
      </c>
      <c r="F853" t="s">
        <v>226</v>
      </c>
      <c r="G853" t="s">
        <v>224</v>
      </c>
      <c r="H853">
        <f>VLOOKUP(C853,'TB Apr 24'!$B$13:$R$103,17,0)</f>
        <v>0</v>
      </c>
    </row>
    <row r="854" spans="1:8" x14ac:dyDescent="0.35">
      <c r="A854" s="77">
        <v>45383</v>
      </c>
      <c r="B854" s="3" t="s">
        <v>185</v>
      </c>
      <c r="C854" s="4" t="s">
        <v>186</v>
      </c>
      <c r="D854" s="4" t="s">
        <v>314</v>
      </c>
      <c r="E854" s="4" t="s">
        <v>290</v>
      </c>
      <c r="F854" t="s">
        <v>226</v>
      </c>
      <c r="G854" t="s">
        <v>224</v>
      </c>
      <c r="H854">
        <f>VLOOKUP(C854,'TB Apr 24'!$B$13:$R$103,17,0)</f>
        <v>0</v>
      </c>
    </row>
    <row r="855" spans="1:8" x14ac:dyDescent="0.35">
      <c r="A855" s="77">
        <v>45383</v>
      </c>
      <c r="B855" s="3" t="s">
        <v>187</v>
      </c>
      <c r="C855" s="4" t="s">
        <v>188</v>
      </c>
      <c r="D855" s="4" t="s">
        <v>314</v>
      </c>
      <c r="E855" s="4" t="s">
        <v>291</v>
      </c>
      <c r="F855" t="s">
        <v>226</v>
      </c>
      <c r="G855" t="s">
        <v>224</v>
      </c>
      <c r="H855">
        <f>VLOOKUP(C855,'TB Apr 24'!$B$13:$R$103,17,0)</f>
        <v>40782.400000000001</v>
      </c>
    </row>
    <row r="856" spans="1:8" x14ac:dyDescent="0.35">
      <c r="A856" s="77">
        <v>45383</v>
      </c>
      <c r="B856" s="3" t="s">
        <v>189</v>
      </c>
      <c r="C856" s="4" t="s">
        <v>190</v>
      </c>
      <c r="D856" s="4" t="s">
        <v>314</v>
      </c>
      <c r="E856" s="4" t="s">
        <v>254</v>
      </c>
      <c r="F856" t="s">
        <v>226</v>
      </c>
      <c r="G856" t="s">
        <v>224</v>
      </c>
      <c r="H856">
        <f>VLOOKUP(C856,'TB Apr 24'!$B$13:$R$103,17,0)</f>
        <v>0</v>
      </c>
    </row>
    <row r="857" spans="1:8" x14ac:dyDescent="0.35">
      <c r="A857" s="77">
        <v>45383</v>
      </c>
      <c r="B857" s="3" t="s">
        <v>191</v>
      </c>
      <c r="C857" s="4" t="s">
        <v>192</v>
      </c>
      <c r="D857" s="4" t="s">
        <v>314</v>
      </c>
      <c r="E857" s="4" t="s">
        <v>254</v>
      </c>
      <c r="F857" t="s">
        <v>226</v>
      </c>
      <c r="G857" t="s">
        <v>224</v>
      </c>
      <c r="H857">
        <f>VLOOKUP(C857,'TB Apr 24'!$B$13:$R$103,17,0)</f>
        <v>0</v>
      </c>
    </row>
    <row r="858" spans="1:8" x14ac:dyDescent="0.35">
      <c r="A858" s="77">
        <v>45383</v>
      </c>
      <c r="B858" s="3" t="s">
        <v>193</v>
      </c>
      <c r="C858" s="4" t="s">
        <v>194</v>
      </c>
      <c r="D858" s="4" t="s">
        <v>314</v>
      </c>
      <c r="E858" s="4" t="s">
        <v>254</v>
      </c>
      <c r="F858" t="s">
        <v>226</v>
      </c>
      <c r="G858" t="s">
        <v>224</v>
      </c>
      <c r="H858">
        <f>VLOOKUP(C858,'TB Apr 24'!$B$13:$R$103,17,0)</f>
        <v>734668</v>
      </c>
    </row>
    <row r="859" spans="1:8" x14ac:dyDescent="0.35">
      <c r="A859" s="77">
        <v>45383</v>
      </c>
      <c r="B859" s="3" t="s">
        <v>195</v>
      </c>
      <c r="C859" s="4" t="s">
        <v>196</v>
      </c>
      <c r="D859" s="4" t="s">
        <v>314</v>
      </c>
      <c r="E859" s="4" t="s">
        <v>255</v>
      </c>
      <c r="F859" t="s">
        <v>226</v>
      </c>
      <c r="G859" t="s">
        <v>224</v>
      </c>
      <c r="H859">
        <f>VLOOKUP(C859,'TB Apr 24'!$B$13:$R$103,17,0)</f>
        <v>0</v>
      </c>
    </row>
    <row r="860" spans="1:8" x14ac:dyDescent="0.35">
      <c r="A860" s="77">
        <v>45383</v>
      </c>
      <c r="B860" s="3" t="s">
        <v>197</v>
      </c>
      <c r="C860" s="4" t="s">
        <v>198</v>
      </c>
      <c r="D860" s="4" t="s">
        <v>314</v>
      </c>
      <c r="E860" s="4" t="s">
        <v>255</v>
      </c>
      <c r="F860" t="s">
        <v>226</v>
      </c>
      <c r="G860" t="s">
        <v>224</v>
      </c>
      <c r="H860">
        <f>VLOOKUP(C860,'TB Apr 24'!$B$13:$R$103,17,0)</f>
        <v>0</v>
      </c>
    </row>
    <row r="861" spans="1:8" x14ac:dyDescent="0.35">
      <c r="A861" s="77">
        <v>45383</v>
      </c>
      <c r="B861" s="3" t="s">
        <v>199</v>
      </c>
      <c r="C861" s="4" t="s">
        <v>200</v>
      </c>
      <c r="D861" s="4" t="s">
        <v>314</v>
      </c>
      <c r="E861" s="4" t="s">
        <v>254</v>
      </c>
      <c r="F861" t="s">
        <v>226</v>
      </c>
      <c r="G861" t="s">
        <v>224</v>
      </c>
      <c r="H861">
        <f>VLOOKUP(C861,'TB Apr 24'!$B$13:$R$103,17,0)</f>
        <v>0</v>
      </c>
    </row>
    <row r="862" spans="1:8" x14ac:dyDescent="0.35">
      <c r="A862" s="77">
        <v>45383</v>
      </c>
      <c r="B862" s="3" t="s">
        <v>201</v>
      </c>
      <c r="C862" s="4" t="s">
        <v>202</v>
      </c>
      <c r="D862" s="4" t="s">
        <v>314</v>
      </c>
      <c r="E862" s="4" t="s">
        <v>254</v>
      </c>
      <c r="F862" t="s">
        <v>226</v>
      </c>
      <c r="G862" t="s">
        <v>224</v>
      </c>
      <c r="H862">
        <f>VLOOKUP(C862,'TB Apr 24'!$B$13:$R$103,17,0)</f>
        <v>0</v>
      </c>
    </row>
    <row r="863" spans="1:8" x14ac:dyDescent="0.35">
      <c r="A863" s="77">
        <v>45383</v>
      </c>
      <c r="B863" s="3" t="s">
        <v>203</v>
      </c>
      <c r="C863" s="4" t="s">
        <v>204</v>
      </c>
      <c r="D863" s="4" t="s">
        <v>314</v>
      </c>
      <c r="E863" s="4" t="s">
        <v>256</v>
      </c>
      <c r="F863" t="s">
        <v>226</v>
      </c>
      <c r="G863" t="s">
        <v>224</v>
      </c>
      <c r="H863">
        <f>VLOOKUP(C863,'TB Apr 24'!$B$13:$R$103,17,0)</f>
        <v>0</v>
      </c>
    </row>
    <row r="864" spans="1:8" x14ac:dyDescent="0.35">
      <c r="A864" s="77">
        <v>45383</v>
      </c>
      <c r="B864" s="3" t="s">
        <v>205</v>
      </c>
      <c r="C864" s="6" t="s">
        <v>206</v>
      </c>
      <c r="D864" s="4" t="s">
        <v>314</v>
      </c>
      <c r="E864" s="6" t="s">
        <v>322</v>
      </c>
      <c r="F864" s="79" t="s">
        <v>226</v>
      </c>
      <c r="G864" s="79" t="s">
        <v>224</v>
      </c>
      <c r="H864" s="79">
        <f>VLOOKUP(C864,'TB Apr 24'!$B$13:$R$103,17,0)</f>
        <v>0</v>
      </c>
    </row>
    <row r="865" spans="1:8" x14ac:dyDescent="0.35">
      <c r="A865" s="77">
        <v>45383</v>
      </c>
      <c r="B865" s="3" t="s">
        <v>57</v>
      </c>
      <c r="C865" s="4" t="s">
        <v>58</v>
      </c>
      <c r="D865" s="4" t="s">
        <v>314</v>
      </c>
      <c r="E865" s="4" t="s">
        <v>253</v>
      </c>
      <c r="F865" t="s">
        <v>226</v>
      </c>
      <c r="G865" t="s">
        <v>221</v>
      </c>
      <c r="H865">
        <f>VLOOKUP(C865,'TB Apr 24'!$B$13:$S$103,18,0)</f>
        <v>0</v>
      </c>
    </row>
    <row r="866" spans="1:8" x14ac:dyDescent="0.35">
      <c r="A866" s="77">
        <v>45383</v>
      </c>
      <c r="B866" s="3" t="s">
        <v>307</v>
      </c>
      <c r="C866" s="4" t="s">
        <v>308</v>
      </c>
      <c r="D866" s="4" t="s">
        <v>314</v>
      </c>
      <c r="E866" s="4" t="s">
        <v>253</v>
      </c>
      <c r="F866" t="s">
        <v>226</v>
      </c>
      <c r="G866" t="s">
        <v>221</v>
      </c>
      <c r="H866">
        <f>VLOOKUP(C866,'TB Apr 24'!$B$13:$S$103,18,0)</f>
        <v>0</v>
      </c>
    </row>
    <row r="867" spans="1:8" x14ac:dyDescent="0.35">
      <c r="A867" s="77">
        <v>45383</v>
      </c>
      <c r="B867" s="3" t="s">
        <v>59</v>
      </c>
      <c r="C867" s="4" t="s">
        <v>60</v>
      </c>
      <c r="D867" s="4" t="s">
        <v>314</v>
      </c>
      <c r="E867" s="4" t="s">
        <v>253</v>
      </c>
      <c r="F867" t="s">
        <v>226</v>
      </c>
      <c r="G867" t="s">
        <v>221</v>
      </c>
      <c r="H867">
        <f>VLOOKUP(C867,'TB Apr 24'!$B$13:$S$103,18,0)</f>
        <v>-33.72</v>
      </c>
    </row>
    <row r="868" spans="1:8" x14ac:dyDescent="0.35">
      <c r="A868" s="77">
        <v>45383</v>
      </c>
      <c r="B868" s="3" t="s">
        <v>61</v>
      </c>
      <c r="C868" s="4" t="s">
        <v>62</v>
      </c>
      <c r="D868" s="4" t="s">
        <v>314</v>
      </c>
      <c r="E868" s="4" t="s">
        <v>66</v>
      </c>
      <c r="F868" t="s">
        <v>226</v>
      </c>
      <c r="G868" t="s">
        <v>221</v>
      </c>
      <c r="H868">
        <f>VLOOKUP(C868,'TB Apr 24'!$B$13:$S$103,18,0)</f>
        <v>-11098.02</v>
      </c>
    </row>
    <row r="869" spans="1:8" x14ac:dyDescent="0.35">
      <c r="A869" s="77">
        <v>45383</v>
      </c>
      <c r="B869" s="3" t="s">
        <v>63</v>
      </c>
      <c r="C869" s="4" t="s">
        <v>64</v>
      </c>
      <c r="D869" s="4" t="s">
        <v>314</v>
      </c>
      <c r="E869" s="4" t="s">
        <v>252</v>
      </c>
      <c r="F869" t="s">
        <v>226</v>
      </c>
      <c r="G869" t="s">
        <v>221</v>
      </c>
      <c r="H869">
        <f>VLOOKUP(C869,'TB Apr 24'!$B$13:$S$103,18,0)</f>
        <v>0</v>
      </c>
    </row>
    <row r="870" spans="1:8" x14ac:dyDescent="0.35">
      <c r="A870" s="77">
        <v>45383</v>
      </c>
      <c r="B870" s="3" t="s">
        <v>65</v>
      </c>
      <c r="C870" s="4" t="s">
        <v>66</v>
      </c>
      <c r="D870" s="4" t="s">
        <v>314</v>
      </c>
      <c r="E870" s="4" t="s">
        <v>66</v>
      </c>
      <c r="F870" t="s">
        <v>226</v>
      </c>
      <c r="G870" t="s">
        <v>221</v>
      </c>
      <c r="H870">
        <f>VLOOKUP(C870,'TB Apr 24'!$B$13:$S$103,18,0)</f>
        <v>-1032048.64</v>
      </c>
    </row>
    <row r="871" spans="1:8" x14ac:dyDescent="0.35">
      <c r="A871" s="77">
        <v>45383</v>
      </c>
      <c r="B871" s="3" t="s">
        <v>67</v>
      </c>
      <c r="C871" s="4" t="s">
        <v>68</v>
      </c>
      <c r="D871" s="4" t="s">
        <v>314</v>
      </c>
      <c r="E871" s="4" t="s">
        <v>252</v>
      </c>
      <c r="F871" t="s">
        <v>226</v>
      </c>
      <c r="G871" t="s">
        <v>221</v>
      </c>
      <c r="H871">
        <f>VLOOKUP(C871,'TB Apr 24'!$B$13:$S$103,18,0)</f>
        <v>-162365.70000000001</v>
      </c>
    </row>
    <row r="872" spans="1:8" x14ac:dyDescent="0.35">
      <c r="A872" s="77">
        <v>45383</v>
      </c>
      <c r="B872" s="3" t="s">
        <v>69</v>
      </c>
      <c r="C872" s="4" t="s">
        <v>70</v>
      </c>
      <c r="D872" s="4" t="s">
        <v>314</v>
      </c>
      <c r="E872" s="4" t="s">
        <v>70</v>
      </c>
      <c r="F872" t="s">
        <v>226</v>
      </c>
      <c r="G872" t="s">
        <v>221</v>
      </c>
      <c r="H872">
        <f>VLOOKUP(C872,'TB Apr 24'!$B$13:$S$103,18,0)</f>
        <v>-883050.65</v>
      </c>
    </row>
    <row r="873" spans="1:8" x14ac:dyDescent="0.35">
      <c r="A873" s="77">
        <v>45383</v>
      </c>
      <c r="B873" s="3" t="s">
        <v>71</v>
      </c>
      <c r="C873" s="4" t="s">
        <v>72</v>
      </c>
      <c r="D873" s="4" t="s">
        <v>314</v>
      </c>
      <c r="E873" s="4" t="s">
        <v>253</v>
      </c>
      <c r="F873" t="s">
        <v>226</v>
      </c>
      <c r="G873" t="s">
        <v>221</v>
      </c>
      <c r="H873">
        <f>VLOOKUP(C873,'TB Apr 24'!$B$13:$S$103,18,0)</f>
        <v>-2794.51</v>
      </c>
    </row>
    <row r="874" spans="1:8" x14ac:dyDescent="0.35">
      <c r="A874" s="77">
        <v>45383</v>
      </c>
      <c r="B874" s="3" t="s">
        <v>73</v>
      </c>
      <c r="C874" s="4" t="s">
        <v>74</v>
      </c>
      <c r="D874" s="4" t="s">
        <v>314</v>
      </c>
      <c r="E874" s="4" t="s">
        <v>253</v>
      </c>
      <c r="F874" t="s">
        <v>226</v>
      </c>
      <c r="G874" t="s">
        <v>221</v>
      </c>
      <c r="H874">
        <f>VLOOKUP(C874,'TB Apr 24'!$B$13:$S$103,18,0)</f>
        <v>-555.54999999999995</v>
      </c>
    </row>
    <row r="875" spans="1:8" x14ac:dyDescent="0.35">
      <c r="A875" s="77">
        <v>45383</v>
      </c>
      <c r="B875" s="3" t="s">
        <v>75</v>
      </c>
      <c r="C875" s="4" t="s">
        <v>76</v>
      </c>
      <c r="D875" s="4" t="s">
        <v>314</v>
      </c>
      <c r="E875" s="4" t="s">
        <v>253</v>
      </c>
      <c r="F875" t="s">
        <v>226</v>
      </c>
      <c r="G875" t="s">
        <v>221</v>
      </c>
      <c r="H875">
        <f>VLOOKUP(C875,'TB Apr 24'!$B$13:$S$103,18,0)</f>
        <v>0</v>
      </c>
    </row>
    <row r="876" spans="1:8" x14ac:dyDescent="0.35">
      <c r="A876" s="77">
        <v>45383</v>
      </c>
      <c r="B876" s="3" t="s">
        <v>77</v>
      </c>
      <c r="C876" s="4" t="s">
        <v>78</v>
      </c>
      <c r="D876" s="4" t="s">
        <v>314</v>
      </c>
      <c r="E876" s="4" t="s">
        <v>253</v>
      </c>
      <c r="F876" t="s">
        <v>226</v>
      </c>
      <c r="G876" t="s">
        <v>221</v>
      </c>
      <c r="H876">
        <f>VLOOKUP(C876,'TB Apr 24'!$B$13:$S$103,18,0)</f>
        <v>27828.78</v>
      </c>
    </row>
    <row r="877" spans="1:8" x14ac:dyDescent="0.35">
      <c r="A877" s="77">
        <v>45383</v>
      </c>
      <c r="B877" s="3" t="s">
        <v>79</v>
      </c>
      <c r="C877" s="4" t="s">
        <v>80</v>
      </c>
      <c r="D877" s="4" t="s">
        <v>314</v>
      </c>
      <c r="E877" s="4" t="s">
        <v>253</v>
      </c>
      <c r="F877" t="s">
        <v>226</v>
      </c>
      <c r="G877" t="s">
        <v>221</v>
      </c>
      <c r="H877">
        <f>VLOOKUP(C877,'TB Apr 24'!$B$13:$S$103,18,0)</f>
        <v>-79432.3</v>
      </c>
    </row>
    <row r="878" spans="1:8" x14ac:dyDescent="0.35">
      <c r="A878" s="77">
        <v>45383</v>
      </c>
      <c r="B878" s="3" t="s">
        <v>81</v>
      </c>
      <c r="C878" s="4" t="s">
        <v>82</v>
      </c>
      <c r="D878" s="4" t="s">
        <v>314</v>
      </c>
      <c r="E878" s="4" t="s">
        <v>319</v>
      </c>
      <c r="F878" t="s">
        <v>226</v>
      </c>
      <c r="G878" t="s">
        <v>221</v>
      </c>
      <c r="H878">
        <f>VLOOKUP(C878,'TB Apr 24'!$B$13:$S$103,18,0)</f>
        <v>7434</v>
      </c>
    </row>
    <row r="879" spans="1:8" x14ac:dyDescent="0.35">
      <c r="A879" s="77">
        <v>45383</v>
      </c>
      <c r="B879" s="3" t="s">
        <v>83</v>
      </c>
      <c r="C879" s="4" t="s">
        <v>84</v>
      </c>
      <c r="D879" s="4" t="s">
        <v>314</v>
      </c>
      <c r="E879" s="4" t="s">
        <v>319</v>
      </c>
      <c r="F879" t="s">
        <v>226</v>
      </c>
      <c r="G879" t="s">
        <v>221</v>
      </c>
      <c r="H879">
        <f>VLOOKUP(C879,'TB Apr 24'!$B$13:$S$103,18,0)</f>
        <v>0</v>
      </c>
    </row>
    <row r="880" spans="1:8" x14ac:dyDescent="0.35">
      <c r="A880" s="77">
        <v>45383</v>
      </c>
      <c r="B880" s="3" t="s">
        <v>85</v>
      </c>
      <c r="C880" s="4" t="s">
        <v>86</v>
      </c>
      <c r="D880" s="4" t="s">
        <v>314</v>
      </c>
      <c r="E880" s="4" t="s">
        <v>291</v>
      </c>
      <c r="F880" t="s">
        <v>226</v>
      </c>
      <c r="G880" t="s">
        <v>221</v>
      </c>
      <c r="H880">
        <f>VLOOKUP(C880,'TB Apr 24'!$B$13:$S$103,18,0)</f>
        <v>2920</v>
      </c>
    </row>
    <row r="881" spans="1:8" x14ac:dyDescent="0.35">
      <c r="A881" s="77">
        <v>45383</v>
      </c>
      <c r="B881" s="3" t="s">
        <v>88</v>
      </c>
      <c r="C881" s="4" t="s">
        <v>89</v>
      </c>
      <c r="D881" s="4" t="s">
        <v>314</v>
      </c>
      <c r="E881" s="4" t="s">
        <v>300</v>
      </c>
      <c r="F881" t="s">
        <v>226</v>
      </c>
      <c r="G881" t="s">
        <v>221</v>
      </c>
      <c r="H881">
        <f>VLOOKUP(C881,'TB Apr 24'!$B$13:$S$103,18,0)</f>
        <v>0</v>
      </c>
    </row>
    <row r="882" spans="1:8" x14ac:dyDescent="0.35">
      <c r="A882" s="77">
        <v>45383</v>
      </c>
      <c r="B882" s="3" t="s">
        <v>90</v>
      </c>
      <c r="C882" s="4" t="s">
        <v>91</v>
      </c>
      <c r="D882" s="4" t="s">
        <v>314</v>
      </c>
      <c r="E882" s="4" t="s">
        <v>300</v>
      </c>
      <c r="F882" t="s">
        <v>226</v>
      </c>
      <c r="G882" t="s">
        <v>221</v>
      </c>
      <c r="H882">
        <f>VLOOKUP(C882,'TB Apr 24'!$B$13:$S$103,18,0)</f>
        <v>71556</v>
      </c>
    </row>
    <row r="883" spans="1:8" x14ac:dyDescent="0.35">
      <c r="A883" s="77">
        <v>45383</v>
      </c>
      <c r="B883" s="3" t="s">
        <v>92</v>
      </c>
      <c r="C883" s="4" t="s">
        <v>93</v>
      </c>
      <c r="D883" s="4" t="s">
        <v>314</v>
      </c>
      <c r="E883" s="4" t="s">
        <v>300</v>
      </c>
      <c r="F883" t="s">
        <v>226</v>
      </c>
      <c r="G883" t="s">
        <v>221</v>
      </c>
      <c r="H883">
        <f>VLOOKUP(C883,'TB Apr 24'!$B$13:$S$103,18,0)</f>
        <v>0</v>
      </c>
    </row>
    <row r="884" spans="1:8" x14ac:dyDescent="0.35">
      <c r="A884" s="77">
        <v>45383</v>
      </c>
      <c r="B884" s="3" t="s">
        <v>94</v>
      </c>
      <c r="C884" s="4" t="s">
        <v>95</v>
      </c>
      <c r="D884" s="4" t="s">
        <v>314</v>
      </c>
      <c r="E884" s="4" t="s">
        <v>289</v>
      </c>
      <c r="F884" t="s">
        <v>226</v>
      </c>
      <c r="G884" t="s">
        <v>221</v>
      </c>
      <c r="H884">
        <f>VLOOKUP(C884,'TB Apr 24'!$B$13:$S$103,18,0)</f>
        <v>474870.66666666669</v>
      </c>
    </row>
    <row r="885" spans="1:8" x14ac:dyDescent="0.35">
      <c r="A885" s="77">
        <v>45383</v>
      </c>
      <c r="B885" s="3" t="s">
        <v>96</v>
      </c>
      <c r="C885" s="4" t="s">
        <v>97</v>
      </c>
      <c r="D885" s="4" t="s">
        <v>314</v>
      </c>
      <c r="E885" s="4" t="s">
        <v>289</v>
      </c>
      <c r="F885" t="s">
        <v>226</v>
      </c>
      <c r="G885" t="s">
        <v>221</v>
      </c>
      <c r="H885">
        <f>VLOOKUP(C885,'TB Apr 24'!$B$13:$S$103,18,0)</f>
        <v>0</v>
      </c>
    </row>
    <row r="886" spans="1:8" x14ac:dyDescent="0.35">
      <c r="A886" s="77">
        <v>45383</v>
      </c>
      <c r="B886" s="3" t="s">
        <v>309</v>
      </c>
      <c r="C886" s="4" t="s">
        <v>310</v>
      </c>
      <c r="D886" s="4" t="s">
        <v>314</v>
      </c>
      <c r="E886" s="4" t="s">
        <v>289</v>
      </c>
      <c r="F886" t="s">
        <v>226</v>
      </c>
      <c r="G886" t="s">
        <v>221</v>
      </c>
      <c r="H886">
        <f>VLOOKUP(C886,'TB Apr 24'!$B$13:$S$103,18,0)</f>
        <v>0</v>
      </c>
    </row>
    <row r="887" spans="1:8" x14ac:dyDescent="0.35">
      <c r="A887" s="77">
        <v>45383</v>
      </c>
      <c r="B887" s="3" t="s">
        <v>98</v>
      </c>
      <c r="C887" s="4" t="s">
        <v>99</v>
      </c>
      <c r="D887" s="4" t="s">
        <v>314</v>
      </c>
      <c r="E887" s="4" t="s">
        <v>289</v>
      </c>
      <c r="F887" t="s">
        <v>226</v>
      </c>
      <c r="G887" t="s">
        <v>221</v>
      </c>
      <c r="H887">
        <f>VLOOKUP(C887,'TB Apr 24'!$B$13:$S$103,18,0)</f>
        <v>0</v>
      </c>
    </row>
    <row r="888" spans="1:8" x14ac:dyDescent="0.35">
      <c r="A888" s="77">
        <v>45383</v>
      </c>
      <c r="B888" s="3" t="s">
        <v>100</v>
      </c>
      <c r="C888" s="4" t="s">
        <v>101</v>
      </c>
      <c r="D888" s="4" t="s">
        <v>314</v>
      </c>
      <c r="E888" s="4" t="s">
        <v>291</v>
      </c>
      <c r="F888" t="s">
        <v>226</v>
      </c>
      <c r="G888" t="s">
        <v>221</v>
      </c>
      <c r="H888">
        <f>VLOOKUP(C888,'TB Apr 24'!$B$13:$S$103,18,0)</f>
        <v>0</v>
      </c>
    </row>
    <row r="889" spans="1:8" x14ac:dyDescent="0.35">
      <c r="A889" s="77">
        <v>45383</v>
      </c>
      <c r="B889" s="3" t="s">
        <v>102</v>
      </c>
      <c r="C889" s="4" t="s">
        <v>103</v>
      </c>
      <c r="D889" s="4" t="s">
        <v>314</v>
      </c>
      <c r="E889" s="4" t="s">
        <v>291</v>
      </c>
      <c r="F889" t="s">
        <v>226</v>
      </c>
      <c r="G889" t="s">
        <v>221</v>
      </c>
      <c r="H889">
        <f>VLOOKUP(C889,'TB Apr 24'!$B$13:$S$103,18,0)</f>
        <v>0</v>
      </c>
    </row>
    <row r="890" spans="1:8" x14ac:dyDescent="0.35">
      <c r="A890" s="77">
        <v>45383</v>
      </c>
      <c r="B890" s="3" t="s">
        <v>104</v>
      </c>
      <c r="C890" s="4" t="s">
        <v>105</v>
      </c>
      <c r="D890" s="4" t="s">
        <v>314</v>
      </c>
      <c r="E890" s="4" t="s">
        <v>291</v>
      </c>
      <c r="F890" t="s">
        <v>226</v>
      </c>
      <c r="G890" t="s">
        <v>221</v>
      </c>
      <c r="H890">
        <f>VLOOKUP(C890,'TB Apr 24'!$B$13:$S$103,18,0)</f>
        <v>0</v>
      </c>
    </row>
    <row r="891" spans="1:8" x14ac:dyDescent="0.35">
      <c r="A891" s="77">
        <v>45383</v>
      </c>
      <c r="B891" s="3" t="s">
        <v>106</v>
      </c>
      <c r="C891" s="4" t="s">
        <v>107</v>
      </c>
      <c r="D891" s="4" t="s">
        <v>314</v>
      </c>
      <c r="E891" s="4" t="s">
        <v>321</v>
      </c>
      <c r="F891" t="s">
        <v>226</v>
      </c>
      <c r="G891" t="s">
        <v>221</v>
      </c>
      <c r="H891">
        <f>VLOOKUP(C891,'TB Apr 24'!$B$13:$S$103,18,0)</f>
        <v>0</v>
      </c>
    </row>
    <row r="892" spans="1:8" x14ac:dyDescent="0.35">
      <c r="A892" s="77">
        <v>45383</v>
      </c>
      <c r="B892" s="3" t="s">
        <v>108</v>
      </c>
      <c r="C892" s="4" t="s">
        <v>109</v>
      </c>
      <c r="D892" s="4" t="s">
        <v>314</v>
      </c>
      <c r="E892" s="4" t="s">
        <v>321</v>
      </c>
      <c r="F892" t="s">
        <v>226</v>
      </c>
      <c r="G892" t="s">
        <v>221</v>
      </c>
      <c r="H892">
        <f>VLOOKUP(C892,'TB Apr 24'!$B$13:$S$103,18,0)</f>
        <v>0</v>
      </c>
    </row>
    <row r="893" spans="1:8" x14ac:dyDescent="0.35">
      <c r="A893" s="77">
        <v>45383</v>
      </c>
      <c r="B893" s="3" t="s">
        <v>110</v>
      </c>
      <c r="C893" s="4" t="s">
        <v>111</v>
      </c>
      <c r="D893" s="4" t="s">
        <v>314</v>
      </c>
      <c r="E893" s="4" t="s">
        <v>320</v>
      </c>
      <c r="F893" t="s">
        <v>226</v>
      </c>
      <c r="G893" t="s">
        <v>221</v>
      </c>
      <c r="H893">
        <f>VLOOKUP(C893,'TB Apr 24'!$B$13:$S$103,18,0)</f>
        <v>0</v>
      </c>
    </row>
    <row r="894" spans="1:8" x14ac:dyDescent="0.35">
      <c r="A894" s="77">
        <v>45383</v>
      </c>
      <c r="B894" s="3" t="s">
        <v>112</v>
      </c>
      <c r="C894" s="4" t="s">
        <v>113</v>
      </c>
      <c r="D894" s="4" t="s">
        <v>314</v>
      </c>
      <c r="E894" s="4" t="s">
        <v>321</v>
      </c>
      <c r="F894" t="s">
        <v>226</v>
      </c>
      <c r="G894" t="s">
        <v>221</v>
      </c>
      <c r="H894">
        <f>VLOOKUP(C894,'TB Apr 24'!$B$13:$S$103,18,0)</f>
        <v>3540</v>
      </c>
    </row>
    <row r="895" spans="1:8" x14ac:dyDescent="0.35">
      <c r="A895" s="77">
        <v>45383</v>
      </c>
      <c r="B895" s="3" t="s">
        <v>311</v>
      </c>
      <c r="C895" s="4" t="s">
        <v>312</v>
      </c>
      <c r="D895" s="4" t="s">
        <v>314</v>
      </c>
      <c r="E895" s="4" t="s">
        <v>288</v>
      </c>
      <c r="F895" t="s">
        <v>226</v>
      </c>
      <c r="G895" t="s">
        <v>221</v>
      </c>
      <c r="H895">
        <f>VLOOKUP(C895,'TB Apr 24'!$B$13:$S$103,18,0)</f>
        <v>0</v>
      </c>
    </row>
    <row r="896" spans="1:8" x14ac:dyDescent="0.35">
      <c r="A896" s="77">
        <v>45383</v>
      </c>
      <c r="B896" s="3" t="s">
        <v>114</v>
      </c>
      <c r="C896" s="4" t="s">
        <v>115</v>
      </c>
      <c r="D896" s="4" t="s">
        <v>314</v>
      </c>
      <c r="E896" s="4" t="s">
        <v>294</v>
      </c>
      <c r="F896" t="s">
        <v>226</v>
      </c>
      <c r="G896" t="s">
        <v>221</v>
      </c>
      <c r="H896">
        <f>VLOOKUP(C896,'TB Apr 24'!$B$13:$S$103,18,0)</f>
        <v>0</v>
      </c>
    </row>
    <row r="897" spans="1:8" x14ac:dyDescent="0.35">
      <c r="A897" s="77">
        <v>45383</v>
      </c>
      <c r="B897" s="3" t="s">
        <v>116</v>
      </c>
      <c r="C897" s="4" t="s">
        <v>117</v>
      </c>
      <c r="D897" s="4" t="s">
        <v>314</v>
      </c>
      <c r="E897" s="4" t="s">
        <v>296</v>
      </c>
      <c r="F897" t="s">
        <v>226</v>
      </c>
      <c r="G897" t="s">
        <v>221</v>
      </c>
      <c r="H897">
        <f>VLOOKUP(C897,'TB Apr 24'!$B$13:$S$103,18,0)</f>
        <v>0</v>
      </c>
    </row>
    <row r="898" spans="1:8" x14ac:dyDescent="0.35">
      <c r="A898" s="77">
        <v>45383</v>
      </c>
      <c r="B898" s="3" t="s">
        <v>118</v>
      </c>
      <c r="C898" s="4" t="s">
        <v>119</v>
      </c>
      <c r="D898" s="4" t="s">
        <v>314</v>
      </c>
      <c r="E898" s="4" t="s">
        <v>296</v>
      </c>
      <c r="F898" t="s">
        <v>226</v>
      </c>
      <c r="G898" t="s">
        <v>221</v>
      </c>
      <c r="H898">
        <f>VLOOKUP(C898,'TB Apr 24'!$B$13:$S$103,18,0)</f>
        <v>7000</v>
      </c>
    </row>
    <row r="899" spans="1:8" x14ac:dyDescent="0.35">
      <c r="A899" s="77">
        <v>45383</v>
      </c>
      <c r="B899" s="3" t="s">
        <v>120</v>
      </c>
      <c r="C899" s="4" t="s">
        <v>121</v>
      </c>
      <c r="D899" s="4" t="s">
        <v>314</v>
      </c>
      <c r="E899" s="4" t="s">
        <v>322</v>
      </c>
      <c r="F899" t="s">
        <v>226</v>
      </c>
      <c r="G899" t="s">
        <v>221</v>
      </c>
      <c r="H899">
        <f>VLOOKUP(C899,'TB Apr 24'!$B$13:$S$103,18,0)</f>
        <v>4238</v>
      </c>
    </row>
    <row r="900" spans="1:8" x14ac:dyDescent="0.35">
      <c r="A900" s="77">
        <v>45383</v>
      </c>
      <c r="B900" s="3" t="s">
        <v>122</v>
      </c>
      <c r="C900" s="4" t="s">
        <v>123</v>
      </c>
      <c r="D900" s="4" t="s">
        <v>314</v>
      </c>
      <c r="E900" s="4" t="s">
        <v>322</v>
      </c>
      <c r="F900" t="s">
        <v>226</v>
      </c>
      <c r="G900" t="s">
        <v>221</v>
      </c>
      <c r="H900">
        <f>VLOOKUP(C900,'TB Apr 24'!$B$13:$S$103,18,0)</f>
        <v>0</v>
      </c>
    </row>
    <row r="901" spans="1:8" x14ac:dyDescent="0.35">
      <c r="A901" s="77">
        <v>45383</v>
      </c>
      <c r="B901" s="3" t="s">
        <v>124</v>
      </c>
      <c r="C901" s="4" t="s">
        <v>125</v>
      </c>
      <c r="D901" s="4" t="s">
        <v>314</v>
      </c>
      <c r="E901" s="4" t="s">
        <v>322</v>
      </c>
      <c r="F901" t="s">
        <v>226</v>
      </c>
      <c r="G901" t="s">
        <v>221</v>
      </c>
      <c r="H901">
        <f>VLOOKUP(C901,'TB Apr 24'!$B$13:$S$103,18,0)</f>
        <v>0</v>
      </c>
    </row>
    <row r="902" spans="1:8" x14ac:dyDescent="0.35">
      <c r="A902" s="77">
        <v>45383</v>
      </c>
      <c r="B902" s="3" t="s">
        <v>126</v>
      </c>
      <c r="C902" s="4" t="s">
        <v>127</v>
      </c>
      <c r="D902" s="4" t="s">
        <v>314</v>
      </c>
      <c r="E902" s="4" t="s">
        <v>291</v>
      </c>
      <c r="F902" t="s">
        <v>226</v>
      </c>
      <c r="G902" t="s">
        <v>221</v>
      </c>
      <c r="H902">
        <f>VLOOKUP(C902,'TB Apr 24'!$B$13:$S$103,18,0)</f>
        <v>0</v>
      </c>
    </row>
    <row r="903" spans="1:8" x14ac:dyDescent="0.35">
      <c r="A903" s="77">
        <v>45383</v>
      </c>
      <c r="B903" s="3" t="s">
        <v>128</v>
      </c>
      <c r="C903" s="4" t="s">
        <v>129</v>
      </c>
      <c r="D903" s="4" t="s">
        <v>314</v>
      </c>
      <c r="E903" s="4" t="s">
        <v>322</v>
      </c>
      <c r="F903" t="s">
        <v>226</v>
      </c>
      <c r="G903" t="s">
        <v>221</v>
      </c>
      <c r="H903">
        <f>VLOOKUP(C903,'TB Apr 24'!$B$13:$S$103,18,0)</f>
        <v>31806</v>
      </c>
    </row>
    <row r="904" spans="1:8" x14ac:dyDescent="0.35">
      <c r="A904" s="77">
        <v>45383</v>
      </c>
      <c r="B904" s="3" t="s">
        <v>130</v>
      </c>
      <c r="C904" s="4" t="s">
        <v>131</v>
      </c>
      <c r="D904" s="4" t="s">
        <v>314</v>
      </c>
      <c r="E904" s="4" t="s">
        <v>322</v>
      </c>
      <c r="F904" t="s">
        <v>226</v>
      </c>
      <c r="G904" t="s">
        <v>221</v>
      </c>
      <c r="H904">
        <f>VLOOKUP(C904,'TB Apr 24'!$B$13:$S$103,18,0)</f>
        <v>465</v>
      </c>
    </row>
    <row r="905" spans="1:8" x14ac:dyDescent="0.35">
      <c r="A905" s="77">
        <v>45383</v>
      </c>
      <c r="B905" s="3" t="s">
        <v>132</v>
      </c>
      <c r="C905" s="4" t="s">
        <v>133</v>
      </c>
      <c r="D905" s="4" t="s">
        <v>314</v>
      </c>
      <c r="E905" s="4" t="s">
        <v>320</v>
      </c>
      <c r="F905" t="s">
        <v>226</v>
      </c>
      <c r="G905" t="s">
        <v>221</v>
      </c>
      <c r="H905">
        <f>VLOOKUP(C905,'TB Apr 24'!$B$13:$S$103,18,0)</f>
        <v>88623</v>
      </c>
    </row>
    <row r="906" spans="1:8" x14ac:dyDescent="0.35">
      <c r="A906" s="77">
        <v>45383</v>
      </c>
      <c r="B906" s="3" t="s">
        <v>134</v>
      </c>
      <c r="C906" s="4" t="s">
        <v>135</v>
      </c>
      <c r="D906" s="4" t="s">
        <v>314</v>
      </c>
      <c r="E906" s="4" t="s">
        <v>299</v>
      </c>
      <c r="F906" t="s">
        <v>226</v>
      </c>
      <c r="G906" t="s">
        <v>221</v>
      </c>
      <c r="H906">
        <f>VLOOKUP(C906,'TB Apr 24'!$B$13:$S$103,18,0)</f>
        <v>0</v>
      </c>
    </row>
    <row r="907" spans="1:8" x14ac:dyDescent="0.35">
      <c r="A907" s="77">
        <v>45383</v>
      </c>
      <c r="B907" s="3" t="s">
        <v>136</v>
      </c>
      <c r="C907" s="4" t="s">
        <v>137</v>
      </c>
      <c r="D907" s="4" t="s">
        <v>314</v>
      </c>
      <c r="E907" s="4" t="s">
        <v>322</v>
      </c>
      <c r="F907" t="s">
        <v>226</v>
      </c>
      <c r="G907" t="s">
        <v>221</v>
      </c>
      <c r="H907">
        <f>VLOOKUP(C907,'TB Apr 24'!$B$13:$S$103,18,0)</f>
        <v>0</v>
      </c>
    </row>
    <row r="908" spans="1:8" x14ac:dyDescent="0.35">
      <c r="A908" s="77">
        <v>45383</v>
      </c>
      <c r="B908" s="3" t="s">
        <v>138</v>
      </c>
      <c r="C908" s="4" t="s">
        <v>139</v>
      </c>
      <c r="D908" s="4" t="s">
        <v>314</v>
      </c>
      <c r="E908" s="4" t="s">
        <v>294</v>
      </c>
      <c r="F908" t="s">
        <v>226</v>
      </c>
      <c r="G908" t="s">
        <v>221</v>
      </c>
      <c r="H908">
        <f>VLOOKUP(C908,'TB Apr 24'!$B$13:$S$103,18,0)</f>
        <v>10552.5</v>
      </c>
    </row>
    <row r="909" spans="1:8" x14ac:dyDescent="0.35">
      <c r="A909" s="77">
        <v>45383</v>
      </c>
      <c r="B909" s="3" t="s">
        <v>140</v>
      </c>
      <c r="C909" s="4" t="s">
        <v>141</v>
      </c>
      <c r="D909" s="4" t="s">
        <v>314</v>
      </c>
      <c r="E909" s="4" t="s">
        <v>268</v>
      </c>
      <c r="F909" t="s">
        <v>226</v>
      </c>
      <c r="G909" t="s">
        <v>221</v>
      </c>
      <c r="H909">
        <f>VLOOKUP(C909,'TB Apr 24'!$B$13:$S$103,18,0)</f>
        <v>235790.53410000002</v>
      </c>
    </row>
    <row r="910" spans="1:8" x14ac:dyDescent="0.35">
      <c r="A910" s="77">
        <v>45383</v>
      </c>
      <c r="B910" s="3" t="s">
        <v>142</v>
      </c>
      <c r="C910" s="4" t="s">
        <v>143</v>
      </c>
      <c r="D910" s="4" t="s">
        <v>314</v>
      </c>
      <c r="E910" s="4" t="s">
        <v>269</v>
      </c>
      <c r="F910" t="s">
        <v>226</v>
      </c>
      <c r="G910" t="s">
        <v>221</v>
      </c>
      <c r="H910">
        <f>VLOOKUP(C910,'TB Apr 24'!$B$13:$S$103,18,0)</f>
        <v>299598</v>
      </c>
    </row>
    <row r="911" spans="1:8" x14ac:dyDescent="0.35">
      <c r="A911" s="77">
        <v>45383</v>
      </c>
      <c r="B911" s="3" t="s">
        <v>144</v>
      </c>
      <c r="C911" s="4" t="s">
        <v>145</v>
      </c>
      <c r="D911" s="4" t="s">
        <v>314</v>
      </c>
      <c r="E911" s="4" t="s">
        <v>288</v>
      </c>
      <c r="F911" t="s">
        <v>226</v>
      </c>
      <c r="G911" t="s">
        <v>221</v>
      </c>
      <c r="H911">
        <f>VLOOKUP(C911,'TB Apr 24'!$B$13:$S$103,18,0)</f>
        <v>143557</v>
      </c>
    </row>
    <row r="912" spans="1:8" x14ac:dyDescent="0.35">
      <c r="A912" s="77">
        <v>45383</v>
      </c>
      <c r="B912" s="3" t="s">
        <v>146</v>
      </c>
      <c r="C912" s="4" t="s">
        <v>147</v>
      </c>
      <c r="D912" s="4" t="s">
        <v>314</v>
      </c>
      <c r="E912" s="4" t="s">
        <v>288</v>
      </c>
      <c r="F912" t="s">
        <v>226</v>
      </c>
      <c r="G912" t="s">
        <v>221</v>
      </c>
      <c r="H912">
        <f>VLOOKUP(C912,'TB Apr 24'!$B$13:$S$103,18,0)</f>
        <v>48260.25</v>
      </c>
    </row>
    <row r="913" spans="1:8" x14ac:dyDescent="0.35">
      <c r="A913" s="77">
        <v>45383</v>
      </c>
      <c r="B913" s="3" t="s">
        <v>148</v>
      </c>
      <c r="C913" s="4" t="s">
        <v>149</v>
      </c>
      <c r="D913" s="4" t="s">
        <v>314</v>
      </c>
      <c r="E913" s="4" t="s">
        <v>287</v>
      </c>
      <c r="F913" t="s">
        <v>226</v>
      </c>
      <c r="G913" t="s">
        <v>221</v>
      </c>
      <c r="H913">
        <f>VLOOKUP(C913,'TB Apr 24'!$B$13:$S$103,18,0)</f>
        <v>120309</v>
      </c>
    </row>
    <row r="914" spans="1:8" x14ac:dyDescent="0.35">
      <c r="A914" s="77">
        <v>45383</v>
      </c>
      <c r="B914" s="3" t="s">
        <v>150</v>
      </c>
      <c r="C914" s="4" t="s">
        <v>87</v>
      </c>
      <c r="D914" s="4" t="s">
        <v>314</v>
      </c>
      <c r="E914" s="4" t="s">
        <v>288</v>
      </c>
      <c r="F914" t="s">
        <v>226</v>
      </c>
      <c r="G914" t="s">
        <v>221</v>
      </c>
      <c r="H914">
        <f>VLOOKUP(C914,'TB Apr 24'!$B$13:$S$103,18,0)</f>
        <v>58416</v>
      </c>
    </row>
    <row r="915" spans="1:8" x14ac:dyDescent="0.35">
      <c r="A915" s="77">
        <v>45383</v>
      </c>
      <c r="B915" s="3" t="s">
        <v>151</v>
      </c>
      <c r="C915" s="4" t="s">
        <v>152</v>
      </c>
      <c r="D915" s="4" t="s">
        <v>314</v>
      </c>
      <c r="E915" s="4" t="s">
        <v>288</v>
      </c>
      <c r="F915" t="s">
        <v>226</v>
      </c>
      <c r="G915" t="s">
        <v>221</v>
      </c>
      <c r="H915">
        <f>VLOOKUP(C915,'TB Apr 24'!$B$13:$S$103,18,0)</f>
        <v>4368</v>
      </c>
    </row>
    <row r="916" spans="1:8" x14ac:dyDescent="0.35">
      <c r="A916" s="77">
        <v>45383</v>
      </c>
      <c r="B916" s="3" t="s">
        <v>153</v>
      </c>
      <c r="C916" s="4" t="s">
        <v>154</v>
      </c>
      <c r="D916" s="4" t="s">
        <v>314</v>
      </c>
      <c r="E916" s="4" t="s">
        <v>288</v>
      </c>
      <c r="F916" t="s">
        <v>226</v>
      </c>
      <c r="G916" t="s">
        <v>221</v>
      </c>
      <c r="H916">
        <f>VLOOKUP(C916,'TB Apr 24'!$B$13:$S$103,18,0)</f>
        <v>14021</v>
      </c>
    </row>
    <row r="917" spans="1:8" x14ac:dyDescent="0.35">
      <c r="A917" s="77">
        <v>45383</v>
      </c>
      <c r="B917" s="3" t="s">
        <v>155</v>
      </c>
      <c r="C917" s="4" t="s">
        <v>156</v>
      </c>
      <c r="D917" s="4" t="s">
        <v>314</v>
      </c>
      <c r="E917" s="4" t="s">
        <v>288</v>
      </c>
      <c r="F917" t="s">
        <v>226</v>
      </c>
      <c r="G917" t="s">
        <v>221</v>
      </c>
      <c r="H917">
        <f>VLOOKUP(C917,'TB Apr 24'!$B$13:$S$103,18,0)</f>
        <v>0</v>
      </c>
    </row>
    <row r="918" spans="1:8" x14ac:dyDescent="0.35">
      <c r="A918" s="77">
        <v>45383</v>
      </c>
      <c r="B918" s="3" t="s">
        <v>157</v>
      </c>
      <c r="C918" s="4" t="s">
        <v>158</v>
      </c>
      <c r="D918" s="4" t="s">
        <v>314</v>
      </c>
      <c r="E918" s="4" t="s">
        <v>292</v>
      </c>
      <c r="F918" t="s">
        <v>226</v>
      </c>
      <c r="G918" t="s">
        <v>221</v>
      </c>
      <c r="H918">
        <f>VLOOKUP(C918,'TB Apr 24'!$B$13:$S$103,18,0)</f>
        <v>27000</v>
      </c>
    </row>
    <row r="919" spans="1:8" x14ac:dyDescent="0.35">
      <c r="A919" s="77">
        <v>45383</v>
      </c>
      <c r="B919" s="3" t="s">
        <v>159</v>
      </c>
      <c r="C919" s="4" t="s">
        <v>160</v>
      </c>
      <c r="D919" s="4" t="s">
        <v>314</v>
      </c>
      <c r="E919" s="4" t="s">
        <v>323</v>
      </c>
      <c r="F919" t="s">
        <v>226</v>
      </c>
      <c r="G919" t="s">
        <v>221</v>
      </c>
      <c r="H919">
        <f>VLOOKUP(C919,'TB Apr 24'!$B$13:$S$103,18,0)</f>
        <v>4885</v>
      </c>
    </row>
    <row r="920" spans="1:8" x14ac:dyDescent="0.35">
      <c r="A920" s="77">
        <v>45383</v>
      </c>
      <c r="B920" s="3" t="s">
        <v>161</v>
      </c>
      <c r="C920" s="4" t="s">
        <v>162</v>
      </c>
      <c r="D920" s="4" t="s">
        <v>314</v>
      </c>
      <c r="E920" s="4" t="s">
        <v>323</v>
      </c>
      <c r="F920" t="s">
        <v>226</v>
      </c>
      <c r="G920" t="s">
        <v>221</v>
      </c>
      <c r="H920">
        <f>VLOOKUP(C920,'TB Apr 24'!$B$13:$S$103,18,0)</f>
        <v>0</v>
      </c>
    </row>
    <row r="921" spans="1:8" x14ac:dyDescent="0.35">
      <c r="A921" s="77">
        <v>45383</v>
      </c>
      <c r="B921" s="3" t="s">
        <v>163</v>
      </c>
      <c r="C921" s="4" t="s">
        <v>164</v>
      </c>
      <c r="D921" s="4" t="s">
        <v>314</v>
      </c>
      <c r="E921" s="4" t="s">
        <v>319</v>
      </c>
      <c r="F921" t="s">
        <v>226</v>
      </c>
      <c r="G921" t="s">
        <v>221</v>
      </c>
      <c r="H921">
        <f>VLOOKUP(C921,'TB Apr 24'!$B$13:$S$103,18,0)</f>
        <v>26593</v>
      </c>
    </row>
    <row r="922" spans="1:8" x14ac:dyDescent="0.35">
      <c r="A922" s="77">
        <v>45383</v>
      </c>
      <c r="B922" s="3" t="s">
        <v>165</v>
      </c>
      <c r="C922" s="4" t="s">
        <v>166</v>
      </c>
      <c r="D922" s="4" t="s">
        <v>314</v>
      </c>
      <c r="E922" s="4" t="s">
        <v>304</v>
      </c>
      <c r="F922" t="s">
        <v>226</v>
      </c>
      <c r="G922" t="s">
        <v>221</v>
      </c>
      <c r="H922">
        <f>VLOOKUP(C922,'TB Apr 24'!$B$13:$S$103,18,0)</f>
        <v>0</v>
      </c>
    </row>
    <row r="923" spans="1:8" x14ac:dyDescent="0.35">
      <c r="A923" s="77">
        <v>45383</v>
      </c>
      <c r="B923" s="3" t="s">
        <v>167</v>
      </c>
      <c r="C923" s="4" t="s">
        <v>168</v>
      </c>
      <c r="D923" s="4" t="s">
        <v>314</v>
      </c>
      <c r="E923" s="4" t="s">
        <v>322</v>
      </c>
      <c r="F923" t="s">
        <v>226</v>
      </c>
      <c r="G923" t="s">
        <v>221</v>
      </c>
      <c r="H923">
        <f>VLOOKUP(C923,'TB Apr 24'!$B$13:$S$103,18,0)</f>
        <v>0</v>
      </c>
    </row>
    <row r="924" spans="1:8" x14ac:dyDescent="0.35">
      <c r="A924" s="77">
        <v>45383</v>
      </c>
      <c r="B924" s="3" t="s">
        <v>169</v>
      </c>
      <c r="C924" s="4" t="s">
        <v>170</v>
      </c>
      <c r="D924" s="4" t="s">
        <v>314</v>
      </c>
      <c r="E924" s="4" t="s">
        <v>304</v>
      </c>
      <c r="F924" t="s">
        <v>226</v>
      </c>
      <c r="G924" t="s">
        <v>221</v>
      </c>
      <c r="H924">
        <f>VLOOKUP(C924,'TB Apr 24'!$B$13:$S$103,18,0)</f>
        <v>29654</v>
      </c>
    </row>
    <row r="925" spans="1:8" x14ac:dyDescent="0.35">
      <c r="A925" s="77">
        <v>45383</v>
      </c>
      <c r="B925" s="3" t="s">
        <v>171</v>
      </c>
      <c r="C925" s="4" t="s">
        <v>172</v>
      </c>
      <c r="D925" s="4" t="s">
        <v>314</v>
      </c>
      <c r="E925" s="4" t="s">
        <v>303</v>
      </c>
      <c r="F925" t="s">
        <v>226</v>
      </c>
      <c r="G925" t="s">
        <v>221</v>
      </c>
      <c r="H925">
        <f>VLOOKUP(C925,'TB Apr 24'!$B$13:$S$103,18,0)</f>
        <v>0</v>
      </c>
    </row>
    <row r="926" spans="1:8" x14ac:dyDescent="0.35">
      <c r="A926" s="77">
        <v>45383</v>
      </c>
      <c r="B926" s="3" t="s">
        <v>173</v>
      </c>
      <c r="C926" s="4" t="s">
        <v>174</v>
      </c>
      <c r="D926" s="4" t="s">
        <v>314</v>
      </c>
      <c r="E926" s="4" t="s">
        <v>257</v>
      </c>
      <c r="F926" t="s">
        <v>226</v>
      </c>
      <c r="G926" t="s">
        <v>221</v>
      </c>
      <c r="H926">
        <f>VLOOKUP(C926,'TB Apr 24'!$B$13:$S$103,18,0)</f>
        <v>0</v>
      </c>
    </row>
    <row r="927" spans="1:8" x14ac:dyDescent="0.35">
      <c r="A927" s="77">
        <v>45383</v>
      </c>
      <c r="B927" s="3" t="s">
        <v>175</v>
      </c>
      <c r="C927" s="4" t="s">
        <v>176</v>
      </c>
      <c r="D927" s="4" t="s">
        <v>314</v>
      </c>
      <c r="E927" s="4" t="s">
        <v>257</v>
      </c>
      <c r="F927" t="s">
        <v>226</v>
      </c>
      <c r="G927" t="s">
        <v>221</v>
      </c>
      <c r="H927">
        <f>VLOOKUP(C927,'TB Apr 24'!$B$13:$S$103,18,0)</f>
        <v>0</v>
      </c>
    </row>
    <row r="928" spans="1:8" x14ac:dyDescent="0.35">
      <c r="A928" s="77">
        <v>45383</v>
      </c>
      <c r="B928" s="3" t="s">
        <v>177</v>
      </c>
      <c r="C928" s="4" t="s">
        <v>178</v>
      </c>
      <c r="D928" s="4" t="s">
        <v>314</v>
      </c>
      <c r="E928" s="4" t="s">
        <v>257</v>
      </c>
      <c r="F928" t="s">
        <v>226</v>
      </c>
      <c r="G928" t="s">
        <v>221</v>
      </c>
      <c r="H928">
        <f>VLOOKUP(C928,'TB Apr 24'!$B$13:$S$103,18,0)</f>
        <v>0</v>
      </c>
    </row>
    <row r="929" spans="1:8" x14ac:dyDescent="0.35">
      <c r="A929" s="77">
        <v>45383</v>
      </c>
      <c r="B929" s="3" t="s">
        <v>179</v>
      </c>
      <c r="C929" s="4" t="s">
        <v>180</v>
      </c>
      <c r="D929" s="4" t="s">
        <v>314</v>
      </c>
      <c r="E929" s="4" t="s">
        <v>322</v>
      </c>
      <c r="F929" t="s">
        <v>226</v>
      </c>
      <c r="G929" t="s">
        <v>221</v>
      </c>
      <c r="H929">
        <f>VLOOKUP(C929,'TB Apr 24'!$B$13:$S$103,18,0)</f>
        <v>1300</v>
      </c>
    </row>
    <row r="930" spans="1:8" x14ac:dyDescent="0.35">
      <c r="A930" s="77">
        <v>45383</v>
      </c>
      <c r="B930" s="3" t="s">
        <v>181</v>
      </c>
      <c r="C930" s="4" t="s">
        <v>182</v>
      </c>
      <c r="D930" s="4" t="s">
        <v>314</v>
      </c>
      <c r="E930" s="4" t="s">
        <v>290</v>
      </c>
      <c r="F930" t="s">
        <v>226</v>
      </c>
      <c r="G930" t="s">
        <v>221</v>
      </c>
      <c r="H930">
        <f>VLOOKUP(C930,'TB Apr 24'!$B$13:$S$103,18,0)</f>
        <v>0</v>
      </c>
    </row>
    <row r="931" spans="1:8" x14ac:dyDescent="0.35">
      <c r="A931" s="77">
        <v>45383</v>
      </c>
      <c r="B931" s="3" t="s">
        <v>183</v>
      </c>
      <c r="C931" s="4" t="s">
        <v>184</v>
      </c>
      <c r="D931" s="4" t="s">
        <v>314</v>
      </c>
      <c r="E931" s="4" t="s">
        <v>290</v>
      </c>
      <c r="F931" t="s">
        <v>226</v>
      </c>
      <c r="G931" t="s">
        <v>221</v>
      </c>
      <c r="H931">
        <f>VLOOKUP(C931,'TB Apr 24'!$B$13:$S$103,18,0)</f>
        <v>0</v>
      </c>
    </row>
    <row r="932" spans="1:8" x14ac:dyDescent="0.35">
      <c r="A932" s="77">
        <v>45383</v>
      </c>
      <c r="B932" s="3" t="s">
        <v>185</v>
      </c>
      <c r="C932" s="4" t="s">
        <v>186</v>
      </c>
      <c r="D932" s="4" t="s">
        <v>314</v>
      </c>
      <c r="E932" s="4" t="s">
        <v>290</v>
      </c>
      <c r="F932" t="s">
        <v>226</v>
      </c>
      <c r="G932" t="s">
        <v>221</v>
      </c>
      <c r="H932">
        <f>VLOOKUP(C932,'TB Apr 24'!$B$13:$S$103,18,0)</f>
        <v>0</v>
      </c>
    </row>
    <row r="933" spans="1:8" x14ac:dyDescent="0.35">
      <c r="A933" s="77">
        <v>45383</v>
      </c>
      <c r="B933" s="3" t="s">
        <v>187</v>
      </c>
      <c r="C933" s="4" t="s">
        <v>188</v>
      </c>
      <c r="D933" s="4" t="s">
        <v>314</v>
      </c>
      <c r="E933" s="4" t="s">
        <v>291</v>
      </c>
      <c r="F933" t="s">
        <v>226</v>
      </c>
      <c r="G933" t="s">
        <v>221</v>
      </c>
      <c r="H933">
        <f>VLOOKUP(C933,'TB Apr 24'!$B$13:$S$103,18,0)</f>
        <v>36256.004999999997</v>
      </c>
    </row>
    <row r="934" spans="1:8" x14ac:dyDescent="0.35">
      <c r="A934" s="77">
        <v>45383</v>
      </c>
      <c r="B934" s="3" t="s">
        <v>189</v>
      </c>
      <c r="C934" s="4" t="s">
        <v>190</v>
      </c>
      <c r="D934" s="4" t="s">
        <v>314</v>
      </c>
      <c r="E934" s="4" t="s">
        <v>254</v>
      </c>
      <c r="F934" t="s">
        <v>226</v>
      </c>
      <c r="G934" t="s">
        <v>221</v>
      </c>
      <c r="H934">
        <f>VLOOKUP(C934,'TB Apr 24'!$B$13:$S$103,18,0)</f>
        <v>0</v>
      </c>
    </row>
    <row r="935" spans="1:8" x14ac:dyDescent="0.35">
      <c r="A935" s="77">
        <v>45383</v>
      </c>
      <c r="B935" s="3" t="s">
        <v>191</v>
      </c>
      <c r="C935" s="4" t="s">
        <v>192</v>
      </c>
      <c r="D935" s="4" t="s">
        <v>314</v>
      </c>
      <c r="E935" s="4" t="s">
        <v>254</v>
      </c>
      <c r="F935" t="s">
        <v>226</v>
      </c>
      <c r="G935" t="s">
        <v>221</v>
      </c>
      <c r="H935">
        <f>VLOOKUP(C935,'TB Apr 24'!$B$13:$S$103,18,0)</f>
        <v>0</v>
      </c>
    </row>
    <row r="936" spans="1:8" x14ac:dyDescent="0.35">
      <c r="A936" s="77">
        <v>45383</v>
      </c>
      <c r="B936" s="3" t="s">
        <v>193</v>
      </c>
      <c r="C936" s="4" t="s">
        <v>194</v>
      </c>
      <c r="D936" s="4" t="s">
        <v>314</v>
      </c>
      <c r="E936" s="4" t="s">
        <v>254</v>
      </c>
      <c r="F936" t="s">
        <v>226</v>
      </c>
      <c r="G936" t="s">
        <v>221</v>
      </c>
      <c r="H936">
        <f>VLOOKUP(C936,'TB Apr 24'!$B$13:$S$103,18,0)</f>
        <v>323871</v>
      </c>
    </row>
    <row r="937" spans="1:8" x14ac:dyDescent="0.35">
      <c r="A937" s="77">
        <v>45383</v>
      </c>
      <c r="B937" s="3" t="s">
        <v>195</v>
      </c>
      <c r="C937" s="4" t="s">
        <v>196</v>
      </c>
      <c r="D937" s="4" t="s">
        <v>314</v>
      </c>
      <c r="E937" s="4" t="s">
        <v>255</v>
      </c>
      <c r="F937" t="s">
        <v>226</v>
      </c>
      <c r="G937" t="s">
        <v>221</v>
      </c>
      <c r="H937">
        <f>VLOOKUP(C937,'TB Apr 24'!$B$13:$S$103,18,0)</f>
        <v>0</v>
      </c>
    </row>
    <row r="938" spans="1:8" x14ac:dyDescent="0.35">
      <c r="A938" s="77">
        <v>45383</v>
      </c>
      <c r="B938" s="3" t="s">
        <v>197</v>
      </c>
      <c r="C938" s="4" t="s">
        <v>198</v>
      </c>
      <c r="D938" s="4" t="s">
        <v>314</v>
      </c>
      <c r="E938" s="4" t="s">
        <v>255</v>
      </c>
      <c r="F938" t="s">
        <v>226</v>
      </c>
      <c r="G938" t="s">
        <v>221</v>
      </c>
      <c r="H938">
        <f>VLOOKUP(C938,'TB Apr 24'!$B$13:$S$103,18,0)</f>
        <v>0</v>
      </c>
    </row>
    <row r="939" spans="1:8" x14ac:dyDescent="0.35">
      <c r="A939" s="77">
        <v>45383</v>
      </c>
      <c r="B939" s="3" t="s">
        <v>199</v>
      </c>
      <c r="C939" s="4" t="s">
        <v>200</v>
      </c>
      <c r="D939" s="4" t="s">
        <v>314</v>
      </c>
      <c r="E939" s="4" t="s">
        <v>254</v>
      </c>
      <c r="F939" t="s">
        <v>226</v>
      </c>
      <c r="G939" t="s">
        <v>221</v>
      </c>
      <c r="H939">
        <f>VLOOKUP(C939,'TB Apr 24'!$B$13:$S$103,18,0)</f>
        <v>0</v>
      </c>
    </row>
    <row r="940" spans="1:8" x14ac:dyDescent="0.35">
      <c r="A940" s="77">
        <v>45383</v>
      </c>
      <c r="B940" s="3" t="s">
        <v>201</v>
      </c>
      <c r="C940" s="4" t="s">
        <v>202</v>
      </c>
      <c r="D940" s="4" t="s">
        <v>314</v>
      </c>
      <c r="E940" s="4" t="s">
        <v>254</v>
      </c>
      <c r="F940" t="s">
        <v>226</v>
      </c>
      <c r="G940" t="s">
        <v>221</v>
      </c>
      <c r="H940">
        <f>VLOOKUP(C940,'TB Apr 24'!$B$13:$S$103,18,0)</f>
        <v>0</v>
      </c>
    </row>
    <row r="941" spans="1:8" x14ac:dyDescent="0.35">
      <c r="A941" s="77">
        <v>45383</v>
      </c>
      <c r="B941" s="3" t="s">
        <v>203</v>
      </c>
      <c r="C941" s="4" t="s">
        <v>204</v>
      </c>
      <c r="D941" s="4" t="s">
        <v>314</v>
      </c>
      <c r="E941" s="4" t="s">
        <v>256</v>
      </c>
      <c r="F941" t="s">
        <v>226</v>
      </c>
      <c r="G941" t="s">
        <v>221</v>
      </c>
      <c r="H941">
        <f>VLOOKUP(C941,'TB Apr 24'!$B$13:$S$103,18,0)</f>
        <v>298739.58440780931</v>
      </c>
    </row>
    <row r="942" spans="1:8" x14ac:dyDescent="0.35">
      <c r="A942" s="77">
        <v>45383</v>
      </c>
      <c r="B942" s="3" t="s">
        <v>205</v>
      </c>
      <c r="C942" s="6" t="s">
        <v>206</v>
      </c>
      <c r="D942" s="4" t="s">
        <v>314</v>
      </c>
      <c r="E942" s="6" t="s">
        <v>322</v>
      </c>
      <c r="F942" s="79" t="s">
        <v>226</v>
      </c>
      <c r="G942" s="79" t="s">
        <v>221</v>
      </c>
      <c r="H942" s="79">
        <f>VLOOKUP(C942,'TB Apr 24'!$B$13:$S$103,18,0)</f>
        <v>0</v>
      </c>
    </row>
    <row r="943" spans="1:8" x14ac:dyDescent="0.35">
      <c r="A943" s="77">
        <v>45383</v>
      </c>
      <c r="B943" s="3" t="s">
        <v>57</v>
      </c>
      <c r="C943" s="4" t="s">
        <v>58</v>
      </c>
      <c r="D943" s="4" t="s">
        <v>314</v>
      </c>
      <c r="E943" s="4" t="s">
        <v>253</v>
      </c>
      <c r="F943" t="s">
        <v>226</v>
      </c>
      <c r="G943" t="s">
        <v>227</v>
      </c>
      <c r="H943">
        <f>VLOOKUP(C943,'TB Apr 24'!$B$13:$T$103,19,0)</f>
        <v>0</v>
      </c>
    </row>
    <row r="944" spans="1:8" x14ac:dyDescent="0.35">
      <c r="A944" s="77">
        <v>45383</v>
      </c>
      <c r="B944" s="3" t="s">
        <v>307</v>
      </c>
      <c r="C944" s="4" t="s">
        <v>308</v>
      </c>
      <c r="D944" s="4" t="s">
        <v>314</v>
      </c>
      <c r="E944" s="4" t="s">
        <v>253</v>
      </c>
      <c r="F944" t="s">
        <v>226</v>
      </c>
      <c r="G944" t="s">
        <v>227</v>
      </c>
      <c r="H944">
        <f>VLOOKUP(C944,'TB Apr 24'!$B$13:$T$103,19,0)</f>
        <v>0</v>
      </c>
    </row>
    <row r="945" spans="1:8" x14ac:dyDescent="0.35">
      <c r="A945" s="77">
        <v>45383</v>
      </c>
      <c r="B945" s="3" t="s">
        <v>59</v>
      </c>
      <c r="C945" s="4" t="s">
        <v>60</v>
      </c>
      <c r="D945" s="4" t="s">
        <v>314</v>
      </c>
      <c r="E945" s="4" t="s">
        <v>253</v>
      </c>
      <c r="F945" t="s">
        <v>226</v>
      </c>
      <c r="G945" t="s">
        <v>227</v>
      </c>
      <c r="H945">
        <f>VLOOKUP(C945,'TB Apr 24'!$B$13:$T$103,19,0)</f>
        <v>0</v>
      </c>
    </row>
    <row r="946" spans="1:8" x14ac:dyDescent="0.35">
      <c r="A946" s="77">
        <v>45383</v>
      </c>
      <c r="B946" s="3" t="s">
        <v>61</v>
      </c>
      <c r="C946" s="4" t="s">
        <v>62</v>
      </c>
      <c r="D946" s="4" t="s">
        <v>314</v>
      </c>
      <c r="E946" s="4" t="s">
        <v>66</v>
      </c>
      <c r="F946" t="s">
        <v>226</v>
      </c>
      <c r="G946" t="s">
        <v>227</v>
      </c>
      <c r="H946">
        <f>VLOOKUP(C946,'TB Apr 24'!$B$13:$T$103,19,0)</f>
        <v>0</v>
      </c>
    </row>
    <row r="947" spans="1:8" x14ac:dyDescent="0.35">
      <c r="A947" s="77">
        <v>45383</v>
      </c>
      <c r="B947" s="3" t="s">
        <v>63</v>
      </c>
      <c r="C947" s="4" t="s">
        <v>64</v>
      </c>
      <c r="D947" s="4" t="s">
        <v>314</v>
      </c>
      <c r="E947" s="4" t="s">
        <v>252</v>
      </c>
      <c r="F947" t="s">
        <v>226</v>
      </c>
      <c r="G947" t="s">
        <v>227</v>
      </c>
      <c r="H947">
        <f>VLOOKUP(C947,'TB Apr 24'!$B$13:$T$103,19,0)</f>
        <v>0</v>
      </c>
    </row>
    <row r="948" spans="1:8" x14ac:dyDescent="0.35">
      <c r="A948" s="77">
        <v>45383</v>
      </c>
      <c r="B948" s="3" t="s">
        <v>65</v>
      </c>
      <c r="C948" s="4" t="s">
        <v>66</v>
      </c>
      <c r="D948" s="4" t="s">
        <v>314</v>
      </c>
      <c r="E948" s="4" t="s">
        <v>66</v>
      </c>
      <c r="F948" t="s">
        <v>226</v>
      </c>
      <c r="G948" t="s">
        <v>227</v>
      </c>
      <c r="H948">
        <f>VLOOKUP(C948,'TB Apr 24'!$B$13:$T$103,19,0)</f>
        <v>0</v>
      </c>
    </row>
    <row r="949" spans="1:8" x14ac:dyDescent="0.35">
      <c r="A949" s="77">
        <v>45383</v>
      </c>
      <c r="B949" s="3" t="s">
        <v>67</v>
      </c>
      <c r="C949" s="4" t="s">
        <v>68</v>
      </c>
      <c r="D949" s="4" t="s">
        <v>314</v>
      </c>
      <c r="E949" s="4" t="s">
        <v>252</v>
      </c>
      <c r="F949" t="s">
        <v>226</v>
      </c>
      <c r="G949" t="s">
        <v>227</v>
      </c>
      <c r="H949">
        <f>VLOOKUP(C949,'TB Apr 24'!$B$13:$T$103,19,0)</f>
        <v>0</v>
      </c>
    </row>
    <row r="950" spans="1:8" x14ac:dyDescent="0.35">
      <c r="A950" s="77">
        <v>45383</v>
      </c>
      <c r="B950" s="3" t="s">
        <v>69</v>
      </c>
      <c r="C950" s="4" t="s">
        <v>70</v>
      </c>
      <c r="D950" s="4" t="s">
        <v>314</v>
      </c>
      <c r="E950" s="4" t="s">
        <v>70</v>
      </c>
      <c r="F950" t="s">
        <v>226</v>
      </c>
      <c r="G950" t="s">
        <v>227</v>
      </c>
      <c r="H950">
        <f>VLOOKUP(C950,'TB Apr 24'!$B$13:$T$103,19,0)</f>
        <v>0</v>
      </c>
    </row>
    <row r="951" spans="1:8" x14ac:dyDescent="0.35">
      <c r="A951" s="77">
        <v>45383</v>
      </c>
      <c r="B951" s="3" t="s">
        <v>71</v>
      </c>
      <c r="C951" s="4" t="s">
        <v>72</v>
      </c>
      <c r="D951" s="4" t="s">
        <v>314</v>
      </c>
      <c r="E951" s="4" t="s">
        <v>253</v>
      </c>
      <c r="F951" t="s">
        <v>226</v>
      </c>
      <c r="G951" t="s">
        <v>227</v>
      </c>
      <c r="H951">
        <f>VLOOKUP(C951,'TB Apr 24'!$B$13:$T$103,19,0)</f>
        <v>0</v>
      </c>
    </row>
    <row r="952" spans="1:8" x14ac:dyDescent="0.35">
      <c r="A952" s="77">
        <v>45383</v>
      </c>
      <c r="B952" s="3" t="s">
        <v>73</v>
      </c>
      <c r="C952" s="4" t="s">
        <v>74</v>
      </c>
      <c r="D952" s="4" t="s">
        <v>314</v>
      </c>
      <c r="E952" s="4" t="s">
        <v>253</v>
      </c>
      <c r="F952" t="s">
        <v>226</v>
      </c>
      <c r="G952" t="s">
        <v>227</v>
      </c>
      <c r="H952">
        <f>VLOOKUP(C952,'TB Apr 24'!$B$13:$T$103,19,0)</f>
        <v>0</v>
      </c>
    </row>
    <row r="953" spans="1:8" x14ac:dyDescent="0.35">
      <c r="A953" s="77">
        <v>45383</v>
      </c>
      <c r="B953" s="3" t="s">
        <v>75</v>
      </c>
      <c r="C953" s="4" t="s">
        <v>76</v>
      </c>
      <c r="D953" s="4" t="s">
        <v>314</v>
      </c>
      <c r="E953" s="4" t="s">
        <v>253</v>
      </c>
      <c r="F953" t="s">
        <v>226</v>
      </c>
      <c r="G953" t="s">
        <v>227</v>
      </c>
      <c r="H953">
        <f>VLOOKUP(C953,'TB Apr 24'!$B$13:$T$103,19,0)</f>
        <v>0</v>
      </c>
    </row>
    <row r="954" spans="1:8" x14ac:dyDescent="0.35">
      <c r="A954" s="77">
        <v>45383</v>
      </c>
      <c r="B954" s="3" t="s">
        <v>77</v>
      </c>
      <c r="C954" s="4" t="s">
        <v>78</v>
      </c>
      <c r="D954" s="4" t="s">
        <v>314</v>
      </c>
      <c r="E954" s="4" t="s">
        <v>253</v>
      </c>
      <c r="F954" t="s">
        <v>226</v>
      </c>
      <c r="G954" t="s">
        <v>227</v>
      </c>
      <c r="H954">
        <f>VLOOKUP(C954,'TB Apr 24'!$B$13:$T$103,19,0)</f>
        <v>0</v>
      </c>
    </row>
    <row r="955" spans="1:8" x14ac:dyDescent="0.35">
      <c r="A955" s="77">
        <v>45383</v>
      </c>
      <c r="B955" s="3" t="s">
        <v>79</v>
      </c>
      <c r="C955" s="4" t="s">
        <v>80</v>
      </c>
      <c r="D955" s="4" t="s">
        <v>314</v>
      </c>
      <c r="E955" s="4" t="s">
        <v>253</v>
      </c>
      <c r="F955" t="s">
        <v>226</v>
      </c>
      <c r="G955" t="s">
        <v>227</v>
      </c>
      <c r="H955">
        <f>VLOOKUP(C955,'TB Apr 24'!$B$13:$T$103,19,0)</f>
        <v>0</v>
      </c>
    </row>
    <row r="956" spans="1:8" x14ac:dyDescent="0.35">
      <c r="A956" s="77">
        <v>45383</v>
      </c>
      <c r="B956" s="3" t="s">
        <v>81</v>
      </c>
      <c r="C956" s="4" t="s">
        <v>82</v>
      </c>
      <c r="D956" s="4" t="s">
        <v>314</v>
      </c>
      <c r="E956" s="4" t="s">
        <v>319</v>
      </c>
      <c r="F956" t="s">
        <v>226</v>
      </c>
      <c r="G956" t="s">
        <v>227</v>
      </c>
      <c r="H956">
        <f>VLOOKUP(C956,'TB Apr 24'!$B$13:$T$103,19,0)</f>
        <v>0</v>
      </c>
    </row>
    <row r="957" spans="1:8" x14ac:dyDescent="0.35">
      <c r="A957" s="77">
        <v>45383</v>
      </c>
      <c r="B957" s="3" t="s">
        <v>83</v>
      </c>
      <c r="C957" s="4" t="s">
        <v>84</v>
      </c>
      <c r="D957" s="4" t="s">
        <v>314</v>
      </c>
      <c r="E957" s="4" t="s">
        <v>319</v>
      </c>
      <c r="F957" t="s">
        <v>226</v>
      </c>
      <c r="G957" t="s">
        <v>227</v>
      </c>
      <c r="H957">
        <f>VLOOKUP(C957,'TB Apr 24'!$B$13:$T$103,19,0)</f>
        <v>0</v>
      </c>
    </row>
    <row r="958" spans="1:8" x14ac:dyDescent="0.35">
      <c r="A958" s="77">
        <v>45383</v>
      </c>
      <c r="B958" s="3" t="s">
        <v>85</v>
      </c>
      <c r="C958" s="4" t="s">
        <v>86</v>
      </c>
      <c r="D958" s="4" t="s">
        <v>314</v>
      </c>
      <c r="E958" s="4" t="s">
        <v>291</v>
      </c>
      <c r="F958" t="s">
        <v>226</v>
      </c>
      <c r="G958" t="s">
        <v>227</v>
      </c>
      <c r="H958">
        <f>VLOOKUP(C958,'TB Apr 24'!$B$13:$T$103,19,0)</f>
        <v>0</v>
      </c>
    </row>
    <row r="959" spans="1:8" x14ac:dyDescent="0.35">
      <c r="A959" s="77">
        <v>45383</v>
      </c>
      <c r="B959" s="3" t="s">
        <v>88</v>
      </c>
      <c r="C959" s="4" t="s">
        <v>89</v>
      </c>
      <c r="D959" s="4" t="s">
        <v>314</v>
      </c>
      <c r="E959" s="4" t="s">
        <v>300</v>
      </c>
      <c r="F959" t="s">
        <v>226</v>
      </c>
      <c r="G959" t="s">
        <v>227</v>
      </c>
      <c r="H959">
        <f>VLOOKUP(C959,'TB Apr 24'!$B$13:$T$103,19,0)</f>
        <v>0</v>
      </c>
    </row>
    <row r="960" spans="1:8" x14ac:dyDescent="0.35">
      <c r="A960" s="77">
        <v>45383</v>
      </c>
      <c r="B960" s="3" t="s">
        <v>90</v>
      </c>
      <c r="C960" s="4" t="s">
        <v>91</v>
      </c>
      <c r="D960" s="4" t="s">
        <v>314</v>
      </c>
      <c r="E960" s="4" t="s">
        <v>300</v>
      </c>
      <c r="F960" t="s">
        <v>226</v>
      </c>
      <c r="G960" t="s">
        <v>227</v>
      </c>
      <c r="H960">
        <f>VLOOKUP(C960,'TB Apr 24'!$B$13:$T$103,19,0)</f>
        <v>0</v>
      </c>
    </row>
    <row r="961" spans="1:8" x14ac:dyDescent="0.35">
      <c r="A961" s="77">
        <v>45383</v>
      </c>
      <c r="B961" s="3" t="s">
        <v>92</v>
      </c>
      <c r="C961" s="4" t="s">
        <v>93</v>
      </c>
      <c r="D961" s="4" t="s">
        <v>314</v>
      </c>
      <c r="E961" s="4" t="s">
        <v>300</v>
      </c>
      <c r="F961" t="s">
        <v>226</v>
      </c>
      <c r="G961" t="s">
        <v>227</v>
      </c>
      <c r="H961">
        <f>VLOOKUP(C961,'TB Apr 24'!$B$13:$T$103,19,0)</f>
        <v>0</v>
      </c>
    </row>
    <row r="962" spans="1:8" x14ac:dyDescent="0.35">
      <c r="A962" s="77">
        <v>45383</v>
      </c>
      <c r="B962" s="3" t="s">
        <v>94</v>
      </c>
      <c r="C962" s="4" t="s">
        <v>95</v>
      </c>
      <c r="D962" s="4" t="s">
        <v>314</v>
      </c>
      <c r="E962" s="4" t="s">
        <v>289</v>
      </c>
      <c r="F962" t="s">
        <v>226</v>
      </c>
      <c r="G962" t="s">
        <v>227</v>
      </c>
      <c r="H962">
        <f>VLOOKUP(C962,'TB Apr 24'!$B$13:$T$103,19,0)</f>
        <v>0</v>
      </c>
    </row>
    <row r="963" spans="1:8" x14ac:dyDescent="0.35">
      <c r="A963" s="77">
        <v>45383</v>
      </c>
      <c r="B963" s="3" t="s">
        <v>96</v>
      </c>
      <c r="C963" s="4" t="s">
        <v>97</v>
      </c>
      <c r="D963" s="4" t="s">
        <v>314</v>
      </c>
      <c r="E963" s="4" t="s">
        <v>289</v>
      </c>
      <c r="F963" t="s">
        <v>226</v>
      </c>
      <c r="G963" t="s">
        <v>227</v>
      </c>
      <c r="H963">
        <f>VLOOKUP(C963,'TB Apr 24'!$B$13:$T$103,19,0)</f>
        <v>0</v>
      </c>
    </row>
    <row r="964" spans="1:8" x14ac:dyDescent="0.35">
      <c r="A964" s="77">
        <v>45383</v>
      </c>
      <c r="B964" s="3" t="s">
        <v>309</v>
      </c>
      <c r="C964" s="4" t="s">
        <v>310</v>
      </c>
      <c r="D964" s="4" t="s">
        <v>314</v>
      </c>
      <c r="E964" s="4" t="s">
        <v>289</v>
      </c>
      <c r="F964" t="s">
        <v>226</v>
      </c>
      <c r="G964" t="s">
        <v>227</v>
      </c>
      <c r="H964">
        <f>VLOOKUP(C964,'TB Apr 24'!$B$13:$T$103,19,0)</f>
        <v>0</v>
      </c>
    </row>
    <row r="965" spans="1:8" x14ac:dyDescent="0.35">
      <c r="A965" s="77">
        <v>45383</v>
      </c>
      <c r="B965" s="3" t="s">
        <v>98</v>
      </c>
      <c r="C965" s="4" t="s">
        <v>99</v>
      </c>
      <c r="D965" s="4" t="s">
        <v>314</v>
      </c>
      <c r="E965" s="4" t="s">
        <v>289</v>
      </c>
      <c r="F965" t="s">
        <v>226</v>
      </c>
      <c r="G965" t="s">
        <v>227</v>
      </c>
      <c r="H965">
        <f>VLOOKUP(C965,'TB Apr 24'!$B$13:$T$103,19,0)</f>
        <v>0</v>
      </c>
    </row>
    <row r="966" spans="1:8" x14ac:dyDescent="0.35">
      <c r="A966" s="77">
        <v>45383</v>
      </c>
      <c r="B966" s="3" t="s">
        <v>100</v>
      </c>
      <c r="C966" s="4" t="s">
        <v>101</v>
      </c>
      <c r="D966" s="4" t="s">
        <v>314</v>
      </c>
      <c r="E966" s="4" t="s">
        <v>291</v>
      </c>
      <c r="F966" t="s">
        <v>226</v>
      </c>
      <c r="G966" t="s">
        <v>227</v>
      </c>
      <c r="H966">
        <f>VLOOKUP(C966,'TB Apr 24'!$B$13:$T$103,19,0)</f>
        <v>0</v>
      </c>
    </row>
    <row r="967" spans="1:8" x14ac:dyDescent="0.35">
      <c r="A967" s="77">
        <v>45383</v>
      </c>
      <c r="B967" s="3" t="s">
        <v>102</v>
      </c>
      <c r="C967" s="4" t="s">
        <v>103</v>
      </c>
      <c r="D967" s="4" t="s">
        <v>314</v>
      </c>
      <c r="E967" s="4" t="s">
        <v>291</v>
      </c>
      <c r="F967" t="s">
        <v>226</v>
      </c>
      <c r="G967" t="s">
        <v>227</v>
      </c>
      <c r="H967">
        <f>VLOOKUP(C967,'TB Apr 24'!$B$13:$T$103,19,0)</f>
        <v>0</v>
      </c>
    </row>
    <row r="968" spans="1:8" x14ac:dyDescent="0.35">
      <c r="A968" s="77">
        <v>45383</v>
      </c>
      <c r="B968" s="3" t="s">
        <v>104</v>
      </c>
      <c r="C968" s="4" t="s">
        <v>105</v>
      </c>
      <c r="D968" s="4" t="s">
        <v>314</v>
      </c>
      <c r="E968" s="4" t="s">
        <v>291</v>
      </c>
      <c r="F968" t="s">
        <v>226</v>
      </c>
      <c r="G968" t="s">
        <v>227</v>
      </c>
      <c r="H968">
        <f>VLOOKUP(C968,'TB Apr 24'!$B$13:$T$103,19,0)</f>
        <v>0</v>
      </c>
    </row>
    <row r="969" spans="1:8" x14ac:dyDescent="0.35">
      <c r="A969" s="77">
        <v>45383</v>
      </c>
      <c r="B969" s="3" t="s">
        <v>106</v>
      </c>
      <c r="C969" s="4" t="s">
        <v>107</v>
      </c>
      <c r="D969" s="4" t="s">
        <v>314</v>
      </c>
      <c r="E969" s="4" t="s">
        <v>321</v>
      </c>
      <c r="F969" t="s">
        <v>226</v>
      </c>
      <c r="G969" t="s">
        <v>227</v>
      </c>
      <c r="H969">
        <f>VLOOKUP(C969,'TB Apr 24'!$B$13:$T$103,19,0)</f>
        <v>0</v>
      </c>
    </row>
    <row r="970" spans="1:8" x14ac:dyDescent="0.35">
      <c r="A970" s="77">
        <v>45383</v>
      </c>
      <c r="B970" s="3" t="s">
        <v>108</v>
      </c>
      <c r="C970" s="4" t="s">
        <v>109</v>
      </c>
      <c r="D970" s="4" t="s">
        <v>314</v>
      </c>
      <c r="E970" s="4" t="s">
        <v>321</v>
      </c>
      <c r="F970" t="s">
        <v>226</v>
      </c>
      <c r="G970" t="s">
        <v>227</v>
      </c>
      <c r="H970">
        <f>VLOOKUP(C970,'TB Apr 24'!$B$13:$T$103,19,0)</f>
        <v>0</v>
      </c>
    </row>
    <row r="971" spans="1:8" x14ac:dyDescent="0.35">
      <c r="A971" s="77">
        <v>45383</v>
      </c>
      <c r="B971" s="3" t="s">
        <v>110</v>
      </c>
      <c r="C971" s="4" t="s">
        <v>111</v>
      </c>
      <c r="D971" s="4" t="s">
        <v>314</v>
      </c>
      <c r="E971" s="4" t="s">
        <v>320</v>
      </c>
      <c r="F971" t="s">
        <v>226</v>
      </c>
      <c r="G971" t="s">
        <v>227</v>
      </c>
      <c r="H971">
        <f>VLOOKUP(C971,'TB Apr 24'!$B$13:$T$103,19,0)</f>
        <v>0</v>
      </c>
    </row>
    <row r="972" spans="1:8" x14ac:dyDescent="0.35">
      <c r="A972" s="77">
        <v>45383</v>
      </c>
      <c r="B972" s="3" t="s">
        <v>112</v>
      </c>
      <c r="C972" s="4" t="s">
        <v>113</v>
      </c>
      <c r="D972" s="4" t="s">
        <v>314</v>
      </c>
      <c r="E972" s="4" t="s">
        <v>321</v>
      </c>
      <c r="F972" t="s">
        <v>226</v>
      </c>
      <c r="G972" t="s">
        <v>227</v>
      </c>
      <c r="H972">
        <f>VLOOKUP(C972,'TB Apr 24'!$B$13:$T$103,19,0)</f>
        <v>0</v>
      </c>
    </row>
    <row r="973" spans="1:8" x14ac:dyDescent="0.35">
      <c r="A973" s="77">
        <v>45383</v>
      </c>
      <c r="B973" s="3" t="s">
        <v>311</v>
      </c>
      <c r="C973" s="4" t="s">
        <v>312</v>
      </c>
      <c r="D973" s="4" t="s">
        <v>314</v>
      </c>
      <c r="E973" s="4" t="s">
        <v>288</v>
      </c>
      <c r="F973" t="s">
        <v>226</v>
      </c>
      <c r="G973" t="s">
        <v>227</v>
      </c>
      <c r="H973">
        <f>VLOOKUP(C973,'TB Apr 24'!$B$13:$T$103,19,0)</f>
        <v>0</v>
      </c>
    </row>
    <row r="974" spans="1:8" x14ac:dyDescent="0.35">
      <c r="A974" s="77">
        <v>45383</v>
      </c>
      <c r="B974" s="3" t="s">
        <v>114</v>
      </c>
      <c r="C974" s="4" t="s">
        <v>115</v>
      </c>
      <c r="D974" s="4" t="s">
        <v>314</v>
      </c>
      <c r="E974" s="4" t="s">
        <v>294</v>
      </c>
      <c r="F974" t="s">
        <v>226</v>
      </c>
      <c r="G974" t="s">
        <v>227</v>
      </c>
      <c r="H974">
        <f>VLOOKUP(C974,'TB Apr 24'!$B$13:$T$103,19,0)</f>
        <v>0</v>
      </c>
    </row>
    <row r="975" spans="1:8" x14ac:dyDescent="0.35">
      <c r="A975" s="77">
        <v>45383</v>
      </c>
      <c r="B975" s="3" t="s">
        <v>116</v>
      </c>
      <c r="C975" s="4" t="s">
        <v>117</v>
      </c>
      <c r="D975" s="4" t="s">
        <v>314</v>
      </c>
      <c r="E975" s="4" t="s">
        <v>296</v>
      </c>
      <c r="F975" t="s">
        <v>226</v>
      </c>
      <c r="G975" t="s">
        <v>227</v>
      </c>
      <c r="H975">
        <f>VLOOKUP(C975,'TB Apr 24'!$B$13:$T$103,19,0)</f>
        <v>0</v>
      </c>
    </row>
    <row r="976" spans="1:8" x14ac:dyDescent="0.35">
      <c r="A976" s="77">
        <v>45383</v>
      </c>
      <c r="B976" s="3" t="s">
        <v>118</v>
      </c>
      <c r="C976" s="4" t="s">
        <v>119</v>
      </c>
      <c r="D976" s="4" t="s">
        <v>314</v>
      </c>
      <c r="E976" s="4" t="s">
        <v>296</v>
      </c>
      <c r="F976" t="s">
        <v>226</v>
      </c>
      <c r="G976" t="s">
        <v>227</v>
      </c>
      <c r="H976">
        <f>VLOOKUP(C976,'TB Apr 24'!$B$13:$T$103,19,0)</f>
        <v>0</v>
      </c>
    </row>
    <row r="977" spans="1:8" x14ac:dyDescent="0.35">
      <c r="A977" s="77">
        <v>45383</v>
      </c>
      <c r="B977" s="3" t="s">
        <v>120</v>
      </c>
      <c r="C977" s="4" t="s">
        <v>121</v>
      </c>
      <c r="D977" s="4" t="s">
        <v>314</v>
      </c>
      <c r="E977" s="4" t="s">
        <v>322</v>
      </c>
      <c r="F977" t="s">
        <v>226</v>
      </c>
      <c r="G977" t="s">
        <v>227</v>
      </c>
      <c r="H977">
        <f>VLOOKUP(C977,'TB Apr 24'!$B$13:$T$103,19,0)</f>
        <v>0</v>
      </c>
    </row>
    <row r="978" spans="1:8" x14ac:dyDescent="0.35">
      <c r="A978" s="77">
        <v>45383</v>
      </c>
      <c r="B978" s="3" t="s">
        <v>122</v>
      </c>
      <c r="C978" s="4" t="s">
        <v>123</v>
      </c>
      <c r="D978" s="4" t="s">
        <v>314</v>
      </c>
      <c r="E978" s="4" t="s">
        <v>322</v>
      </c>
      <c r="F978" t="s">
        <v>226</v>
      </c>
      <c r="G978" t="s">
        <v>227</v>
      </c>
      <c r="H978">
        <f>VLOOKUP(C978,'TB Apr 24'!$B$13:$T$103,19,0)</f>
        <v>0</v>
      </c>
    </row>
    <row r="979" spans="1:8" x14ac:dyDescent="0.35">
      <c r="A979" s="77">
        <v>45383</v>
      </c>
      <c r="B979" s="3" t="s">
        <v>124</v>
      </c>
      <c r="C979" s="4" t="s">
        <v>125</v>
      </c>
      <c r="D979" s="4" t="s">
        <v>314</v>
      </c>
      <c r="E979" s="4" t="s">
        <v>322</v>
      </c>
      <c r="F979" t="s">
        <v>226</v>
      </c>
      <c r="G979" t="s">
        <v>227</v>
      </c>
      <c r="H979">
        <f>VLOOKUP(C979,'TB Apr 24'!$B$13:$T$103,19,0)</f>
        <v>0</v>
      </c>
    </row>
    <row r="980" spans="1:8" x14ac:dyDescent="0.35">
      <c r="A980" s="77">
        <v>45383</v>
      </c>
      <c r="B980" s="3" t="s">
        <v>126</v>
      </c>
      <c r="C980" s="4" t="s">
        <v>127</v>
      </c>
      <c r="D980" s="4" t="s">
        <v>314</v>
      </c>
      <c r="E980" s="4" t="s">
        <v>291</v>
      </c>
      <c r="F980" t="s">
        <v>226</v>
      </c>
      <c r="G980" t="s">
        <v>227</v>
      </c>
      <c r="H980">
        <f>VLOOKUP(C980,'TB Apr 24'!$B$13:$T$103,19,0)</f>
        <v>0</v>
      </c>
    </row>
    <row r="981" spans="1:8" x14ac:dyDescent="0.35">
      <c r="A981" s="77">
        <v>45383</v>
      </c>
      <c r="B981" s="3" t="s">
        <v>128</v>
      </c>
      <c r="C981" s="4" t="s">
        <v>129</v>
      </c>
      <c r="D981" s="4" t="s">
        <v>314</v>
      </c>
      <c r="E981" s="4" t="s">
        <v>322</v>
      </c>
      <c r="F981" t="s">
        <v>226</v>
      </c>
      <c r="G981" t="s">
        <v>227</v>
      </c>
      <c r="H981">
        <f>VLOOKUP(C981,'TB Apr 24'!$B$13:$T$103,19,0)</f>
        <v>0</v>
      </c>
    </row>
    <row r="982" spans="1:8" x14ac:dyDescent="0.35">
      <c r="A982" s="77">
        <v>45383</v>
      </c>
      <c r="B982" s="3" t="s">
        <v>130</v>
      </c>
      <c r="C982" s="4" t="s">
        <v>131</v>
      </c>
      <c r="D982" s="4" t="s">
        <v>314</v>
      </c>
      <c r="E982" s="4" t="s">
        <v>322</v>
      </c>
      <c r="F982" t="s">
        <v>226</v>
      </c>
      <c r="G982" t="s">
        <v>227</v>
      </c>
      <c r="H982">
        <f>VLOOKUP(C982,'TB Apr 24'!$B$13:$T$103,19,0)</f>
        <v>0</v>
      </c>
    </row>
    <row r="983" spans="1:8" x14ac:dyDescent="0.35">
      <c r="A983" s="77">
        <v>45383</v>
      </c>
      <c r="B983" s="3" t="s">
        <v>132</v>
      </c>
      <c r="C983" s="4" t="s">
        <v>133</v>
      </c>
      <c r="D983" s="4" t="s">
        <v>314</v>
      </c>
      <c r="E983" s="4" t="s">
        <v>320</v>
      </c>
      <c r="F983" t="s">
        <v>226</v>
      </c>
      <c r="G983" t="s">
        <v>227</v>
      </c>
      <c r="H983">
        <f>VLOOKUP(C983,'TB Apr 24'!$B$13:$T$103,19,0)</f>
        <v>0</v>
      </c>
    </row>
    <row r="984" spans="1:8" x14ac:dyDescent="0.35">
      <c r="A984" s="77">
        <v>45383</v>
      </c>
      <c r="B984" s="3" t="s">
        <v>134</v>
      </c>
      <c r="C984" s="4" t="s">
        <v>135</v>
      </c>
      <c r="D984" s="4" t="s">
        <v>314</v>
      </c>
      <c r="E984" s="4" t="s">
        <v>299</v>
      </c>
      <c r="F984" t="s">
        <v>226</v>
      </c>
      <c r="G984" t="s">
        <v>227</v>
      </c>
      <c r="H984">
        <f>VLOOKUP(C984,'TB Apr 24'!$B$13:$T$103,19,0)</f>
        <v>0</v>
      </c>
    </row>
    <row r="985" spans="1:8" x14ac:dyDescent="0.35">
      <c r="A985" s="77">
        <v>45383</v>
      </c>
      <c r="B985" s="3" t="s">
        <v>136</v>
      </c>
      <c r="C985" s="4" t="s">
        <v>137</v>
      </c>
      <c r="D985" s="4" t="s">
        <v>314</v>
      </c>
      <c r="E985" s="4" t="s">
        <v>322</v>
      </c>
      <c r="F985" t="s">
        <v>226</v>
      </c>
      <c r="G985" t="s">
        <v>227</v>
      </c>
      <c r="H985">
        <f>VLOOKUP(C985,'TB Apr 24'!$B$13:$T$103,19,0)</f>
        <v>0</v>
      </c>
    </row>
    <row r="986" spans="1:8" x14ac:dyDescent="0.35">
      <c r="A986" s="77">
        <v>45383</v>
      </c>
      <c r="B986" s="3" t="s">
        <v>138</v>
      </c>
      <c r="C986" s="4" t="s">
        <v>139</v>
      </c>
      <c r="D986" s="4" t="s">
        <v>314</v>
      </c>
      <c r="E986" s="4" t="s">
        <v>294</v>
      </c>
      <c r="F986" t="s">
        <v>226</v>
      </c>
      <c r="G986" t="s">
        <v>227</v>
      </c>
      <c r="H986">
        <f>VLOOKUP(C986,'TB Apr 24'!$B$13:$T$103,19,0)</f>
        <v>0</v>
      </c>
    </row>
    <row r="987" spans="1:8" x14ac:dyDescent="0.35">
      <c r="A987" s="77">
        <v>45383</v>
      </c>
      <c r="B987" s="3" t="s">
        <v>140</v>
      </c>
      <c r="C987" s="4" t="s">
        <v>141</v>
      </c>
      <c r="D987" s="4" t="s">
        <v>314</v>
      </c>
      <c r="E987" s="4" t="s">
        <v>268</v>
      </c>
      <c r="F987" t="s">
        <v>226</v>
      </c>
      <c r="G987" t="s">
        <v>227</v>
      </c>
      <c r="H987">
        <f>VLOOKUP(C987,'TB Apr 24'!$B$13:$T$103,19,0)</f>
        <v>0</v>
      </c>
    </row>
    <row r="988" spans="1:8" x14ac:dyDescent="0.35">
      <c r="A988" s="77">
        <v>45383</v>
      </c>
      <c r="B988" s="3" t="s">
        <v>142</v>
      </c>
      <c r="C988" s="4" t="s">
        <v>143</v>
      </c>
      <c r="D988" s="4" t="s">
        <v>314</v>
      </c>
      <c r="E988" s="4" t="s">
        <v>269</v>
      </c>
      <c r="F988" t="s">
        <v>226</v>
      </c>
      <c r="G988" t="s">
        <v>227</v>
      </c>
      <c r="H988">
        <f>VLOOKUP(C988,'TB Apr 24'!$B$13:$T$103,19,0)</f>
        <v>0</v>
      </c>
    </row>
    <row r="989" spans="1:8" x14ac:dyDescent="0.35">
      <c r="A989" s="77">
        <v>45383</v>
      </c>
      <c r="B989" s="3" t="s">
        <v>144</v>
      </c>
      <c r="C989" s="4" t="s">
        <v>145</v>
      </c>
      <c r="D989" s="4" t="s">
        <v>314</v>
      </c>
      <c r="E989" s="4" t="s">
        <v>288</v>
      </c>
      <c r="F989" t="s">
        <v>226</v>
      </c>
      <c r="G989" t="s">
        <v>227</v>
      </c>
      <c r="H989">
        <f>VLOOKUP(C989,'TB Apr 24'!$B$13:$T$103,19,0)</f>
        <v>0</v>
      </c>
    </row>
    <row r="990" spans="1:8" x14ac:dyDescent="0.35">
      <c r="A990" s="77">
        <v>45383</v>
      </c>
      <c r="B990" s="3" t="s">
        <v>146</v>
      </c>
      <c r="C990" s="4" t="s">
        <v>147</v>
      </c>
      <c r="D990" s="4" t="s">
        <v>314</v>
      </c>
      <c r="E990" s="4" t="s">
        <v>288</v>
      </c>
      <c r="F990" t="s">
        <v>226</v>
      </c>
      <c r="G990" t="s">
        <v>227</v>
      </c>
      <c r="H990">
        <f>VLOOKUP(C990,'TB Apr 24'!$B$13:$T$103,19,0)</f>
        <v>0</v>
      </c>
    </row>
    <row r="991" spans="1:8" x14ac:dyDescent="0.35">
      <c r="A991" s="77">
        <v>45383</v>
      </c>
      <c r="B991" s="3" t="s">
        <v>148</v>
      </c>
      <c r="C991" s="4" t="s">
        <v>149</v>
      </c>
      <c r="D991" s="4" t="s">
        <v>314</v>
      </c>
      <c r="E991" s="4" t="s">
        <v>287</v>
      </c>
      <c r="F991" t="s">
        <v>226</v>
      </c>
      <c r="G991" t="s">
        <v>227</v>
      </c>
      <c r="H991">
        <f>VLOOKUP(C991,'TB Apr 24'!$B$13:$T$103,19,0)</f>
        <v>0</v>
      </c>
    </row>
    <row r="992" spans="1:8" x14ac:dyDescent="0.35">
      <c r="A992" s="77">
        <v>45383</v>
      </c>
      <c r="B992" s="3" t="s">
        <v>150</v>
      </c>
      <c r="C992" s="4" t="s">
        <v>87</v>
      </c>
      <c r="D992" s="4" t="s">
        <v>314</v>
      </c>
      <c r="E992" s="4" t="s">
        <v>288</v>
      </c>
      <c r="F992" t="s">
        <v>226</v>
      </c>
      <c r="G992" t="s">
        <v>227</v>
      </c>
      <c r="H992">
        <f>VLOOKUP(C992,'TB Apr 24'!$B$13:$T$103,19,0)</f>
        <v>0</v>
      </c>
    </row>
    <row r="993" spans="1:8" x14ac:dyDescent="0.35">
      <c r="A993" s="77">
        <v>45383</v>
      </c>
      <c r="B993" s="3" t="s">
        <v>151</v>
      </c>
      <c r="C993" s="4" t="s">
        <v>152</v>
      </c>
      <c r="D993" s="4" t="s">
        <v>314</v>
      </c>
      <c r="E993" s="4" t="s">
        <v>288</v>
      </c>
      <c r="F993" t="s">
        <v>226</v>
      </c>
      <c r="G993" t="s">
        <v>227</v>
      </c>
      <c r="H993">
        <f>VLOOKUP(C993,'TB Apr 24'!$B$13:$T$103,19,0)</f>
        <v>0</v>
      </c>
    </row>
    <row r="994" spans="1:8" x14ac:dyDescent="0.35">
      <c r="A994" s="77">
        <v>45383</v>
      </c>
      <c r="B994" s="3" t="s">
        <v>153</v>
      </c>
      <c r="C994" s="4" t="s">
        <v>154</v>
      </c>
      <c r="D994" s="4" t="s">
        <v>314</v>
      </c>
      <c r="E994" s="4" t="s">
        <v>288</v>
      </c>
      <c r="F994" t="s">
        <v>226</v>
      </c>
      <c r="G994" t="s">
        <v>227</v>
      </c>
      <c r="H994">
        <f>VLOOKUP(C994,'TB Apr 24'!$B$13:$T$103,19,0)</f>
        <v>0</v>
      </c>
    </row>
    <row r="995" spans="1:8" x14ac:dyDescent="0.35">
      <c r="A995" s="77">
        <v>45383</v>
      </c>
      <c r="B995" s="3" t="s">
        <v>155</v>
      </c>
      <c r="C995" s="4" t="s">
        <v>156</v>
      </c>
      <c r="D995" s="4" t="s">
        <v>314</v>
      </c>
      <c r="E995" s="4" t="s">
        <v>288</v>
      </c>
      <c r="F995" t="s">
        <v>226</v>
      </c>
      <c r="G995" t="s">
        <v>227</v>
      </c>
      <c r="H995">
        <f>VLOOKUP(C995,'TB Apr 24'!$B$13:$T$103,19,0)</f>
        <v>0</v>
      </c>
    </row>
    <row r="996" spans="1:8" x14ac:dyDescent="0.35">
      <c r="A996" s="77">
        <v>45383</v>
      </c>
      <c r="B996" s="3" t="s">
        <v>157</v>
      </c>
      <c r="C996" s="4" t="s">
        <v>158</v>
      </c>
      <c r="D996" s="4" t="s">
        <v>314</v>
      </c>
      <c r="E996" s="4" t="s">
        <v>292</v>
      </c>
      <c r="F996" t="s">
        <v>226</v>
      </c>
      <c r="G996" t="s">
        <v>227</v>
      </c>
      <c r="H996">
        <f>VLOOKUP(C996,'TB Apr 24'!$B$13:$T$103,19,0)</f>
        <v>0</v>
      </c>
    </row>
    <row r="997" spans="1:8" x14ac:dyDescent="0.35">
      <c r="A997" s="77">
        <v>45383</v>
      </c>
      <c r="B997" s="3" t="s">
        <v>159</v>
      </c>
      <c r="C997" s="4" t="s">
        <v>160</v>
      </c>
      <c r="D997" s="4" t="s">
        <v>314</v>
      </c>
      <c r="E997" s="4" t="s">
        <v>323</v>
      </c>
      <c r="F997" t="s">
        <v>226</v>
      </c>
      <c r="G997" t="s">
        <v>227</v>
      </c>
      <c r="H997">
        <f>VLOOKUP(C997,'TB Apr 24'!$B$13:$T$103,19,0)</f>
        <v>0</v>
      </c>
    </row>
    <row r="998" spans="1:8" x14ac:dyDescent="0.35">
      <c r="A998" s="77">
        <v>45383</v>
      </c>
      <c r="B998" s="3" t="s">
        <v>161</v>
      </c>
      <c r="C998" s="4" t="s">
        <v>162</v>
      </c>
      <c r="D998" s="4" t="s">
        <v>314</v>
      </c>
      <c r="E998" s="4" t="s">
        <v>323</v>
      </c>
      <c r="F998" t="s">
        <v>226</v>
      </c>
      <c r="G998" t="s">
        <v>227</v>
      </c>
      <c r="H998">
        <f>VLOOKUP(C998,'TB Apr 24'!$B$13:$T$103,19,0)</f>
        <v>0</v>
      </c>
    </row>
    <row r="999" spans="1:8" x14ac:dyDescent="0.35">
      <c r="A999" s="77">
        <v>45383</v>
      </c>
      <c r="B999" s="3" t="s">
        <v>163</v>
      </c>
      <c r="C999" s="4" t="s">
        <v>164</v>
      </c>
      <c r="D999" s="4" t="s">
        <v>314</v>
      </c>
      <c r="E999" s="4" t="s">
        <v>319</v>
      </c>
      <c r="F999" t="s">
        <v>226</v>
      </c>
      <c r="G999" t="s">
        <v>227</v>
      </c>
      <c r="H999">
        <f>VLOOKUP(C999,'TB Apr 24'!$B$13:$T$103,19,0)</f>
        <v>0</v>
      </c>
    </row>
    <row r="1000" spans="1:8" x14ac:dyDescent="0.35">
      <c r="A1000" s="77">
        <v>45383</v>
      </c>
      <c r="B1000" s="3" t="s">
        <v>165</v>
      </c>
      <c r="C1000" s="4" t="s">
        <v>166</v>
      </c>
      <c r="D1000" s="4" t="s">
        <v>314</v>
      </c>
      <c r="E1000" s="4" t="s">
        <v>304</v>
      </c>
      <c r="F1000" t="s">
        <v>226</v>
      </c>
      <c r="G1000" t="s">
        <v>227</v>
      </c>
      <c r="H1000">
        <f>VLOOKUP(C1000,'TB Apr 24'!$B$13:$T$103,19,0)</f>
        <v>0</v>
      </c>
    </row>
    <row r="1001" spans="1:8" x14ac:dyDescent="0.35">
      <c r="A1001" s="77">
        <v>45383</v>
      </c>
      <c r="B1001" s="3" t="s">
        <v>167</v>
      </c>
      <c r="C1001" s="4" t="s">
        <v>168</v>
      </c>
      <c r="D1001" s="4" t="s">
        <v>314</v>
      </c>
      <c r="E1001" s="4" t="s">
        <v>322</v>
      </c>
      <c r="F1001" t="s">
        <v>226</v>
      </c>
      <c r="G1001" t="s">
        <v>227</v>
      </c>
      <c r="H1001">
        <f>VLOOKUP(C1001,'TB Apr 24'!$B$13:$T$103,19,0)</f>
        <v>0</v>
      </c>
    </row>
    <row r="1002" spans="1:8" x14ac:dyDescent="0.35">
      <c r="A1002" s="77">
        <v>45383</v>
      </c>
      <c r="B1002" s="3" t="s">
        <v>169</v>
      </c>
      <c r="C1002" s="4" t="s">
        <v>170</v>
      </c>
      <c r="D1002" s="4" t="s">
        <v>314</v>
      </c>
      <c r="E1002" s="4" t="s">
        <v>304</v>
      </c>
      <c r="F1002" t="s">
        <v>226</v>
      </c>
      <c r="G1002" t="s">
        <v>227</v>
      </c>
      <c r="H1002">
        <f>VLOOKUP(C1002,'TB Apr 24'!$B$13:$T$103,19,0)</f>
        <v>0</v>
      </c>
    </row>
    <row r="1003" spans="1:8" x14ac:dyDescent="0.35">
      <c r="A1003" s="77">
        <v>45383</v>
      </c>
      <c r="B1003" s="3" t="s">
        <v>171</v>
      </c>
      <c r="C1003" s="4" t="s">
        <v>172</v>
      </c>
      <c r="D1003" s="4" t="s">
        <v>314</v>
      </c>
      <c r="E1003" s="4" t="s">
        <v>303</v>
      </c>
      <c r="F1003" t="s">
        <v>226</v>
      </c>
      <c r="G1003" t="s">
        <v>227</v>
      </c>
      <c r="H1003">
        <f>VLOOKUP(C1003,'TB Apr 24'!$B$13:$T$103,19,0)</f>
        <v>0</v>
      </c>
    </row>
    <row r="1004" spans="1:8" x14ac:dyDescent="0.35">
      <c r="A1004" s="77">
        <v>45383</v>
      </c>
      <c r="B1004" s="3" t="s">
        <v>173</v>
      </c>
      <c r="C1004" s="4" t="s">
        <v>174</v>
      </c>
      <c r="D1004" s="4" t="s">
        <v>314</v>
      </c>
      <c r="E1004" s="4" t="s">
        <v>257</v>
      </c>
      <c r="F1004" t="s">
        <v>226</v>
      </c>
      <c r="G1004" t="s">
        <v>227</v>
      </c>
      <c r="H1004">
        <f>VLOOKUP(C1004,'TB Apr 24'!$B$13:$T$103,19,0)</f>
        <v>0</v>
      </c>
    </row>
    <row r="1005" spans="1:8" x14ac:dyDescent="0.35">
      <c r="A1005" s="77">
        <v>45383</v>
      </c>
      <c r="B1005" s="3" t="s">
        <v>175</v>
      </c>
      <c r="C1005" s="4" t="s">
        <v>176</v>
      </c>
      <c r="D1005" s="4" t="s">
        <v>314</v>
      </c>
      <c r="E1005" s="4" t="s">
        <v>257</v>
      </c>
      <c r="F1005" t="s">
        <v>226</v>
      </c>
      <c r="G1005" t="s">
        <v>227</v>
      </c>
      <c r="H1005">
        <f>VLOOKUP(C1005,'TB Apr 24'!$B$13:$T$103,19,0)</f>
        <v>0</v>
      </c>
    </row>
    <row r="1006" spans="1:8" x14ac:dyDescent="0.35">
      <c r="A1006" s="77">
        <v>45383</v>
      </c>
      <c r="B1006" s="3" t="s">
        <v>177</v>
      </c>
      <c r="C1006" s="4" t="s">
        <v>178</v>
      </c>
      <c r="D1006" s="4" t="s">
        <v>314</v>
      </c>
      <c r="E1006" s="4" t="s">
        <v>257</v>
      </c>
      <c r="F1006" t="s">
        <v>226</v>
      </c>
      <c r="G1006" t="s">
        <v>227</v>
      </c>
      <c r="H1006">
        <f>VLOOKUP(C1006,'TB Apr 24'!$B$13:$T$103,19,0)</f>
        <v>0</v>
      </c>
    </row>
    <row r="1007" spans="1:8" x14ac:dyDescent="0.35">
      <c r="A1007" s="77">
        <v>45383</v>
      </c>
      <c r="B1007" s="3" t="s">
        <v>179</v>
      </c>
      <c r="C1007" s="4" t="s">
        <v>180</v>
      </c>
      <c r="D1007" s="4" t="s">
        <v>314</v>
      </c>
      <c r="E1007" s="4" t="s">
        <v>322</v>
      </c>
      <c r="F1007" t="s">
        <v>226</v>
      </c>
      <c r="G1007" t="s">
        <v>227</v>
      </c>
      <c r="H1007">
        <f>VLOOKUP(C1007,'TB Apr 24'!$B$13:$T$103,19,0)</f>
        <v>0</v>
      </c>
    </row>
    <row r="1008" spans="1:8" x14ac:dyDescent="0.35">
      <c r="A1008" s="77">
        <v>45383</v>
      </c>
      <c r="B1008" s="3" t="s">
        <v>181</v>
      </c>
      <c r="C1008" s="4" t="s">
        <v>182</v>
      </c>
      <c r="D1008" s="4" t="s">
        <v>314</v>
      </c>
      <c r="E1008" s="4" t="s">
        <v>290</v>
      </c>
      <c r="F1008" t="s">
        <v>226</v>
      </c>
      <c r="G1008" t="s">
        <v>227</v>
      </c>
      <c r="H1008">
        <f>VLOOKUP(C1008,'TB Apr 24'!$B$13:$T$103,19,0)</f>
        <v>0</v>
      </c>
    </row>
    <row r="1009" spans="1:8" x14ac:dyDescent="0.35">
      <c r="A1009" s="77">
        <v>45383</v>
      </c>
      <c r="B1009" s="3" t="s">
        <v>183</v>
      </c>
      <c r="C1009" s="4" t="s">
        <v>184</v>
      </c>
      <c r="D1009" s="4" t="s">
        <v>314</v>
      </c>
      <c r="E1009" s="4" t="s">
        <v>290</v>
      </c>
      <c r="F1009" t="s">
        <v>226</v>
      </c>
      <c r="G1009" t="s">
        <v>227</v>
      </c>
      <c r="H1009">
        <f>VLOOKUP(C1009,'TB Apr 24'!$B$13:$T$103,19,0)</f>
        <v>0</v>
      </c>
    </row>
    <row r="1010" spans="1:8" x14ac:dyDescent="0.35">
      <c r="A1010" s="77">
        <v>45383</v>
      </c>
      <c r="B1010" s="3" t="s">
        <v>185</v>
      </c>
      <c r="C1010" s="4" t="s">
        <v>186</v>
      </c>
      <c r="D1010" s="4" t="s">
        <v>314</v>
      </c>
      <c r="E1010" s="4" t="s">
        <v>290</v>
      </c>
      <c r="F1010" t="s">
        <v>226</v>
      </c>
      <c r="G1010" t="s">
        <v>227</v>
      </c>
      <c r="H1010">
        <f>VLOOKUP(C1010,'TB Apr 24'!$B$13:$T$103,19,0)</f>
        <v>0</v>
      </c>
    </row>
    <row r="1011" spans="1:8" x14ac:dyDescent="0.35">
      <c r="A1011" s="77">
        <v>45383</v>
      </c>
      <c r="B1011" s="3" t="s">
        <v>187</v>
      </c>
      <c r="C1011" s="4" t="s">
        <v>188</v>
      </c>
      <c r="D1011" s="4" t="s">
        <v>314</v>
      </c>
      <c r="E1011" s="4" t="s">
        <v>291</v>
      </c>
      <c r="F1011" t="s">
        <v>226</v>
      </c>
      <c r="G1011" t="s">
        <v>227</v>
      </c>
      <c r="H1011">
        <f>VLOOKUP(C1011,'TB Apr 24'!$B$13:$T$103,19,0)</f>
        <v>0</v>
      </c>
    </row>
    <row r="1012" spans="1:8" x14ac:dyDescent="0.35">
      <c r="A1012" s="77">
        <v>45383</v>
      </c>
      <c r="B1012" s="3" t="s">
        <v>189</v>
      </c>
      <c r="C1012" s="4" t="s">
        <v>190</v>
      </c>
      <c r="D1012" s="4" t="s">
        <v>314</v>
      </c>
      <c r="E1012" s="4" t="s">
        <v>254</v>
      </c>
      <c r="F1012" t="s">
        <v>226</v>
      </c>
      <c r="G1012" t="s">
        <v>227</v>
      </c>
      <c r="H1012">
        <f>VLOOKUP(C1012,'TB Apr 24'!$B$13:$T$103,19,0)</f>
        <v>0</v>
      </c>
    </row>
    <row r="1013" spans="1:8" x14ac:dyDescent="0.35">
      <c r="A1013" s="77">
        <v>45383</v>
      </c>
      <c r="B1013" s="3" t="s">
        <v>191</v>
      </c>
      <c r="C1013" s="4" t="s">
        <v>192</v>
      </c>
      <c r="D1013" s="4" t="s">
        <v>314</v>
      </c>
      <c r="E1013" s="4" t="s">
        <v>254</v>
      </c>
      <c r="F1013" t="s">
        <v>226</v>
      </c>
      <c r="G1013" t="s">
        <v>227</v>
      </c>
      <c r="H1013">
        <f>VLOOKUP(C1013,'TB Apr 24'!$B$13:$T$103,19,0)</f>
        <v>0</v>
      </c>
    </row>
    <row r="1014" spans="1:8" x14ac:dyDescent="0.35">
      <c r="A1014" s="77">
        <v>45383</v>
      </c>
      <c r="B1014" s="3" t="s">
        <v>193</v>
      </c>
      <c r="C1014" s="4" t="s">
        <v>194</v>
      </c>
      <c r="D1014" s="4" t="s">
        <v>314</v>
      </c>
      <c r="E1014" s="4" t="s">
        <v>254</v>
      </c>
      <c r="F1014" t="s">
        <v>226</v>
      </c>
      <c r="G1014" t="s">
        <v>227</v>
      </c>
      <c r="H1014">
        <f>VLOOKUP(C1014,'TB Apr 24'!$B$13:$T$103,19,0)</f>
        <v>0</v>
      </c>
    </row>
    <row r="1015" spans="1:8" x14ac:dyDescent="0.35">
      <c r="A1015" s="77">
        <v>45383</v>
      </c>
      <c r="B1015" s="3" t="s">
        <v>195</v>
      </c>
      <c r="C1015" s="4" t="s">
        <v>196</v>
      </c>
      <c r="D1015" s="4" t="s">
        <v>314</v>
      </c>
      <c r="E1015" s="4" t="s">
        <v>255</v>
      </c>
      <c r="F1015" t="s">
        <v>226</v>
      </c>
      <c r="G1015" t="s">
        <v>227</v>
      </c>
      <c r="H1015">
        <f>VLOOKUP(C1015,'TB Apr 24'!$B$13:$T$103,19,0)</f>
        <v>0</v>
      </c>
    </row>
    <row r="1016" spans="1:8" x14ac:dyDescent="0.35">
      <c r="A1016" s="77">
        <v>45383</v>
      </c>
      <c r="B1016" s="3" t="s">
        <v>197</v>
      </c>
      <c r="C1016" s="4" t="s">
        <v>198</v>
      </c>
      <c r="D1016" s="4" t="s">
        <v>314</v>
      </c>
      <c r="E1016" s="4" t="s">
        <v>255</v>
      </c>
      <c r="F1016" t="s">
        <v>226</v>
      </c>
      <c r="G1016" t="s">
        <v>227</v>
      </c>
      <c r="H1016">
        <f>VLOOKUP(C1016,'TB Apr 24'!$B$13:$T$103,19,0)</f>
        <v>0</v>
      </c>
    </row>
    <row r="1017" spans="1:8" x14ac:dyDescent="0.35">
      <c r="A1017" s="77">
        <v>45383</v>
      </c>
      <c r="B1017" s="3" t="s">
        <v>199</v>
      </c>
      <c r="C1017" s="4" t="s">
        <v>200</v>
      </c>
      <c r="D1017" s="4" t="s">
        <v>314</v>
      </c>
      <c r="E1017" s="4" t="s">
        <v>254</v>
      </c>
      <c r="F1017" t="s">
        <v>226</v>
      </c>
      <c r="G1017" t="s">
        <v>227</v>
      </c>
      <c r="H1017">
        <f>VLOOKUP(C1017,'TB Apr 24'!$B$13:$T$103,19,0)</f>
        <v>0</v>
      </c>
    </row>
    <row r="1018" spans="1:8" x14ac:dyDescent="0.35">
      <c r="A1018" s="77">
        <v>45383</v>
      </c>
      <c r="B1018" s="3" t="s">
        <v>201</v>
      </c>
      <c r="C1018" s="4" t="s">
        <v>202</v>
      </c>
      <c r="D1018" s="4" t="s">
        <v>314</v>
      </c>
      <c r="E1018" s="4" t="s">
        <v>254</v>
      </c>
      <c r="F1018" t="s">
        <v>226</v>
      </c>
      <c r="G1018" t="s">
        <v>227</v>
      </c>
      <c r="H1018">
        <f>VLOOKUP(C1018,'TB Apr 24'!$B$13:$T$103,19,0)</f>
        <v>0</v>
      </c>
    </row>
    <row r="1019" spans="1:8" x14ac:dyDescent="0.35">
      <c r="A1019" s="77">
        <v>45383</v>
      </c>
      <c r="B1019" s="3" t="s">
        <v>203</v>
      </c>
      <c r="C1019" s="4" t="s">
        <v>204</v>
      </c>
      <c r="D1019" s="4" t="s">
        <v>314</v>
      </c>
      <c r="E1019" s="4" t="s">
        <v>256</v>
      </c>
      <c r="F1019" t="s">
        <v>226</v>
      </c>
      <c r="G1019" t="s">
        <v>227</v>
      </c>
      <c r="H1019">
        <f>VLOOKUP(C1019,'TB Apr 24'!$B$13:$T$103,19,0)</f>
        <v>0</v>
      </c>
    </row>
    <row r="1020" spans="1:8" x14ac:dyDescent="0.35">
      <c r="A1020" s="77">
        <v>45383</v>
      </c>
      <c r="B1020" s="3" t="s">
        <v>205</v>
      </c>
      <c r="C1020" s="6" t="s">
        <v>206</v>
      </c>
      <c r="D1020" s="4" t="s">
        <v>314</v>
      </c>
      <c r="E1020" s="6" t="s">
        <v>322</v>
      </c>
      <c r="F1020" s="79" t="s">
        <v>226</v>
      </c>
      <c r="G1020" s="79" t="s">
        <v>227</v>
      </c>
      <c r="H1020" s="79">
        <f>VLOOKUP(C1020,'TB Apr 24'!$B$13:$T$103,19,0)</f>
        <v>0</v>
      </c>
    </row>
    <row r="1021" spans="1:8" x14ac:dyDescent="0.35">
      <c r="A1021" s="77">
        <v>45383</v>
      </c>
      <c r="B1021" s="3" t="s">
        <v>57</v>
      </c>
      <c r="C1021" s="4" t="s">
        <v>58</v>
      </c>
      <c r="D1021" s="4" t="s">
        <v>314</v>
      </c>
      <c r="E1021" s="4" t="s">
        <v>253</v>
      </c>
      <c r="F1021" t="s">
        <v>226</v>
      </c>
      <c r="G1021" t="s">
        <v>219</v>
      </c>
      <c r="H1021">
        <f>VLOOKUP(C1021,'TB Apr 24'!$B$13:$U$103,20,0)</f>
        <v>0</v>
      </c>
    </row>
    <row r="1022" spans="1:8" x14ac:dyDescent="0.35">
      <c r="A1022" s="77">
        <v>45383</v>
      </c>
      <c r="B1022" s="3" t="s">
        <v>307</v>
      </c>
      <c r="C1022" s="4" t="s">
        <v>308</v>
      </c>
      <c r="D1022" s="4" t="s">
        <v>314</v>
      </c>
      <c r="E1022" s="4" t="s">
        <v>253</v>
      </c>
      <c r="F1022" t="s">
        <v>226</v>
      </c>
      <c r="G1022" t="s">
        <v>219</v>
      </c>
      <c r="H1022">
        <f>VLOOKUP(C1022,'TB Apr 24'!$B$13:$U$103,20,0)</f>
        <v>0</v>
      </c>
    </row>
    <row r="1023" spans="1:8" x14ac:dyDescent="0.35">
      <c r="A1023" s="77">
        <v>45383</v>
      </c>
      <c r="B1023" s="3" t="s">
        <v>59</v>
      </c>
      <c r="C1023" s="4" t="s">
        <v>60</v>
      </c>
      <c r="D1023" s="4" t="s">
        <v>314</v>
      </c>
      <c r="E1023" s="4" t="s">
        <v>253</v>
      </c>
      <c r="F1023" t="s">
        <v>226</v>
      </c>
      <c r="G1023" t="s">
        <v>219</v>
      </c>
      <c r="H1023">
        <f>VLOOKUP(C1023,'TB Apr 24'!$B$13:$U$103,20,0)</f>
        <v>-25.46</v>
      </c>
    </row>
    <row r="1024" spans="1:8" x14ac:dyDescent="0.35">
      <c r="A1024" s="77">
        <v>45383</v>
      </c>
      <c r="B1024" s="3" t="s">
        <v>61</v>
      </c>
      <c r="C1024" s="4" t="s">
        <v>62</v>
      </c>
      <c r="D1024" s="4" t="s">
        <v>314</v>
      </c>
      <c r="E1024" s="4" t="s">
        <v>66</v>
      </c>
      <c r="F1024" t="s">
        <v>226</v>
      </c>
      <c r="G1024" t="s">
        <v>219</v>
      </c>
      <c r="H1024">
        <f>VLOOKUP(C1024,'TB Apr 24'!$B$13:$U$103,20,0)</f>
        <v>-52499.9</v>
      </c>
    </row>
    <row r="1025" spans="1:8" x14ac:dyDescent="0.35">
      <c r="A1025" s="77">
        <v>45383</v>
      </c>
      <c r="B1025" s="3" t="s">
        <v>63</v>
      </c>
      <c r="C1025" s="4" t="s">
        <v>64</v>
      </c>
      <c r="D1025" s="4" t="s">
        <v>314</v>
      </c>
      <c r="E1025" s="4" t="s">
        <v>252</v>
      </c>
      <c r="F1025" t="s">
        <v>226</v>
      </c>
      <c r="G1025" t="s">
        <v>219</v>
      </c>
      <c r="H1025">
        <f>VLOOKUP(C1025,'TB Apr 24'!$B$13:$U$103,20,0)</f>
        <v>0</v>
      </c>
    </row>
    <row r="1026" spans="1:8" x14ac:dyDescent="0.35">
      <c r="A1026" s="77">
        <v>45383</v>
      </c>
      <c r="B1026" s="3" t="s">
        <v>65</v>
      </c>
      <c r="C1026" s="4" t="s">
        <v>66</v>
      </c>
      <c r="D1026" s="4" t="s">
        <v>314</v>
      </c>
      <c r="E1026" s="4" t="s">
        <v>66</v>
      </c>
      <c r="F1026" t="s">
        <v>226</v>
      </c>
      <c r="G1026" t="s">
        <v>219</v>
      </c>
      <c r="H1026">
        <f>VLOOKUP(C1026,'TB Apr 24'!$B$13:$U$103,20,0)</f>
        <v>-2238125.19</v>
      </c>
    </row>
    <row r="1027" spans="1:8" x14ac:dyDescent="0.35">
      <c r="A1027" s="77">
        <v>45383</v>
      </c>
      <c r="B1027" s="3" t="s">
        <v>67</v>
      </c>
      <c r="C1027" s="4" t="s">
        <v>68</v>
      </c>
      <c r="D1027" s="4" t="s">
        <v>314</v>
      </c>
      <c r="E1027" s="4" t="s">
        <v>252</v>
      </c>
      <c r="F1027" t="s">
        <v>226</v>
      </c>
      <c r="G1027" t="s">
        <v>219</v>
      </c>
      <c r="H1027">
        <f>VLOOKUP(C1027,'TB Apr 24'!$B$13:$U$103,20,0)</f>
        <v>-239174.22</v>
      </c>
    </row>
    <row r="1028" spans="1:8" x14ac:dyDescent="0.35">
      <c r="A1028" s="77">
        <v>45383</v>
      </c>
      <c r="B1028" s="3" t="s">
        <v>69</v>
      </c>
      <c r="C1028" s="4" t="s">
        <v>70</v>
      </c>
      <c r="D1028" s="4" t="s">
        <v>314</v>
      </c>
      <c r="E1028" s="4" t="s">
        <v>70</v>
      </c>
      <c r="F1028" t="s">
        <v>226</v>
      </c>
      <c r="G1028" t="s">
        <v>219</v>
      </c>
      <c r="H1028">
        <f>VLOOKUP(C1028,'TB Apr 24'!$B$13:$U$103,20,0)</f>
        <v>-901277.86</v>
      </c>
    </row>
    <row r="1029" spans="1:8" x14ac:dyDescent="0.35">
      <c r="A1029" s="77">
        <v>45383</v>
      </c>
      <c r="B1029" s="3" t="s">
        <v>71</v>
      </c>
      <c r="C1029" s="4" t="s">
        <v>72</v>
      </c>
      <c r="D1029" s="4" t="s">
        <v>314</v>
      </c>
      <c r="E1029" s="4" t="s">
        <v>253</v>
      </c>
      <c r="F1029" t="s">
        <v>226</v>
      </c>
      <c r="G1029" t="s">
        <v>219</v>
      </c>
      <c r="H1029">
        <f>VLOOKUP(C1029,'TB Apr 24'!$B$13:$U$103,20,0)</f>
        <v>0</v>
      </c>
    </row>
    <row r="1030" spans="1:8" x14ac:dyDescent="0.35">
      <c r="A1030" s="77">
        <v>45383</v>
      </c>
      <c r="B1030" s="3" t="s">
        <v>73</v>
      </c>
      <c r="C1030" s="4" t="s">
        <v>74</v>
      </c>
      <c r="D1030" s="4" t="s">
        <v>314</v>
      </c>
      <c r="E1030" s="4" t="s">
        <v>253</v>
      </c>
      <c r="F1030" t="s">
        <v>226</v>
      </c>
      <c r="G1030" t="s">
        <v>219</v>
      </c>
      <c r="H1030">
        <f>VLOOKUP(C1030,'TB Apr 24'!$B$13:$U$103,20,0)</f>
        <v>-2922.28</v>
      </c>
    </row>
    <row r="1031" spans="1:8" x14ac:dyDescent="0.35">
      <c r="A1031" s="77">
        <v>45383</v>
      </c>
      <c r="B1031" s="3" t="s">
        <v>75</v>
      </c>
      <c r="C1031" s="4" t="s">
        <v>76</v>
      </c>
      <c r="D1031" s="4" t="s">
        <v>314</v>
      </c>
      <c r="E1031" s="4" t="s">
        <v>253</v>
      </c>
      <c r="F1031" t="s">
        <v>226</v>
      </c>
      <c r="G1031" t="s">
        <v>219</v>
      </c>
      <c r="H1031">
        <f>VLOOKUP(C1031,'TB Apr 24'!$B$13:$U$103,20,0)</f>
        <v>0</v>
      </c>
    </row>
    <row r="1032" spans="1:8" x14ac:dyDescent="0.35">
      <c r="A1032" s="77">
        <v>45383</v>
      </c>
      <c r="B1032" s="3" t="s">
        <v>77</v>
      </c>
      <c r="C1032" s="4" t="s">
        <v>78</v>
      </c>
      <c r="D1032" s="4" t="s">
        <v>314</v>
      </c>
      <c r="E1032" s="4" t="s">
        <v>253</v>
      </c>
      <c r="F1032" t="s">
        <v>226</v>
      </c>
      <c r="G1032" t="s">
        <v>219</v>
      </c>
      <c r="H1032">
        <f>VLOOKUP(C1032,'TB Apr 24'!$B$13:$U$103,20,0)</f>
        <v>1458.19</v>
      </c>
    </row>
    <row r="1033" spans="1:8" x14ac:dyDescent="0.35">
      <c r="A1033" s="77">
        <v>45383</v>
      </c>
      <c r="B1033" s="3" t="s">
        <v>79</v>
      </c>
      <c r="C1033" s="4" t="s">
        <v>80</v>
      </c>
      <c r="D1033" s="4" t="s">
        <v>314</v>
      </c>
      <c r="E1033" s="4" t="s">
        <v>253</v>
      </c>
      <c r="F1033" t="s">
        <v>226</v>
      </c>
      <c r="G1033" t="s">
        <v>219</v>
      </c>
      <c r="H1033">
        <f>VLOOKUP(C1033,'TB Apr 24'!$B$13:$U$103,20,0)</f>
        <v>-86277.6</v>
      </c>
    </row>
    <row r="1034" spans="1:8" x14ac:dyDescent="0.35">
      <c r="A1034" s="77">
        <v>45383</v>
      </c>
      <c r="B1034" s="3" t="s">
        <v>81</v>
      </c>
      <c r="C1034" s="4" t="s">
        <v>82</v>
      </c>
      <c r="D1034" s="4" t="s">
        <v>314</v>
      </c>
      <c r="E1034" s="4" t="s">
        <v>319</v>
      </c>
      <c r="F1034" t="s">
        <v>226</v>
      </c>
      <c r="G1034" t="s">
        <v>219</v>
      </c>
      <c r="H1034">
        <f>VLOOKUP(C1034,'TB Apr 24'!$B$13:$U$103,20,0)</f>
        <v>0</v>
      </c>
    </row>
    <row r="1035" spans="1:8" x14ac:dyDescent="0.35">
      <c r="A1035" s="77">
        <v>45383</v>
      </c>
      <c r="B1035" s="3" t="s">
        <v>83</v>
      </c>
      <c r="C1035" s="4" t="s">
        <v>84</v>
      </c>
      <c r="D1035" s="4" t="s">
        <v>314</v>
      </c>
      <c r="E1035" s="4" t="s">
        <v>319</v>
      </c>
      <c r="F1035" t="s">
        <v>226</v>
      </c>
      <c r="G1035" t="s">
        <v>219</v>
      </c>
      <c r="H1035">
        <f>VLOOKUP(C1035,'TB Apr 24'!$B$13:$U$103,20,0)</f>
        <v>2950</v>
      </c>
    </row>
    <row r="1036" spans="1:8" x14ac:dyDescent="0.35">
      <c r="A1036" s="77">
        <v>45383</v>
      </c>
      <c r="B1036" s="3" t="s">
        <v>85</v>
      </c>
      <c r="C1036" s="4" t="s">
        <v>86</v>
      </c>
      <c r="D1036" s="4" t="s">
        <v>314</v>
      </c>
      <c r="E1036" s="4" t="s">
        <v>291</v>
      </c>
      <c r="F1036" t="s">
        <v>226</v>
      </c>
      <c r="G1036" t="s">
        <v>219</v>
      </c>
      <c r="H1036">
        <f>VLOOKUP(C1036,'TB Apr 24'!$B$13:$U$103,20,0)</f>
        <v>0</v>
      </c>
    </row>
    <row r="1037" spans="1:8" x14ac:dyDescent="0.35">
      <c r="A1037" s="77">
        <v>45383</v>
      </c>
      <c r="B1037" s="3" t="s">
        <v>88</v>
      </c>
      <c r="C1037" s="4" t="s">
        <v>89</v>
      </c>
      <c r="D1037" s="4" t="s">
        <v>314</v>
      </c>
      <c r="E1037" s="4" t="s">
        <v>300</v>
      </c>
      <c r="F1037" t="s">
        <v>226</v>
      </c>
      <c r="G1037" t="s">
        <v>219</v>
      </c>
      <c r="H1037">
        <f>VLOOKUP(C1037,'TB Apr 24'!$B$13:$U$103,20,0)</f>
        <v>0</v>
      </c>
    </row>
    <row r="1038" spans="1:8" x14ac:dyDescent="0.35">
      <c r="A1038" s="77">
        <v>45383</v>
      </c>
      <c r="B1038" s="3" t="s">
        <v>90</v>
      </c>
      <c r="C1038" s="4" t="s">
        <v>91</v>
      </c>
      <c r="D1038" s="4" t="s">
        <v>314</v>
      </c>
      <c r="E1038" s="4" t="s">
        <v>300</v>
      </c>
      <c r="F1038" t="s">
        <v>226</v>
      </c>
      <c r="G1038" t="s">
        <v>219</v>
      </c>
      <c r="H1038">
        <f>VLOOKUP(C1038,'TB Apr 24'!$B$13:$U$103,20,0)</f>
        <v>58040</v>
      </c>
    </row>
    <row r="1039" spans="1:8" x14ac:dyDescent="0.35">
      <c r="A1039" s="77">
        <v>45383</v>
      </c>
      <c r="B1039" s="3" t="s">
        <v>92</v>
      </c>
      <c r="C1039" s="4" t="s">
        <v>93</v>
      </c>
      <c r="D1039" s="4" t="s">
        <v>314</v>
      </c>
      <c r="E1039" s="4" t="s">
        <v>300</v>
      </c>
      <c r="F1039" t="s">
        <v>226</v>
      </c>
      <c r="G1039" t="s">
        <v>219</v>
      </c>
      <c r="H1039">
        <f>VLOOKUP(C1039,'TB Apr 24'!$B$13:$U$103,20,0)</f>
        <v>0</v>
      </c>
    </row>
    <row r="1040" spans="1:8" x14ac:dyDescent="0.35">
      <c r="A1040" s="77">
        <v>45383</v>
      </c>
      <c r="B1040" s="3" t="s">
        <v>94</v>
      </c>
      <c r="C1040" s="4" t="s">
        <v>95</v>
      </c>
      <c r="D1040" s="4" t="s">
        <v>314</v>
      </c>
      <c r="E1040" s="4" t="s">
        <v>289</v>
      </c>
      <c r="F1040" t="s">
        <v>226</v>
      </c>
      <c r="G1040" t="s">
        <v>219</v>
      </c>
      <c r="H1040">
        <f>VLOOKUP(C1040,'TB Apr 24'!$B$13:$U$103,20,0)</f>
        <v>746777.66666666663</v>
      </c>
    </row>
    <row r="1041" spans="1:8" x14ac:dyDescent="0.35">
      <c r="A1041" s="77">
        <v>45383</v>
      </c>
      <c r="B1041" s="3" t="s">
        <v>96</v>
      </c>
      <c r="C1041" s="4" t="s">
        <v>97</v>
      </c>
      <c r="D1041" s="4" t="s">
        <v>314</v>
      </c>
      <c r="E1041" s="4" t="s">
        <v>289</v>
      </c>
      <c r="F1041" t="s">
        <v>226</v>
      </c>
      <c r="G1041" t="s">
        <v>219</v>
      </c>
      <c r="H1041">
        <f>VLOOKUP(C1041,'TB Apr 24'!$B$13:$U$103,20,0)</f>
        <v>0</v>
      </c>
    </row>
    <row r="1042" spans="1:8" x14ac:dyDescent="0.35">
      <c r="A1042" s="77">
        <v>45383</v>
      </c>
      <c r="B1042" s="3" t="s">
        <v>309</v>
      </c>
      <c r="C1042" s="4" t="s">
        <v>310</v>
      </c>
      <c r="D1042" s="4" t="s">
        <v>314</v>
      </c>
      <c r="E1042" s="4" t="s">
        <v>289</v>
      </c>
      <c r="F1042" t="s">
        <v>226</v>
      </c>
      <c r="G1042" t="s">
        <v>219</v>
      </c>
      <c r="H1042">
        <f>VLOOKUP(C1042,'TB Apr 24'!$B$13:$U$103,20,0)</f>
        <v>0</v>
      </c>
    </row>
    <row r="1043" spans="1:8" x14ac:dyDescent="0.35">
      <c r="A1043" s="77">
        <v>45383</v>
      </c>
      <c r="B1043" s="3" t="s">
        <v>98</v>
      </c>
      <c r="C1043" s="4" t="s">
        <v>99</v>
      </c>
      <c r="D1043" s="4" t="s">
        <v>314</v>
      </c>
      <c r="E1043" s="4" t="s">
        <v>289</v>
      </c>
      <c r="F1043" t="s">
        <v>226</v>
      </c>
      <c r="G1043" t="s">
        <v>219</v>
      </c>
      <c r="H1043">
        <f>VLOOKUP(C1043,'TB Apr 24'!$B$13:$U$103,20,0)</f>
        <v>0</v>
      </c>
    </row>
    <row r="1044" spans="1:8" x14ac:dyDescent="0.35">
      <c r="A1044" s="77">
        <v>45383</v>
      </c>
      <c r="B1044" s="3" t="s">
        <v>100</v>
      </c>
      <c r="C1044" s="4" t="s">
        <v>101</v>
      </c>
      <c r="D1044" s="4" t="s">
        <v>314</v>
      </c>
      <c r="E1044" s="4" t="s">
        <v>291</v>
      </c>
      <c r="F1044" t="s">
        <v>226</v>
      </c>
      <c r="G1044" t="s">
        <v>219</v>
      </c>
      <c r="H1044">
        <f>VLOOKUP(C1044,'TB Apr 24'!$B$13:$U$103,20,0)</f>
        <v>0</v>
      </c>
    </row>
    <row r="1045" spans="1:8" x14ac:dyDescent="0.35">
      <c r="A1045" s="77">
        <v>45383</v>
      </c>
      <c r="B1045" s="3" t="s">
        <v>102</v>
      </c>
      <c r="C1045" s="4" t="s">
        <v>103</v>
      </c>
      <c r="D1045" s="4" t="s">
        <v>314</v>
      </c>
      <c r="E1045" s="4" t="s">
        <v>291</v>
      </c>
      <c r="F1045" t="s">
        <v>226</v>
      </c>
      <c r="G1045" t="s">
        <v>219</v>
      </c>
      <c r="H1045">
        <f>VLOOKUP(C1045,'TB Apr 24'!$B$13:$U$103,20,0)</f>
        <v>0</v>
      </c>
    </row>
    <row r="1046" spans="1:8" x14ac:dyDescent="0.35">
      <c r="A1046" s="77">
        <v>45383</v>
      </c>
      <c r="B1046" s="3" t="s">
        <v>104</v>
      </c>
      <c r="C1046" s="4" t="s">
        <v>105</v>
      </c>
      <c r="D1046" s="4" t="s">
        <v>314</v>
      </c>
      <c r="E1046" s="4" t="s">
        <v>291</v>
      </c>
      <c r="F1046" t="s">
        <v>226</v>
      </c>
      <c r="G1046" t="s">
        <v>219</v>
      </c>
      <c r="H1046">
        <f>VLOOKUP(C1046,'TB Apr 24'!$B$13:$U$103,20,0)</f>
        <v>0</v>
      </c>
    </row>
    <row r="1047" spans="1:8" x14ac:dyDescent="0.35">
      <c r="A1047" s="77">
        <v>45383</v>
      </c>
      <c r="B1047" s="3" t="s">
        <v>106</v>
      </c>
      <c r="C1047" s="4" t="s">
        <v>107</v>
      </c>
      <c r="D1047" s="4" t="s">
        <v>314</v>
      </c>
      <c r="E1047" s="4" t="s">
        <v>321</v>
      </c>
      <c r="F1047" t="s">
        <v>226</v>
      </c>
      <c r="G1047" t="s">
        <v>219</v>
      </c>
      <c r="H1047">
        <f>VLOOKUP(C1047,'TB Apr 24'!$B$13:$U$103,20,0)</f>
        <v>0</v>
      </c>
    </row>
    <row r="1048" spans="1:8" x14ac:dyDescent="0.35">
      <c r="A1048" s="77">
        <v>45383</v>
      </c>
      <c r="B1048" s="3" t="s">
        <v>108</v>
      </c>
      <c r="C1048" s="4" t="s">
        <v>109</v>
      </c>
      <c r="D1048" s="4" t="s">
        <v>314</v>
      </c>
      <c r="E1048" s="4" t="s">
        <v>321</v>
      </c>
      <c r="F1048" t="s">
        <v>226</v>
      </c>
      <c r="G1048" t="s">
        <v>219</v>
      </c>
      <c r="H1048">
        <f>VLOOKUP(C1048,'TB Apr 24'!$B$13:$U$103,20,0)</f>
        <v>0</v>
      </c>
    </row>
    <row r="1049" spans="1:8" x14ac:dyDescent="0.35">
      <c r="A1049" s="77">
        <v>45383</v>
      </c>
      <c r="B1049" s="3" t="s">
        <v>110</v>
      </c>
      <c r="C1049" s="4" t="s">
        <v>111</v>
      </c>
      <c r="D1049" s="4" t="s">
        <v>314</v>
      </c>
      <c r="E1049" s="4" t="s">
        <v>320</v>
      </c>
      <c r="F1049" t="s">
        <v>226</v>
      </c>
      <c r="G1049" t="s">
        <v>219</v>
      </c>
      <c r="H1049">
        <f>VLOOKUP(C1049,'TB Apr 24'!$B$13:$U$103,20,0)</f>
        <v>0</v>
      </c>
    </row>
    <row r="1050" spans="1:8" x14ac:dyDescent="0.35">
      <c r="A1050" s="77">
        <v>45383</v>
      </c>
      <c r="B1050" s="3" t="s">
        <v>112</v>
      </c>
      <c r="C1050" s="4" t="s">
        <v>113</v>
      </c>
      <c r="D1050" s="4" t="s">
        <v>314</v>
      </c>
      <c r="E1050" s="4" t="s">
        <v>321</v>
      </c>
      <c r="F1050" t="s">
        <v>226</v>
      </c>
      <c r="G1050" t="s">
        <v>219</v>
      </c>
      <c r="H1050">
        <f>VLOOKUP(C1050,'TB Apr 24'!$B$13:$U$103,20,0)</f>
        <v>2327</v>
      </c>
    </row>
    <row r="1051" spans="1:8" x14ac:dyDescent="0.35">
      <c r="A1051" s="77">
        <v>45383</v>
      </c>
      <c r="B1051" s="3" t="s">
        <v>311</v>
      </c>
      <c r="C1051" s="4" t="s">
        <v>312</v>
      </c>
      <c r="D1051" s="4" t="s">
        <v>314</v>
      </c>
      <c r="E1051" s="4" t="s">
        <v>288</v>
      </c>
      <c r="F1051" t="s">
        <v>226</v>
      </c>
      <c r="G1051" t="s">
        <v>219</v>
      </c>
      <c r="H1051">
        <f>VLOOKUP(C1051,'TB Apr 24'!$B$13:$U$103,20,0)</f>
        <v>0</v>
      </c>
    </row>
    <row r="1052" spans="1:8" x14ac:dyDescent="0.35">
      <c r="A1052" s="77">
        <v>45383</v>
      </c>
      <c r="B1052" s="3" t="s">
        <v>114</v>
      </c>
      <c r="C1052" s="4" t="s">
        <v>115</v>
      </c>
      <c r="D1052" s="4" t="s">
        <v>314</v>
      </c>
      <c r="E1052" s="4" t="s">
        <v>294</v>
      </c>
      <c r="F1052" t="s">
        <v>226</v>
      </c>
      <c r="G1052" t="s">
        <v>219</v>
      </c>
      <c r="H1052">
        <f>VLOOKUP(C1052,'TB Apr 24'!$B$13:$U$103,20,0)</f>
        <v>0</v>
      </c>
    </row>
    <row r="1053" spans="1:8" x14ac:dyDescent="0.35">
      <c r="A1053" s="77">
        <v>45383</v>
      </c>
      <c r="B1053" s="3" t="s">
        <v>116</v>
      </c>
      <c r="C1053" s="4" t="s">
        <v>117</v>
      </c>
      <c r="D1053" s="4" t="s">
        <v>314</v>
      </c>
      <c r="E1053" s="4" t="s">
        <v>296</v>
      </c>
      <c r="F1053" t="s">
        <v>226</v>
      </c>
      <c r="G1053" t="s">
        <v>219</v>
      </c>
      <c r="H1053">
        <f>VLOOKUP(C1053,'TB Apr 24'!$B$13:$U$103,20,0)</f>
        <v>0</v>
      </c>
    </row>
    <row r="1054" spans="1:8" x14ac:dyDescent="0.35">
      <c r="A1054" s="77">
        <v>45383</v>
      </c>
      <c r="B1054" s="3" t="s">
        <v>118</v>
      </c>
      <c r="C1054" s="4" t="s">
        <v>119</v>
      </c>
      <c r="D1054" s="4" t="s">
        <v>314</v>
      </c>
      <c r="E1054" s="4" t="s">
        <v>296</v>
      </c>
      <c r="F1054" t="s">
        <v>226</v>
      </c>
      <c r="G1054" t="s">
        <v>219</v>
      </c>
      <c r="H1054">
        <f>VLOOKUP(C1054,'TB Apr 24'!$B$13:$U$103,20,0)</f>
        <v>7000</v>
      </c>
    </row>
    <row r="1055" spans="1:8" x14ac:dyDescent="0.35">
      <c r="A1055" s="77">
        <v>45383</v>
      </c>
      <c r="B1055" s="3" t="s">
        <v>120</v>
      </c>
      <c r="C1055" s="4" t="s">
        <v>121</v>
      </c>
      <c r="D1055" s="4" t="s">
        <v>314</v>
      </c>
      <c r="E1055" s="4" t="s">
        <v>322</v>
      </c>
      <c r="F1055" t="s">
        <v>226</v>
      </c>
      <c r="G1055" t="s">
        <v>219</v>
      </c>
      <c r="H1055">
        <f>VLOOKUP(C1055,'TB Apr 24'!$B$13:$U$103,20,0)</f>
        <v>3580</v>
      </c>
    </row>
    <row r="1056" spans="1:8" x14ac:dyDescent="0.35">
      <c r="A1056" s="77">
        <v>45383</v>
      </c>
      <c r="B1056" s="3" t="s">
        <v>122</v>
      </c>
      <c r="C1056" s="4" t="s">
        <v>123</v>
      </c>
      <c r="D1056" s="4" t="s">
        <v>314</v>
      </c>
      <c r="E1056" s="4" t="s">
        <v>322</v>
      </c>
      <c r="F1056" t="s">
        <v>226</v>
      </c>
      <c r="G1056" t="s">
        <v>219</v>
      </c>
      <c r="H1056">
        <f>VLOOKUP(C1056,'TB Apr 24'!$B$13:$U$103,20,0)</f>
        <v>0</v>
      </c>
    </row>
    <row r="1057" spans="1:8" x14ac:dyDescent="0.35">
      <c r="A1057" s="77">
        <v>45383</v>
      </c>
      <c r="B1057" s="3" t="s">
        <v>124</v>
      </c>
      <c r="C1057" s="4" t="s">
        <v>125</v>
      </c>
      <c r="D1057" s="4" t="s">
        <v>314</v>
      </c>
      <c r="E1057" s="4" t="s">
        <v>322</v>
      </c>
      <c r="F1057" t="s">
        <v>226</v>
      </c>
      <c r="G1057" t="s">
        <v>219</v>
      </c>
      <c r="H1057">
        <f>VLOOKUP(C1057,'TB Apr 24'!$B$13:$U$103,20,0)</f>
        <v>0</v>
      </c>
    </row>
    <row r="1058" spans="1:8" x14ac:dyDescent="0.35">
      <c r="A1058" s="77">
        <v>45383</v>
      </c>
      <c r="B1058" s="3" t="s">
        <v>126</v>
      </c>
      <c r="C1058" s="4" t="s">
        <v>127</v>
      </c>
      <c r="D1058" s="4" t="s">
        <v>314</v>
      </c>
      <c r="E1058" s="4" t="s">
        <v>291</v>
      </c>
      <c r="F1058" t="s">
        <v>226</v>
      </c>
      <c r="G1058" t="s">
        <v>219</v>
      </c>
      <c r="H1058">
        <f>VLOOKUP(C1058,'TB Apr 24'!$B$13:$U$103,20,0)</f>
        <v>0</v>
      </c>
    </row>
    <row r="1059" spans="1:8" x14ac:dyDescent="0.35">
      <c r="A1059" s="77">
        <v>45383</v>
      </c>
      <c r="B1059" s="3" t="s">
        <v>128</v>
      </c>
      <c r="C1059" s="4" t="s">
        <v>129</v>
      </c>
      <c r="D1059" s="4" t="s">
        <v>314</v>
      </c>
      <c r="E1059" s="4" t="s">
        <v>322</v>
      </c>
      <c r="F1059" t="s">
        <v>226</v>
      </c>
      <c r="G1059" t="s">
        <v>219</v>
      </c>
      <c r="H1059">
        <f>VLOOKUP(C1059,'TB Apr 24'!$B$13:$U$103,20,0)</f>
        <v>71537</v>
      </c>
    </row>
    <row r="1060" spans="1:8" x14ac:dyDescent="0.35">
      <c r="A1060" s="77">
        <v>45383</v>
      </c>
      <c r="B1060" s="3" t="s">
        <v>130</v>
      </c>
      <c r="C1060" s="4" t="s">
        <v>131</v>
      </c>
      <c r="D1060" s="4" t="s">
        <v>314</v>
      </c>
      <c r="E1060" s="4" t="s">
        <v>322</v>
      </c>
      <c r="F1060" t="s">
        <v>226</v>
      </c>
      <c r="G1060" t="s">
        <v>219</v>
      </c>
      <c r="H1060">
        <f>VLOOKUP(C1060,'TB Apr 24'!$B$13:$U$103,20,0)</f>
        <v>1200</v>
      </c>
    </row>
    <row r="1061" spans="1:8" x14ac:dyDescent="0.35">
      <c r="A1061" s="77">
        <v>45383</v>
      </c>
      <c r="B1061" s="3" t="s">
        <v>132</v>
      </c>
      <c r="C1061" s="4" t="s">
        <v>133</v>
      </c>
      <c r="D1061" s="4" t="s">
        <v>314</v>
      </c>
      <c r="E1061" s="4" t="s">
        <v>320</v>
      </c>
      <c r="F1061" t="s">
        <v>226</v>
      </c>
      <c r="G1061" t="s">
        <v>219</v>
      </c>
      <c r="H1061">
        <f>VLOOKUP(C1061,'TB Apr 24'!$B$13:$U$103,20,0)</f>
        <v>29206</v>
      </c>
    </row>
    <row r="1062" spans="1:8" x14ac:dyDescent="0.35">
      <c r="A1062" s="77">
        <v>45383</v>
      </c>
      <c r="B1062" s="3" t="s">
        <v>134</v>
      </c>
      <c r="C1062" s="4" t="s">
        <v>135</v>
      </c>
      <c r="D1062" s="4" t="s">
        <v>314</v>
      </c>
      <c r="E1062" s="4" t="s">
        <v>299</v>
      </c>
      <c r="F1062" t="s">
        <v>226</v>
      </c>
      <c r="G1062" t="s">
        <v>219</v>
      </c>
      <c r="H1062">
        <f>VLOOKUP(C1062,'TB Apr 24'!$B$13:$U$103,20,0)</f>
        <v>0</v>
      </c>
    </row>
    <row r="1063" spans="1:8" x14ac:dyDescent="0.35">
      <c r="A1063" s="77">
        <v>45383</v>
      </c>
      <c r="B1063" s="3" t="s">
        <v>136</v>
      </c>
      <c r="C1063" s="4" t="s">
        <v>137</v>
      </c>
      <c r="D1063" s="4" t="s">
        <v>314</v>
      </c>
      <c r="E1063" s="4" t="s">
        <v>322</v>
      </c>
      <c r="F1063" t="s">
        <v>226</v>
      </c>
      <c r="G1063" t="s">
        <v>219</v>
      </c>
      <c r="H1063">
        <f>VLOOKUP(C1063,'TB Apr 24'!$B$13:$U$103,20,0)</f>
        <v>0</v>
      </c>
    </row>
    <row r="1064" spans="1:8" x14ac:dyDescent="0.35">
      <c r="A1064" s="77">
        <v>45383</v>
      </c>
      <c r="B1064" s="3" t="s">
        <v>138</v>
      </c>
      <c r="C1064" s="4" t="s">
        <v>139</v>
      </c>
      <c r="D1064" s="4" t="s">
        <v>314</v>
      </c>
      <c r="E1064" s="4" t="s">
        <v>294</v>
      </c>
      <c r="F1064" t="s">
        <v>226</v>
      </c>
      <c r="G1064" t="s">
        <v>219</v>
      </c>
      <c r="H1064">
        <f>VLOOKUP(C1064,'TB Apr 24'!$B$13:$U$103,20,0)</f>
        <v>3990</v>
      </c>
    </row>
    <row r="1065" spans="1:8" x14ac:dyDescent="0.35">
      <c r="A1065" s="77">
        <v>45383</v>
      </c>
      <c r="B1065" s="3" t="s">
        <v>140</v>
      </c>
      <c r="C1065" s="4" t="s">
        <v>141</v>
      </c>
      <c r="D1065" s="4" t="s">
        <v>314</v>
      </c>
      <c r="E1065" s="4" t="s">
        <v>268</v>
      </c>
      <c r="F1065" t="s">
        <v>226</v>
      </c>
      <c r="G1065" t="s">
        <v>219</v>
      </c>
      <c r="H1065">
        <f>VLOOKUP(C1065,'TB Apr 24'!$B$13:$U$103,20,0)</f>
        <v>387072.87520000001</v>
      </c>
    </row>
    <row r="1066" spans="1:8" x14ac:dyDescent="0.35">
      <c r="A1066" s="77">
        <v>45383</v>
      </c>
      <c r="B1066" s="3" t="s">
        <v>142</v>
      </c>
      <c r="C1066" s="4" t="s">
        <v>143</v>
      </c>
      <c r="D1066" s="4" t="s">
        <v>314</v>
      </c>
      <c r="E1066" s="4" t="s">
        <v>269</v>
      </c>
      <c r="F1066" t="s">
        <v>226</v>
      </c>
      <c r="G1066" t="s">
        <v>219</v>
      </c>
      <c r="H1066">
        <f>VLOOKUP(C1066,'TB Apr 24'!$B$13:$U$103,20,0)</f>
        <v>157066</v>
      </c>
    </row>
    <row r="1067" spans="1:8" x14ac:dyDescent="0.35">
      <c r="A1067" s="77">
        <v>45383</v>
      </c>
      <c r="B1067" s="3" t="s">
        <v>144</v>
      </c>
      <c r="C1067" s="4" t="s">
        <v>145</v>
      </c>
      <c r="D1067" s="4" t="s">
        <v>314</v>
      </c>
      <c r="E1067" s="4" t="s">
        <v>288</v>
      </c>
      <c r="F1067" t="s">
        <v>226</v>
      </c>
      <c r="G1067" t="s">
        <v>219</v>
      </c>
      <c r="H1067">
        <f>VLOOKUP(C1067,'TB Apr 24'!$B$13:$U$103,20,0)</f>
        <v>71677</v>
      </c>
    </row>
    <row r="1068" spans="1:8" x14ac:dyDescent="0.35">
      <c r="A1068" s="77">
        <v>45383</v>
      </c>
      <c r="B1068" s="3" t="s">
        <v>146</v>
      </c>
      <c r="C1068" s="4" t="s">
        <v>147</v>
      </c>
      <c r="D1068" s="4" t="s">
        <v>314</v>
      </c>
      <c r="E1068" s="4" t="s">
        <v>288</v>
      </c>
      <c r="F1068" t="s">
        <v>226</v>
      </c>
      <c r="G1068" t="s">
        <v>219</v>
      </c>
      <c r="H1068">
        <f>VLOOKUP(C1068,'TB Apr 24'!$B$13:$U$103,20,0)</f>
        <v>24095.916666666668</v>
      </c>
    </row>
    <row r="1069" spans="1:8" x14ac:dyDescent="0.35">
      <c r="A1069" s="77">
        <v>45383</v>
      </c>
      <c r="B1069" s="3" t="s">
        <v>148</v>
      </c>
      <c r="C1069" s="4" t="s">
        <v>149</v>
      </c>
      <c r="D1069" s="4" t="s">
        <v>314</v>
      </c>
      <c r="E1069" s="4" t="s">
        <v>287</v>
      </c>
      <c r="F1069" t="s">
        <v>226</v>
      </c>
      <c r="G1069" t="s">
        <v>219</v>
      </c>
      <c r="H1069">
        <f>VLOOKUP(C1069,'TB Apr 24'!$B$13:$U$103,20,0)</f>
        <v>140817</v>
      </c>
    </row>
    <row r="1070" spans="1:8" x14ac:dyDescent="0.35">
      <c r="A1070" s="77">
        <v>45383</v>
      </c>
      <c r="B1070" s="3" t="s">
        <v>150</v>
      </c>
      <c r="C1070" s="4" t="s">
        <v>87</v>
      </c>
      <c r="D1070" s="4" t="s">
        <v>314</v>
      </c>
      <c r="E1070" s="4" t="s">
        <v>288</v>
      </c>
      <c r="F1070" t="s">
        <v>226</v>
      </c>
      <c r="G1070" t="s">
        <v>219</v>
      </c>
      <c r="H1070">
        <f>VLOOKUP(C1070,'TB Apr 24'!$B$13:$U$103,20,0)</f>
        <v>97634</v>
      </c>
    </row>
    <row r="1071" spans="1:8" x14ac:dyDescent="0.35">
      <c r="A1071" s="77">
        <v>45383</v>
      </c>
      <c r="B1071" s="3" t="s">
        <v>151</v>
      </c>
      <c r="C1071" s="4" t="s">
        <v>152</v>
      </c>
      <c r="D1071" s="4" t="s">
        <v>314</v>
      </c>
      <c r="E1071" s="4" t="s">
        <v>288</v>
      </c>
      <c r="F1071" t="s">
        <v>226</v>
      </c>
      <c r="G1071" t="s">
        <v>219</v>
      </c>
      <c r="H1071">
        <f>VLOOKUP(C1071,'TB Apr 24'!$B$13:$U$103,20,0)</f>
        <v>7301</v>
      </c>
    </row>
    <row r="1072" spans="1:8" x14ac:dyDescent="0.35">
      <c r="A1072" s="77">
        <v>45383</v>
      </c>
      <c r="B1072" s="3" t="s">
        <v>153</v>
      </c>
      <c r="C1072" s="4" t="s">
        <v>154</v>
      </c>
      <c r="D1072" s="4" t="s">
        <v>314</v>
      </c>
      <c r="E1072" s="4" t="s">
        <v>288</v>
      </c>
      <c r="F1072" t="s">
        <v>226</v>
      </c>
      <c r="G1072" t="s">
        <v>219</v>
      </c>
      <c r="H1072">
        <f>VLOOKUP(C1072,'TB Apr 24'!$B$13:$U$103,20,0)</f>
        <v>20850</v>
      </c>
    </row>
    <row r="1073" spans="1:8" x14ac:dyDescent="0.35">
      <c r="A1073" s="77">
        <v>45383</v>
      </c>
      <c r="B1073" s="3" t="s">
        <v>155</v>
      </c>
      <c r="C1073" s="4" t="s">
        <v>156</v>
      </c>
      <c r="D1073" s="4" t="s">
        <v>314</v>
      </c>
      <c r="E1073" s="4" t="s">
        <v>288</v>
      </c>
      <c r="F1073" t="s">
        <v>226</v>
      </c>
      <c r="G1073" t="s">
        <v>219</v>
      </c>
      <c r="H1073">
        <f>VLOOKUP(C1073,'TB Apr 24'!$B$13:$U$103,20,0)</f>
        <v>0</v>
      </c>
    </row>
    <row r="1074" spans="1:8" x14ac:dyDescent="0.35">
      <c r="A1074" s="77">
        <v>45383</v>
      </c>
      <c r="B1074" s="3" t="s">
        <v>157</v>
      </c>
      <c r="C1074" s="4" t="s">
        <v>158</v>
      </c>
      <c r="D1074" s="4" t="s">
        <v>314</v>
      </c>
      <c r="E1074" s="4" t="s">
        <v>292</v>
      </c>
      <c r="F1074" t="s">
        <v>226</v>
      </c>
      <c r="G1074" t="s">
        <v>219</v>
      </c>
      <c r="H1074">
        <f>VLOOKUP(C1074,'TB Apr 24'!$B$13:$U$103,20,0)</f>
        <v>35000</v>
      </c>
    </row>
    <row r="1075" spans="1:8" x14ac:dyDescent="0.35">
      <c r="A1075" s="77">
        <v>45383</v>
      </c>
      <c r="B1075" s="3" t="s">
        <v>159</v>
      </c>
      <c r="C1075" s="4" t="s">
        <v>160</v>
      </c>
      <c r="D1075" s="4" t="s">
        <v>314</v>
      </c>
      <c r="E1075" s="4" t="s">
        <v>323</v>
      </c>
      <c r="F1075" t="s">
        <v>226</v>
      </c>
      <c r="G1075" t="s">
        <v>219</v>
      </c>
      <c r="H1075">
        <f>VLOOKUP(C1075,'TB Apr 24'!$B$13:$U$103,20,0)</f>
        <v>51276</v>
      </c>
    </row>
    <row r="1076" spans="1:8" x14ac:dyDescent="0.35">
      <c r="A1076" s="77">
        <v>45383</v>
      </c>
      <c r="B1076" s="3" t="s">
        <v>161</v>
      </c>
      <c r="C1076" s="4" t="s">
        <v>162</v>
      </c>
      <c r="D1076" s="4" t="s">
        <v>314</v>
      </c>
      <c r="E1076" s="4" t="s">
        <v>323</v>
      </c>
      <c r="F1076" t="s">
        <v>226</v>
      </c>
      <c r="G1076" t="s">
        <v>219</v>
      </c>
      <c r="H1076">
        <f>VLOOKUP(C1076,'TB Apr 24'!$B$13:$U$103,20,0)</f>
        <v>103252</v>
      </c>
    </row>
    <row r="1077" spans="1:8" x14ac:dyDescent="0.35">
      <c r="A1077" s="77">
        <v>45383</v>
      </c>
      <c r="B1077" s="3" t="s">
        <v>163</v>
      </c>
      <c r="C1077" s="4" t="s">
        <v>164</v>
      </c>
      <c r="D1077" s="4" t="s">
        <v>314</v>
      </c>
      <c r="E1077" s="4" t="s">
        <v>319</v>
      </c>
      <c r="F1077" t="s">
        <v>226</v>
      </c>
      <c r="G1077" t="s">
        <v>219</v>
      </c>
      <c r="H1077">
        <f>VLOOKUP(C1077,'TB Apr 24'!$B$13:$U$103,20,0)</f>
        <v>29666</v>
      </c>
    </row>
    <row r="1078" spans="1:8" x14ac:dyDescent="0.35">
      <c r="A1078" s="77">
        <v>45383</v>
      </c>
      <c r="B1078" s="3" t="s">
        <v>165</v>
      </c>
      <c r="C1078" s="4" t="s">
        <v>166</v>
      </c>
      <c r="D1078" s="4" t="s">
        <v>314</v>
      </c>
      <c r="E1078" s="4" t="s">
        <v>304</v>
      </c>
      <c r="F1078" t="s">
        <v>226</v>
      </c>
      <c r="G1078" t="s">
        <v>219</v>
      </c>
      <c r="H1078">
        <f>VLOOKUP(C1078,'TB Apr 24'!$B$13:$U$103,20,0)</f>
        <v>0</v>
      </c>
    </row>
    <row r="1079" spans="1:8" x14ac:dyDescent="0.35">
      <c r="A1079" s="77">
        <v>45383</v>
      </c>
      <c r="B1079" s="3" t="s">
        <v>167</v>
      </c>
      <c r="C1079" s="4" t="s">
        <v>168</v>
      </c>
      <c r="D1079" s="4" t="s">
        <v>314</v>
      </c>
      <c r="E1079" s="4" t="s">
        <v>322</v>
      </c>
      <c r="F1079" t="s">
        <v>226</v>
      </c>
      <c r="G1079" t="s">
        <v>219</v>
      </c>
      <c r="H1079">
        <f>VLOOKUP(C1079,'TB Apr 24'!$B$13:$U$103,20,0)</f>
        <v>0</v>
      </c>
    </row>
    <row r="1080" spans="1:8" x14ac:dyDescent="0.35">
      <c r="A1080" s="77">
        <v>45383</v>
      </c>
      <c r="B1080" s="3" t="s">
        <v>169</v>
      </c>
      <c r="C1080" s="4" t="s">
        <v>170</v>
      </c>
      <c r="D1080" s="4" t="s">
        <v>314</v>
      </c>
      <c r="E1080" s="4" t="s">
        <v>304</v>
      </c>
      <c r="F1080" t="s">
        <v>226</v>
      </c>
      <c r="G1080" t="s">
        <v>219</v>
      </c>
      <c r="H1080">
        <f>VLOOKUP(C1080,'TB Apr 24'!$B$13:$U$103,20,0)</f>
        <v>9055</v>
      </c>
    </row>
    <row r="1081" spans="1:8" x14ac:dyDescent="0.35">
      <c r="A1081" s="77">
        <v>45383</v>
      </c>
      <c r="B1081" s="3" t="s">
        <v>171</v>
      </c>
      <c r="C1081" s="4" t="s">
        <v>172</v>
      </c>
      <c r="D1081" s="4" t="s">
        <v>314</v>
      </c>
      <c r="E1081" s="4" t="s">
        <v>303</v>
      </c>
      <c r="F1081" t="s">
        <v>226</v>
      </c>
      <c r="G1081" t="s">
        <v>219</v>
      </c>
      <c r="H1081">
        <f>VLOOKUP(C1081,'TB Apr 24'!$B$13:$U$103,20,0)</f>
        <v>0</v>
      </c>
    </row>
    <row r="1082" spans="1:8" x14ac:dyDescent="0.35">
      <c r="A1082" s="77">
        <v>45383</v>
      </c>
      <c r="B1082" s="3" t="s">
        <v>173</v>
      </c>
      <c r="C1082" s="4" t="s">
        <v>174</v>
      </c>
      <c r="D1082" s="4" t="s">
        <v>314</v>
      </c>
      <c r="E1082" s="4" t="s">
        <v>257</v>
      </c>
      <c r="F1082" t="s">
        <v>226</v>
      </c>
      <c r="G1082" t="s">
        <v>219</v>
      </c>
      <c r="H1082">
        <f>VLOOKUP(C1082,'TB Apr 24'!$B$13:$U$103,20,0)</f>
        <v>0</v>
      </c>
    </row>
    <row r="1083" spans="1:8" x14ac:dyDescent="0.35">
      <c r="A1083" s="77">
        <v>45383</v>
      </c>
      <c r="B1083" s="3" t="s">
        <v>175</v>
      </c>
      <c r="C1083" s="4" t="s">
        <v>176</v>
      </c>
      <c r="D1083" s="4" t="s">
        <v>314</v>
      </c>
      <c r="E1083" s="4" t="s">
        <v>257</v>
      </c>
      <c r="F1083" t="s">
        <v>226</v>
      </c>
      <c r="G1083" t="s">
        <v>219</v>
      </c>
      <c r="H1083">
        <f>VLOOKUP(C1083,'TB Apr 24'!$B$13:$U$103,20,0)</f>
        <v>0</v>
      </c>
    </row>
    <row r="1084" spans="1:8" x14ac:dyDescent="0.35">
      <c r="A1084" s="77">
        <v>45383</v>
      </c>
      <c r="B1084" s="3" t="s">
        <v>177</v>
      </c>
      <c r="C1084" s="4" t="s">
        <v>178</v>
      </c>
      <c r="D1084" s="4" t="s">
        <v>314</v>
      </c>
      <c r="E1084" s="4" t="s">
        <v>257</v>
      </c>
      <c r="F1084" t="s">
        <v>226</v>
      </c>
      <c r="G1084" t="s">
        <v>219</v>
      </c>
      <c r="H1084">
        <f>VLOOKUP(C1084,'TB Apr 24'!$B$13:$U$103,20,0)</f>
        <v>0</v>
      </c>
    </row>
    <row r="1085" spans="1:8" x14ac:dyDescent="0.35">
      <c r="A1085" s="77">
        <v>45383</v>
      </c>
      <c r="B1085" s="3" t="s">
        <v>179</v>
      </c>
      <c r="C1085" s="4" t="s">
        <v>180</v>
      </c>
      <c r="D1085" s="4" t="s">
        <v>314</v>
      </c>
      <c r="E1085" s="4" t="s">
        <v>322</v>
      </c>
      <c r="F1085" t="s">
        <v>226</v>
      </c>
      <c r="G1085" t="s">
        <v>219</v>
      </c>
      <c r="H1085">
        <f>VLOOKUP(C1085,'TB Apr 24'!$B$13:$U$103,20,0)</f>
        <v>500</v>
      </c>
    </row>
    <row r="1086" spans="1:8" x14ac:dyDescent="0.35">
      <c r="A1086" s="77">
        <v>45383</v>
      </c>
      <c r="B1086" s="3" t="s">
        <v>181</v>
      </c>
      <c r="C1086" s="4" t="s">
        <v>182</v>
      </c>
      <c r="D1086" s="4" t="s">
        <v>314</v>
      </c>
      <c r="E1086" s="4" t="s">
        <v>290</v>
      </c>
      <c r="F1086" t="s">
        <v>226</v>
      </c>
      <c r="G1086" t="s">
        <v>219</v>
      </c>
      <c r="H1086">
        <f>VLOOKUP(C1086,'TB Apr 24'!$B$13:$U$103,20,0)</f>
        <v>0</v>
      </c>
    </row>
    <row r="1087" spans="1:8" x14ac:dyDescent="0.35">
      <c r="A1087" s="77">
        <v>45383</v>
      </c>
      <c r="B1087" s="3" t="s">
        <v>183</v>
      </c>
      <c r="C1087" s="4" t="s">
        <v>184</v>
      </c>
      <c r="D1087" s="4" t="s">
        <v>314</v>
      </c>
      <c r="E1087" s="4" t="s">
        <v>290</v>
      </c>
      <c r="F1087" t="s">
        <v>226</v>
      </c>
      <c r="G1087" t="s">
        <v>219</v>
      </c>
      <c r="H1087">
        <f>VLOOKUP(C1087,'TB Apr 24'!$B$13:$U$103,20,0)</f>
        <v>0</v>
      </c>
    </row>
    <row r="1088" spans="1:8" x14ac:dyDescent="0.35">
      <c r="A1088" s="77">
        <v>45383</v>
      </c>
      <c r="B1088" s="3" t="s">
        <v>185</v>
      </c>
      <c r="C1088" s="4" t="s">
        <v>186</v>
      </c>
      <c r="D1088" s="4" t="s">
        <v>314</v>
      </c>
      <c r="E1088" s="4" t="s">
        <v>290</v>
      </c>
      <c r="F1088" t="s">
        <v>226</v>
      </c>
      <c r="G1088" t="s">
        <v>219</v>
      </c>
      <c r="H1088">
        <f>VLOOKUP(C1088,'TB Apr 24'!$B$13:$U$103,20,0)</f>
        <v>0</v>
      </c>
    </row>
    <row r="1089" spans="1:8" x14ac:dyDescent="0.35">
      <c r="A1089" s="77">
        <v>45383</v>
      </c>
      <c r="B1089" s="3" t="s">
        <v>187</v>
      </c>
      <c r="C1089" s="4" t="s">
        <v>188</v>
      </c>
      <c r="D1089" s="4" t="s">
        <v>314</v>
      </c>
      <c r="E1089" s="4" t="s">
        <v>291</v>
      </c>
      <c r="F1089" t="s">
        <v>226</v>
      </c>
      <c r="G1089" t="s">
        <v>219</v>
      </c>
      <c r="H1089">
        <f>VLOOKUP(C1089,'TB Apr 24'!$B$13:$U$103,20,0)</f>
        <v>71734.399999999994</v>
      </c>
    </row>
    <row r="1090" spans="1:8" x14ac:dyDescent="0.35">
      <c r="A1090" s="77">
        <v>45383</v>
      </c>
      <c r="B1090" s="3" t="s">
        <v>189</v>
      </c>
      <c r="C1090" s="4" t="s">
        <v>190</v>
      </c>
      <c r="D1090" s="4" t="s">
        <v>314</v>
      </c>
      <c r="E1090" s="4" t="s">
        <v>254</v>
      </c>
      <c r="F1090" t="s">
        <v>226</v>
      </c>
      <c r="G1090" t="s">
        <v>219</v>
      </c>
      <c r="H1090">
        <f>VLOOKUP(C1090,'TB Apr 24'!$B$13:$U$103,20,0)</f>
        <v>0</v>
      </c>
    </row>
    <row r="1091" spans="1:8" x14ac:dyDescent="0.35">
      <c r="A1091" s="77">
        <v>45383</v>
      </c>
      <c r="B1091" s="3" t="s">
        <v>191</v>
      </c>
      <c r="C1091" s="4" t="s">
        <v>192</v>
      </c>
      <c r="D1091" s="4" t="s">
        <v>314</v>
      </c>
      <c r="E1091" s="4" t="s">
        <v>254</v>
      </c>
      <c r="F1091" t="s">
        <v>226</v>
      </c>
      <c r="G1091" t="s">
        <v>219</v>
      </c>
      <c r="H1091">
        <f>VLOOKUP(C1091,'TB Apr 24'!$B$13:$U$103,20,0)</f>
        <v>0</v>
      </c>
    </row>
    <row r="1092" spans="1:8" x14ac:dyDescent="0.35">
      <c r="A1092" s="77">
        <v>45383</v>
      </c>
      <c r="B1092" s="3" t="s">
        <v>193</v>
      </c>
      <c r="C1092" s="4" t="s">
        <v>194</v>
      </c>
      <c r="D1092" s="4" t="s">
        <v>314</v>
      </c>
      <c r="E1092" s="4" t="s">
        <v>254</v>
      </c>
      <c r="F1092" t="s">
        <v>226</v>
      </c>
      <c r="G1092" t="s">
        <v>219</v>
      </c>
      <c r="H1092">
        <f>VLOOKUP(C1092,'TB Apr 24'!$B$13:$U$103,20,0)</f>
        <v>907574</v>
      </c>
    </row>
    <row r="1093" spans="1:8" x14ac:dyDescent="0.35">
      <c r="A1093" s="77">
        <v>45383</v>
      </c>
      <c r="B1093" s="3" t="s">
        <v>195</v>
      </c>
      <c r="C1093" s="4" t="s">
        <v>196</v>
      </c>
      <c r="D1093" s="4" t="s">
        <v>314</v>
      </c>
      <c r="E1093" s="4" t="s">
        <v>255</v>
      </c>
      <c r="F1093" t="s">
        <v>226</v>
      </c>
      <c r="G1093" t="s">
        <v>219</v>
      </c>
      <c r="H1093">
        <f>VLOOKUP(C1093,'TB Apr 24'!$B$13:$U$103,20,0)</f>
        <v>0</v>
      </c>
    </row>
    <row r="1094" spans="1:8" x14ac:dyDescent="0.35">
      <c r="A1094" s="77">
        <v>45383</v>
      </c>
      <c r="B1094" s="3" t="s">
        <v>197</v>
      </c>
      <c r="C1094" s="4" t="s">
        <v>198</v>
      </c>
      <c r="D1094" s="4" t="s">
        <v>314</v>
      </c>
      <c r="E1094" s="4" t="s">
        <v>255</v>
      </c>
      <c r="F1094" t="s">
        <v>226</v>
      </c>
      <c r="G1094" t="s">
        <v>219</v>
      </c>
      <c r="H1094">
        <f>VLOOKUP(C1094,'TB Apr 24'!$B$13:$U$103,20,0)</f>
        <v>0</v>
      </c>
    </row>
    <row r="1095" spans="1:8" x14ac:dyDescent="0.35">
      <c r="A1095" s="77">
        <v>45383</v>
      </c>
      <c r="B1095" s="3" t="s">
        <v>199</v>
      </c>
      <c r="C1095" s="4" t="s">
        <v>200</v>
      </c>
      <c r="D1095" s="4" t="s">
        <v>314</v>
      </c>
      <c r="E1095" s="4" t="s">
        <v>254</v>
      </c>
      <c r="F1095" t="s">
        <v>226</v>
      </c>
      <c r="G1095" t="s">
        <v>219</v>
      </c>
      <c r="H1095">
        <f>VLOOKUP(C1095,'TB Apr 24'!$B$13:$U$103,20,0)</f>
        <v>0</v>
      </c>
    </row>
    <row r="1096" spans="1:8" x14ac:dyDescent="0.35">
      <c r="A1096" s="77">
        <v>45383</v>
      </c>
      <c r="B1096" s="3" t="s">
        <v>201</v>
      </c>
      <c r="C1096" s="4" t="s">
        <v>202</v>
      </c>
      <c r="D1096" s="4" t="s">
        <v>314</v>
      </c>
      <c r="E1096" s="4" t="s">
        <v>254</v>
      </c>
      <c r="F1096" t="s">
        <v>226</v>
      </c>
      <c r="G1096" t="s">
        <v>219</v>
      </c>
      <c r="H1096">
        <f>VLOOKUP(C1096,'TB Apr 24'!$B$13:$U$103,20,0)</f>
        <v>0</v>
      </c>
    </row>
    <row r="1097" spans="1:8" x14ac:dyDescent="0.35">
      <c r="A1097" s="77">
        <v>45383</v>
      </c>
      <c r="B1097" s="3" t="s">
        <v>203</v>
      </c>
      <c r="C1097" s="4" t="s">
        <v>204</v>
      </c>
      <c r="D1097" s="4" t="s">
        <v>314</v>
      </c>
      <c r="E1097" s="4" t="s">
        <v>256</v>
      </c>
      <c r="F1097" t="s">
        <v>226</v>
      </c>
      <c r="G1097" t="s">
        <v>219</v>
      </c>
      <c r="H1097">
        <f>VLOOKUP(C1097,'TB Apr 24'!$B$13:$U$103,20,0)</f>
        <v>0</v>
      </c>
    </row>
    <row r="1098" spans="1:8" x14ac:dyDescent="0.35">
      <c r="A1098" s="77">
        <v>45383</v>
      </c>
      <c r="B1098" s="3" t="s">
        <v>205</v>
      </c>
      <c r="C1098" s="6" t="s">
        <v>206</v>
      </c>
      <c r="D1098" s="4" t="s">
        <v>314</v>
      </c>
      <c r="E1098" s="6" t="s">
        <v>322</v>
      </c>
      <c r="F1098" s="79" t="s">
        <v>226</v>
      </c>
      <c r="G1098" s="79" t="s">
        <v>219</v>
      </c>
      <c r="H1098" s="79">
        <f>VLOOKUP(C1098,'TB Apr 24'!$B$13:$U$103,20,0)</f>
        <v>0</v>
      </c>
    </row>
    <row r="1099" spans="1:8" x14ac:dyDescent="0.35">
      <c r="A1099" s="77">
        <v>45383</v>
      </c>
      <c r="B1099" s="3" t="s">
        <v>57</v>
      </c>
      <c r="C1099" s="4" t="s">
        <v>58</v>
      </c>
      <c r="D1099" s="4" t="s">
        <v>314</v>
      </c>
      <c r="E1099" s="4" t="s">
        <v>253</v>
      </c>
      <c r="F1099" t="s">
        <v>228</v>
      </c>
      <c r="G1099" t="s">
        <v>221</v>
      </c>
      <c r="H1099">
        <f>VLOOKUP(C1099,'TB Apr 24'!$B$13:$W$103,22,0)</f>
        <v>0</v>
      </c>
    </row>
    <row r="1100" spans="1:8" x14ac:dyDescent="0.35">
      <c r="A1100" s="77">
        <v>45383</v>
      </c>
      <c r="B1100" s="3" t="s">
        <v>307</v>
      </c>
      <c r="C1100" s="4" t="s">
        <v>308</v>
      </c>
      <c r="D1100" s="4" t="s">
        <v>314</v>
      </c>
      <c r="E1100" s="4" t="s">
        <v>253</v>
      </c>
      <c r="F1100" t="s">
        <v>228</v>
      </c>
      <c r="G1100" t="s">
        <v>221</v>
      </c>
      <c r="H1100">
        <f>VLOOKUP(C1100,'TB Apr 24'!$B$13:$W$103,22,0)</f>
        <v>0</v>
      </c>
    </row>
    <row r="1101" spans="1:8" x14ac:dyDescent="0.35">
      <c r="A1101" s="77">
        <v>45383</v>
      </c>
      <c r="B1101" s="3" t="s">
        <v>59</v>
      </c>
      <c r="C1101" s="4" t="s">
        <v>60</v>
      </c>
      <c r="D1101" s="4" t="s">
        <v>314</v>
      </c>
      <c r="E1101" s="4" t="s">
        <v>253</v>
      </c>
      <c r="F1101" t="s">
        <v>228</v>
      </c>
      <c r="G1101" t="s">
        <v>221</v>
      </c>
      <c r="H1101">
        <f>VLOOKUP(C1101,'TB Apr 24'!$B$13:$W$103,22,0)</f>
        <v>-24.24</v>
      </c>
    </row>
    <row r="1102" spans="1:8" x14ac:dyDescent="0.35">
      <c r="A1102" s="77">
        <v>45383</v>
      </c>
      <c r="B1102" s="3" t="s">
        <v>61</v>
      </c>
      <c r="C1102" s="4" t="s">
        <v>62</v>
      </c>
      <c r="D1102" s="4" t="s">
        <v>314</v>
      </c>
      <c r="E1102" s="4" t="s">
        <v>66</v>
      </c>
      <c r="F1102" t="s">
        <v>228</v>
      </c>
      <c r="G1102" t="s">
        <v>221</v>
      </c>
      <c r="H1102">
        <f>VLOOKUP(C1102,'TB Apr 24'!$B$13:$W$103,22,0)</f>
        <v>-7364.03</v>
      </c>
    </row>
    <row r="1103" spans="1:8" x14ac:dyDescent="0.35">
      <c r="A1103" s="77">
        <v>45383</v>
      </c>
      <c r="B1103" s="3" t="s">
        <v>63</v>
      </c>
      <c r="C1103" s="4" t="s">
        <v>64</v>
      </c>
      <c r="D1103" s="4" t="s">
        <v>314</v>
      </c>
      <c r="E1103" s="4" t="s">
        <v>252</v>
      </c>
      <c r="F1103" t="s">
        <v>228</v>
      </c>
      <c r="G1103" t="s">
        <v>221</v>
      </c>
      <c r="H1103">
        <f>VLOOKUP(C1103,'TB Apr 24'!$B$13:$W$103,22,0)</f>
        <v>0</v>
      </c>
    </row>
    <row r="1104" spans="1:8" x14ac:dyDescent="0.35">
      <c r="A1104" s="77">
        <v>45383</v>
      </c>
      <c r="B1104" s="3" t="s">
        <v>65</v>
      </c>
      <c r="C1104" s="4" t="s">
        <v>66</v>
      </c>
      <c r="D1104" s="4" t="s">
        <v>314</v>
      </c>
      <c r="E1104" s="4" t="s">
        <v>66</v>
      </c>
      <c r="F1104" t="s">
        <v>228</v>
      </c>
      <c r="G1104" t="s">
        <v>221</v>
      </c>
      <c r="H1104">
        <f>VLOOKUP(C1104,'TB Apr 24'!$B$13:$W$103,22,0)</f>
        <v>-534094.43000000005</v>
      </c>
    </row>
    <row r="1105" spans="1:8" x14ac:dyDescent="0.35">
      <c r="A1105" s="77">
        <v>45383</v>
      </c>
      <c r="B1105" s="3" t="s">
        <v>67</v>
      </c>
      <c r="C1105" s="4" t="s">
        <v>68</v>
      </c>
      <c r="D1105" s="4" t="s">
        <v>314</v>
      </c>
      <c r="E1105" s="4" t="s">
        <v>252</v>
      </c>
      <c r="F1105" t="s">
        <v>228</v>
      </c>
      <c r="G1105" t="s">
        <v>221</v>
      </c>
      <c r="H1105">
        <f>VLOOKUP(C1105,'TB Apr 24'!$B$13:$W$103,22,0)</f>
        <v>-164228.06</v>
      </c>
    </row>
    <row r="1106" spans="1:8" x14ac:dyDescent="0.35">
      <c r="A1106" s="77">
        <v>45383</v>
      </c>
      <c r="B1106" s="3" t="s">
        <v>69</v>
      </c>
      <c r="C1106" s="4" t="s">
        <v>70</v>
      </c>
      <c r="D1106" s="4" t="s">
        <v>314</v>
      </c>
      <c r="E1106" s="4" t="s">
        <v>70</v>
      </c>
      <c r="F1106" t="s">
        <v>228</v>
      </c>
      <c r="G1106" t="s">
        <v>221</v>
      </c>
      <c r="H1106">
        <f>VLOOKUP(C1106,'TB Apr 24'!$B$13:$W$103,22,0)</f>
        <v>-297235.34000000003</v>
      </c>
    </row>
    <row r="1107" spans="1:8" x14ac:dyDescent="0.35">
      <c r="A1107" s="77">
        <v>45383</v>
      </c>
      <c r="B1107" s="3" t="s">
        <v>71</v>
      </c>
      <c r="C1107" s="4" t="s">
        <v>72</v>
      </c>
      <c r="D1107" s="4" t="s">
        <v>314</v>
      </c>
      <c r="E1107" s="4" t="s">
        <v>253</v>
      </c>
      <c r="F1107" t="s">
        <v>228</v>
      </c>
      <c r="G1107" t="s">
        <v>221</v>
      </c>
      <c r="H1107">
        <f>VLOOKUP(C1107,'TB Apr 24'!$B$13:$W$103,22,0)</f>
        <v>0</v>
      </c>
    </row>
    <row r="1108" spans="1:8" x14ac:dyDescent="0.35">
      <c r="A1108" s="77">
        <v>45383</v>
      </c>
      <c r="B1108" s="3" t="s">
        <v>73</v>
      </c>
      <c r="C1108" s="4" t="s">
        <v>74</v>
      </c>
      <c r="D1108" s="4" t="s">
        <v>314</v>
      </c>
      <c r="E1108" s="4" t="s">
        <v>253</v>
      </c>
      <c r="F1108" t="s">
        <v>228</v>
      </c>
      <c r="G1108" t="s">
        <v>221</v>
      </c>
      <c r="H1108">
        <f>VLOOKUP(C1108,'TB Apr 24'!$B$13:$W$103,22,0)</f>
        <v>-363.89</v>
      </c>
    </row>
    <row r="1109" spans="1:8" x14ac:dyDescent="0.35">
      <c r="A1109" s="77">
        <v>45383</v>
      </c>
      <c r="B1109" s="3" t="s">
        <v>75</v>
      </c>
      <c r="C1109" s="4" t="s">
        <v>76</v>
      </c>
      <c r="D1109" s="4" t="s">
        <v>314</v>
      </c>
      <c r="E1109" s="4" t="s">
        <v>253</v>
      </c>
      <c r="F1109" t="s">
        <v>228</v>
      </c>
      <c r="G1109" t="s">
        <v>221</v>
      </c>
      <c r="H1109">
        <f>VLOOKUP(C1109,'TB Apr 24'!$B$13:$W$103,22,0)</f>
        <v>0</v>
      </c>
    </row>
    <row r="1110" spans="1:8" x14ac:dyDescent="0.35">
      <c r="A1110" s="77">
        <v>45383</v>
      </c>
      <c r="B1110" s="3" t="s">
        <v>77</v>
      </c>
      <c r="C1110" s="4" t="s">
        <v>78</v>
      </c>
      <c r="D1110" s="4" t="s">
        <v>314</v>
      </c>
      <c r="E1110" s="4" t="s">
        <v>253</v>
      </c>
      <c r="F1110" t="s">
        <v>228</v>
      </c>
      <c r="G1110" t="s">
        <v>221</v>
      </c>
      <c r="H1110">
        <f>VLOOKUP(C1110,'TB Apr 24'!$B$13:$W$103,22,0)</f>
        <v>-2775.96</v>
      </c>
    </row>
    <row r="1111" spans="1:8" x14ac:dyDescent="0.35">
      <c r="A1111" s="77">
        <v>45383</v>
      </c>
      <c r="B1111" s="3" t="s">
        <v>79</v>
      </c>
      <c r="C1111" s="4" t="s">
        <v>80</v>
      </c>
      <c r="D1111" s="4" t="s">
        <v>314</v>
      </c>
      <c r="E1111" s="4" t="s">
        <v>253</v>
      </c>
      <c r="F1111" t="s">
        <v>228</v>
      </c>
      <c r="G1111" t="s">
        <v>221</v>
      </c>
      <c r="H1111">
        <f>VLOOKUP(C1111,'TB Apr 24'!$B$13:$W$103,22,0)</f>
        <v>-20958.36</v>
      </c>
    </row>
    <row r="1112" spans="1:8" x14ac:dyDescent="0.35">
      <c r="A1112" s="77">
        <v>45383</v>
      </c>
      <c r="B1112" s="3" t="s">
        <v>81</v>
      </c>
      <c r="C1112" s="4" t="s">
        <v>82</v>
      </c>
      <c r="D1112" s="4" t="s">
        <v>314</v>
      </c>
      <c r="E1112" s="4" t="s">
        <v>319</v>
      </c>
      <c r="F1112" t="s">
        <v>228</v>
      </c>
      <c r="G1112" t="s">
        <v>221</v>
      </c>
      <c r="H1112">
        <f>VLOOKUP(C1112,'TB Apr 24'!$B$13:$W$103,22,0)</f>
        <v>7834</v>
      </c>
    </row>
    <row r="1113" spans="1:8" x14ac:dyDescent="0.35">
      <c r="A1113" s="77">
        <v>45383</v>
      </c>
      <c r="B1113" s="3" t="s">
        <v>83</v>
      </c>
      <c r="C1113" s="4" t="s">
        <v>84</v>
      </c>
      <c r="D1113" s="4" t="s">
        <v>314</v>
      </c>
      <c r="E1113" s="4" t="s">
        <v>319</v>
      </c>
      <c r="F1113" t="s">
        <v>228</v>
      </c>
      <c r="G1113" t="s">
        <v>221</v>
      </c>
      <c r="H1113">
        <f>VLOOKUP(C1113,'TB Apr 24'!$B$13:$W$103,22,0)</f>
        <v>0</v>
      </c>
    </row>
    <row r="1114" spans="1:8" x14ac:dyDescent="0.35">
      <c r="A1114" s="77">
        <v>45383</v>
      </c>
      <c r="B1114" s="3" t="s">
        <v>85</v>
      </c>
      <c r="C1114" s="4" t="s">
        <v>86</v>
      </c>
      <c r="D1114" s="4" t="s">
        <v>314</v>
      </c>
      <c r="E1114" s="4" t="s">
        <v>291</v>
      </c>
      <c r="F1114" t="s">
        <v>228</v>
      </c>
      <c r="G1114" t="s">
        <v>221</v>
      </c>
      <c r="H1114">
        <f>VLOOKUP(C1114,'TB Apr 24'!$B$13:$W$103,22,0)</f>
        <v>65940</v>
      </c>
    </row>
    <row r="1115" spans="1:8" x14ac:dyDescent="0.35">
      <c r="A1115" s="77">
        <v>45383</v>
      </c>
      <c r="B1115" s="3" t="s">
        <v>88</v>
      </c>
      <c r="C1115" s="4" t="s">
        <v>89</v>
      </c>
      <c r="D1115" s="4" t="s">
        <v>314</v>
      </c>
      <c r="E1115" s="4" t="s">
        <v>300</v>
      </c>
      <c r="F1115" t="s">
        <v>228</v>
      </c>
      <c r="G1115" t="s">
        <v>221</v>
      </c>
      <c r="H1115">
        <f>VLOOKUP(C1115,'TB Apr 24'!$B$13:$W$103,22,0)</f>
        <v>0</v>
      </c>
    </row>
    <row r="1116" spans="1:8" x14ac:dyDescent="0.35">
      <c r="A1116" s="77">
        <v>45383</v>
      </c>
      <c r="B1116" s="3" t="s">
        <v>90</v>
      </c>
      <c r="C1116" s="4" t="s">
        <v>91</v>
      </c>
      <c r="D1116" s="4" t="s">
        <v>314</v>
      </c>
      <c r="E1116" s="4" t="s">
        <v>300</v>
      </c>
      <c r="F1116" t="s">
        <v>228</v>
      </c>
      <c r="G1116" t="s">
        <v>221</v>
      </c>
      <c r="H1116">
        <f>VLOOKUP(C1116,'TB Apr 24'!$B$13:$W$103,22,0)</f>
        <v>2045</v>
      </c>
    </row>
    <row r="1117" spans="1:8" x14ac:dyDescent="0.35">
      <c r="A1117" s="77">
        <v>45383</v>
      </c>
      <c r="B1117" s="3" t="s">
        <v>92</v>
      </c>
      <c r="C1117" s="4" t="s">
        <v>93</v>
      </c>
      <c r="D1117" s="4" t="s">
        <v>314</v>
      </c>
      <c r="E1117" s="4" t="s">
        <v>300</v>
      </c>
      <c r="F1117" t="s">
        <v>228</v>
      </c>
      <c r="G1117" t="s">
        <v>221</v>
      </c>
      <c r="H1117">
        <f>VLOOKUP(C1117,'TB Apr 24'!$B$13:$W$103,22,0)</f>
        <v>1250</v>
      </c>
    </row>
    <row r="1118" spans="1:8" x14ac:dyDescent="0.35">
      <c r="A1118" s="77">
        <v>45383</v>
      </c>
      <c r="B1118" s="3" t="s">
        <v>94</v>
      </c>
      <c r="C1118" s="4" t="s">
        <v>95</v>
      </c>
      <c r="D1118" s="4" t="s">
        <v>314</v>
      </c>
      <c r="E1118" s="4" t="s">
        <v>289</v>
      </c>
      <c r="F1118" t="s">
        <v>228</v>
      </c>
      <c r="G1118" t="s">
        <v>221</v>
      </c>
      <c r="H1118">
        <f>VLOOKUP(C1118,'TB Apr 24'!$B$13:$W$103,22,0)</f>
        <v>678186.66666666663</v>
      </c>
    </row>
    <row r="1119" spans="1:8" x14ac:dyDescent="0.35">
      <c r="A1119" s="77">
        <v>45383</v>
      </c>
      <c r="B1119" s="3" t="s">
        <v>96</v>
      </c>
      <c r="C1119" s="4" t="s">
        <v>97</v>
      </c>
      <c r="D1119" s="4" t="s">
        <v>314</v>
      </c>
      <c r="E1119" s="4" t="s">
        <v>289</v>
      </c>
      <c r="F1119" t="s">
        <v>228</v>
      </c>
      <c r="G1119" t="s">
        <v>221</v>
      </c>
      <c r="H1119">
        <f>VLOOKUP(C1119,'TB Apr 24'!$B$13:$W$103,22,0)</f>
        <v>0</v>
      </c>
    </row>
    <row r="1120" spans="1:8" x14ac:dyDescent="0.35">
      <c r="A1120" s="77">
        <v>45383</v>
      </c>
      <c r="B1120" s="3" t="s">
        <v>309</v>
      </c>
      <c r="C1120" s="4" t="s">
        <v>310</v>
      </c>
      <c r="D1120" s="4" t="s">
        <v>314</v>
      </c>
      <c r="E1120" s="4" t="s">
        <v>289</v>
      </c>
      <c r="F1120" t="s">
        <v>228</v>
      </c>
      <c r="G1120" t="s">
        <v>221</v>
      </c>
      <c r="H1120">
        <f>VLOOKUP(C1120,'TB Apr 24'!$B$13:$W$103,22,0)</f>
        <v>0</v>
      </c>
    </row>
    <row r="1121" spans="1:8" x14ac:dyDescent="0.35">
      <c r="A1121" s="77">
        <v>45383</v>
      </c>
      <c r="B1121" s="3" t="s">
        <v>98</v>
      </c>
      <c r="C1121" s="4" t="s">
        <v>99</v>
      </c>
      <c r="D1121" s="4" t="s">
        <v>314</v>
      </c>
      <c r="E1121" s="4" t="s">
        <v>289</v>
      </c>
      <c r="F1121" t="s">
        <v>228</v>
      </c>
      <c r="G1121" t="s">
        <v>221</v>
      </c>
      <c r="H1121">
        <f>VLOOKUP(C1121,'TB Apr 24'!$B$13:$W$103,22,0)</f>
        <v>0</v>
      </c>
    </row>
    <row r="1122" spans="1:8" x14ac:dyDescent="0.35">
      <c r="A1122" s="77">
        <v>45383</v>
      </c>
      <c r="B1122" s="3" t="s">
        <v>100</v>
      </c>
      <c r="C1122" s="4" t="s">
        <v>101</v>
      </c>
      <c r="D1122" s="4" t="s">
        <v>314</v>
      </c>
      <c r="E1122" s="4" t="s">
        <v>291</v>
      </c>
      <c r="F1122" t="s">
        <v>228</v>
      </c>
      <c r="G1122" t="s">
        <v>221</v>
      </c>
      <c r="H1122">
        <f>VLOOKUP(C1122,'TB Apr 24'!$B$13:$W$103,22,0)</f>
        <v>0</v>
      </c>
    </row>
    <row r="1123" spans="1:8" x14ac:dyDescent="0.35">
      <c r="A1123" s="77">
        <v>45383</v>
      </c>
      <c r="B1123" s="3" t="s">
        <v>102</v>
      </c>
      <c r="C1123" s="4" t="s">
        <v>103</v>
      </c>
      <c r="D1123" s="4" t="s">
        <v>314</v>
      </c>
      <c r="E1123" s="4" t="s">
        <v>291</v>
      </c>
      <c r="F1123" t="s">
        <v>228</v>
      </c>
      <c r="G1123" t="s">
        <v>221</v>
      </c>
      <c r="H1123">
        <f>VLOOKUP(C1123,'TB Apr 24'!$B$13:$W$103,22,0)</f>
        <v>110</v>
      </c>
    </row>
    <row r="1124" spans="1:8" x14ac:dyDescent="0.35">
      <c r="A1124" s="77">
        <v>45383</v>
      </c>
      <c r="B1124" s="3" t="s">
        <v>104</v>
      </c>
      <c r="C1124" s="4" t="s">
        <v>105</v>
      </c>
      <c r="D1124" s="4" t="s">
        <v>314</v>
      </c>
      <c r="E1124" s="4" t="s">
        <v>291</v>
      </c>
      <c r="F1124" t="s">
        <v>228</v>
      </c>
      <c r="G1124" t="s">
        <v>221</v>
      </c>
      <c r="H1124">
        <f>VLOOKUP(C1124,'TB Apr 24'!$B$13:$W$103,22,0)</f>
        <v>2000</v>
      </c>
    </row>
    <row r="1125" spans="1:8" x14ac:dyDescent="0.35">
      <c r="A1125" s="77">
        <v>45383</v>
      </c>
      <c r="B1125" s="3" t="s">
        <v>106</v>
      </c>
      <c r="C1125" s="4" t="s">
        <v>107</v>
      </c>
      <c r="D1125" s="4" t="s">
        <v>314</v>
      </c>
      <c r="E1125" s="4" t="s">
        <v>321</v>
      </c>
      <c r="F1125" t="s">
        <v>228</v>
      </c>
      <c r="G1125" t="s">
        <v>221</v>
      </c>
      <c r="H1125">
        <f>VLOOKUP(C1125,'TB Apr 24'!$B$13:$W$103,22,0)</f>
        <v>0</v>
      </c>
    </row>
    <row r="1126" spans="1:8" x14ac:dyDescent="0.35">
      <c r="A1126" s="77">
        <v>45383</v>
      </c>
      <c r="B1126" s="3" t="s">
        <v>108</v>
      </c>
      <c r="C1126" s="4" t="s">
        <v>109</v>
      </c>
      <c r="D1126" s="4" t="s">
        <v>314</v>
      </c>
      <c r="E1126" s="4" t="s">
        <v>321</v>
      </c>
      <c r="F1126" t="s">
        <v>228</v>
      </c>
      <c r="G1126" t="s">
        <v>221</v>
      </c>
      <c r="H1126">
        <f>VLOOKUP(C1126,'TB Apr 24'!$B$13:$W$103,22,0)</f>
        <v>0</v>
      </c>
    </row>
    <row r="1127" spans="1:8" x14ac:dyDescent="0.35">
      <c r="A1127" s="77">
        <v>45383</v>
      </c>
      <c r="B1127" s="3" t="s">
        <v>110</v>
      </c>
      <c r="C1127" s="4" t="s">
        <v>111</v>
      </c>
      <c r="D1127" s="4" t="s">
        <v>314</v>
      </c>
      <c r="E1127" s="4" t="s">
        <v>320</v>
      </c>
      <c r="F1127" t="s">
        <v>228</v>
      </c>
      <c r="G1127" t="s">
        <v>221</v>
      </c>
      <c r="H1127">
        <f>VLOOKUP(C1127,'TB Apr 24'!$B$13:$W$103,22,0)</f>
        <v>0</v>
      </c>
    </row>
    <row r="1128" spans="1:8" x14ac:dyDescent="0.35">
      <c r="A1128" s="77">
        <v>45383</v>
      </c>
      <c r="B1128" s="3" t="s">
        <v>112</v>
      </c>
      <c r="C1128" s="4" t="s">
        <v>113</v>
      </c>
      <c r="D1128" s="4" t="s">
        <v>314</v>
      </c>
      <c r="E1128" s="4" t="s">
        <v>321</v>
      </c>
      <c r="F1128" t="s">
        <v>228</v>
      </c>
      <c r="G1128" t="s">
        <v>221</v>
      </c>
      <c r="H1128">
        <f>VLOOKUP(C1128,'TB Apr 24'!$B$13:$W$103,22,0)</f>
        <v>0</v>
      </c>
    </row>
    <row r="1129" spans="1:8" x14ac:dyDescent="0.35">
      <c r="A1129" s="77">
        <v>45383</v>
      </c>
      <c r="B1129" s="3" t="s">
        <v>311</v>
      </c>
      <c r="C1129" s="4" t="s">
        <v>312</v>
      </c>
      <c r="D1129" s="4" t="s">
        <v>314</v>
      </c>
      <c r="E1129" s="4" t="s">
        <v>288</v>
      </c>
      <c r="F1129" t="s">
        <v>228</v>
      </c>
      <c r="G1129" t="s">
        <v>221</v>
      </c>
      <c r="H1129">
        <f>VLOOKUP(C1129,'TB Apr 24'!$B$13:$W$103,22,0)</f>
        <v>0</v>
      </c>
    </row>
    <row r="1130" spans="1:8" x14ac:dyDescent="0.35">
      <c r="A1130" s="77">
        <v>45383</v>
      </c>
      <c r="B1130" s="3" t="s">
        <v>114</v>
      </c>
      <c r="C1130" s="4" t="s">
        <v>115</v>
      </c>
      <c r="D1130" s="4" t="s">
        <v>314</v>
      </c>
      <c r="E1130" s="4" t="s">
        <v>294</v>
      </c>
      <c r="F1130" t="s">
        <v>228</v>
      </c>
      <c r="G1130" t="s">
        <v>221</v>
      </c>
      <c r="H1130">
        <f>VLOOKUP(C1130,'TB Apr 24'!$B$13:$W$103,22,0)</f>
        <v>0</v>
      </c>
    </row>
    <row r="1131" spans="1:8" x14ac:dyDescent="0.35">
      <c r="A1131" s="77">
        <v>45383</v>
      </c>
      <c r="B1131" s="3" t="s">
        <v>116</v>
      </c>
      <c r="C1131" s="4" t="s">
        <v>117</v>
      </c>
      <c r="D1131" s="4" t="s">
        <v>314</v>
      </c>
      <c r="E1131" s="4" t="s">
        <v>296</v>
      </c>
      <c r="F1131" t="s">
        <v>228</v>
      </c>
      <c r="G1131" t="s">
        <v>221</v>
      </c>
      <c r="H1131">
        <f>VLOOKUP(C1131,'TB Apr 24'!$B$13:$W$103,22,0)</f>
        <v>0</v>
      </c>
    </row>
    <row r="1132" spans="1:8" x14ac:dyDescent="0.35">
      <c r="A1132" s="77">
        <v>45383</v>
      </c>
      <c r="B1132" s="3" t="s">
        <v>118</v>
      </c>
      <c r="C1132" s="4" t="s">
        <v>119</v>
      </c>
      <c r="D1132" s="4" t="s">
        <v>314</v>
      </c>
      <c r="E1132" s="4" t="s">
        <v>296</v>
      </c>
      <c r="F1132" t="s">
        <v>228</v>
      </c>
      <c r="G1132" t="s">
        <v>221</v>
      </c>
      <c r="H1132">
        <f>VLOOKUP(C1132,'TB Apr 24'!$B$13:$W$103,22,0)</f>
        <v>0</v>
      </c>
    </row>
    <row r="1133" spans="1:8" x14ac:dyDescent="0.35">
      <c r="A1133" s="77">
        <v>45383</v>
      </c>
      <c r="B1133" s="3" t="s">
        <v>120</v>
      </c>
      <c r="C1133" s="4" t="s">
        <v>121</v>
      </c>
      <c r="D1133" s="4" t="s">
        <v>314</v>
      </c>
      <c r="E1133" s="4" t="s">
        <v>322</v>
      </c>
      <c r="F1133" t="s">
        <v>228</v>
      </c>
      <c r="G1133" t="s">
        <v>221</v>
      </c>
      <c r="H1133">
        <f>VLOOKUP(C1133,'TB Apr 24'!$B$13:$W$103,22,0)</f>
        <v>862</v>
      </c>
    </row>
    <row r="1134" spans="1:8" x14ac:dyDescent="0.35">
      <c r="A1134" s="77">
        <v>45383</v>
      </c>
      <c r="B1134" s="3" t="s">
        <v>122</v>
      </c>
      <c r="C1134" s="4" t="s">
        <v>123</v>
      </c>
      <c r="D1134" s="4" t="s">
        <v>314</v>
      </c>
      <c r="E1134" s="4" t="s">
        <v>322</v>
      </c>
      <c r="F1134" t="s">
        <v>228</v>
      </c>
      <c r="G1134" t="s">
        <v>221</v>
      </c>
      <c r="H1134">
        <f>VLOOKUP(C1134,'TB Apr 24'!$B$13:$W$103,22,0)</f>
        <v>14856</v>
      </c>
    </row>
    <row r="1135" spans="1:8" x14ac:dyDescent="0.35">
      <c r="A1135" s="77">
        <v>45383</v>
      </c>
      <c r="B1135" s="3" t="s">
        <v>124</v>
      </c>
      <c r="C1135" s="4" t="s">
        <v>125</v>
      </c>
      <c r="D1135" s="4" t="s">
        <v>314</v>
      </c>
      <c r="E1135" s="4" t="s">
        <v>322</v>
      </c>
      <c r="F1135" t="s">
        <v>228</v>
      </c>
      <c r="G1135" t="s">
        <v>221</v>
      </c>
      <c r="H1135">
        <f>VLOOKUP(C1135,'TB Apr 24'!$B$13:$W$103,22,0)</f>
        <v>0</v>
      </c>
    </row>
    <row r="1136" spans="1:8" x14ac:dyDescent="0.35">
      <c r="A1136" s="77">
        <v>45383</v>
      </c>
      <c r="B1136" s="3" t="s">
        <v>126</v>
      </c>
      <c r="C1136" s="4" t="s">
        <v>127</v>
      </c>
      <c r="D1136" s="4" t="s">
        <v>314</v>
      </c>
      <c r="E1136" s="4" t="s">
        <v>291</v>
      </c>
      <c r="F1136" t="s">
        <v>228</v>
      </c>
      <c r="G1136" t="s">
        <v>221</v>
      </c>
      <c r="H1136">
        <f>VLOOKUP(C1136,'TB Apr 24'!$B$13:$W$103,22,0)</f>
        <v>0</v>
      </c>
    </row>
    <row r="1137" spans="1:8" x14ac:dyDescent="0.35">
      <c r="A1137" s="77">
        <v>45383</v>
      </c>
      <c r="B1137" s="3" t="s">
        <v>128</v>
      </c>
      <c r="C1137" s="4" t="s">
        <v>129</v>
      </c>
      <c r="D1137" s="4" t="s">
        <v>314</v>
      </c>
      <c r="E1137" s="4" t="s">
        <v>322</v>
      </c>
      <c r="F1137" t="s">
        <v>228</v>
      </c>
      <c r="G1137" t="s">
        <v>221</v>
      </c>
      <c r="H1137">
        <f>VLOOKUP(C1137,'TB Apr 24'!$B$13:$W$103,22,0)</f>
        <v>8512.6666666666679</v>
      </c>
    </row>
    <row r="1138" spans="1:8" x14ac:dyDescent="0.35">
      <c r="A1138" s="77">
        <v>45383</v>
      </c>
      <c r="B1138" s="3" t="s">
        <v>130</v>
      </c>
      <c r="C1138" s="4" t="s">
        <v>131</v>
      </c>
      <c r="D1138" s="4" t="s">
        <v>314</v>
      </c>
      <c r="E1138" s="4" t="s">
        <v>322</v>
      </c>
      <c r="F1138" t="s">
        <v>228</v>
      </c>
      <c r="G1138" t="s">
        <v>221</v>
      </c>
      <c r="H1138">
        <f>VLOOKUP(C1138,'TB Apr 24'!$B$13:$W$103,22,0)</f>
        <v>0</v>
      </c>
    </row>
    <row r="1139" spans="1:8" x14ac:dyDescent="0.35">
      <c r="A1139" s="77">
        <v>45383</v>
      </c>
      <c r="B1139" s="3" t="s">
        <v>132</v>
      </c>
      <c r="C1139" s="4" t="s">
        <v>133</v>
      </c>
      <c r="D1139" s="4" t="s">
        <v>314</v>
      </c>
      <c r="E1139" s="4" t="s">
        <v>320</v>
      </c>
      <c r="F1139" t="s">
        <v>228</v>
      </c>
      <c r="G1139" t="s">
        <v>221</v>
      </c>
      <c r="H1139">
        <f>VLOOKUP(C1139,'TB Apr 24'!$B$13:$W$103,22,0)</f>
        <v>11581.333333333332</v>
      </c>
    </row>
    <row r="1140" spans="1:8" x14ac:dyDescent="0.35">
      <c r="A1140" s="77">
        <v>45383</v>
      </c>
      <c r="B1140" s="3" t="s">
        <v>134</v>
      </c>
      <c r="C1140" s="4" t="s">
        <v>135</v>
      </c>
      <c r="D1140" s="4" t="s">
        <v>314</v>
      </c>
      <c r="E1140" s="4" t="s">
        <v>299</v>
      </c>
      <c r="F1140" t="s">
        <v>228</v>
      </c>
      <c r="G1140" t="s">
        <v>221</v>
      </c>
      <c r="H1140">
        <f>VLOOKUP(C1140,'TB Apr 24'!$B$13:$W$103,22,0)</f>
        <v>0</v>
      </c>
    </row>
    <row r="1141" spans="1:8" x14ac:dyDescent="0.35">
      <c r="A1141" s="77">
        <v>45383</v>
      </c>
      <c r="B1141" s="3" t="s">
        <v>136</v>
      </c>
      <c r="C1141" s="4" t="s">
        <v>137</v>
      </c>
      <c r="D1141" s="4" t="s">
        <v>314</v>
      </c>
      <c r="E1141" s="4" t="s">
        <v>322</v>
      </c>
      <c r="F1141" t="s">
        <v>228</v>
      </c>
      <c r="G1141" t="s">
        <v>221</v>
      </c>
      <c r="H1141">
        <f>VLOOKUP(C1141,'TB Apr 24'!$B$13:$W$103,22,0)</f>
        <v>0</v>
      </c>
    </row>
    <row r="1142" spans="1:8" x14ac:dyDescent="0.35">
      <c r="A1142" s="77">
        <v>45383</v>
      </c>
      <c r="B1142" s="3" t="s">
        <v>138</v>
      </c>
      <c r="C1142" s="4" t="s">
        <v>139</v>
      </c>
      <c r="D1142" s="4" t="s">
        <v>314</v>
      </c>
      <c r="E1142" s="4" t="s">
        <v>294</v>
      </c>
      <c r="F1142" t="s">
        <v>228</v>
      </c>
      <c r="G1142" t="s">
        <v>221</v>
      </c>
      <c r="H1142">
        <f>VLOOKUP(C1142,'TB Apr 24'!$B$13:$W$103,22,0)</f>
        <v>346</v>
      </c>
    </row>
    <row r="1143" spans="1:8" x14ac:dyDescent="0.35">
      <c r="A1143" s="77">
        <v>45383</v>
      </c>
      <c r="B1143" s="3" t="s">
        <v>140</v>
      </c>
      <c r="C1143" s="4" t="s">
        <v>141</v>
      </c>
      <c r="D1143" s="4" t="s">
        <v>314</v>
      </c>
      <c r="E1143" s="4" t="s">
        <v>268</v>
      </c>
      <c r="F1143" t="s">
        <v>228</v>
      </c>
      <c r="G1143" t="s">
        <v>221</v>
      </c>
      <c r="H1143">
        <f>VLOOKUP(C1143,'TB Apr 24'!$B$13:$W$103,22,0)</f>
        <v>92433.987900000007</v>
      </c>
    </row>
    <row r="1144" spans="1:8" x14ac:dyDescent="0.35">
      <c r="A1144" s="77">
        <v>45383</v>
      </c>
      <c r="B1144" s="3" t="s">
        <v>142</v>
      </c>
      <c r="C1144" s="4" t="s">
        <v>143</v>
      </c>
      <c r="D1144" s="4" t="s">
        <v>314</v>
      </c>
      <c r="E1144" s="4" t="s">
        <v>269</v>
      </c>
      <c r="F1144" t="s">
        <v>228</v>
      </c>
      <c r="G1144" t="s">
        <v>221</v>
      </c>
      <c r="H1144">
        <f>VLOOKUP(C1144,'TB Apr 24'!$B$13:$W$103,22,0)</f>
        <v>116405</v>
      </c>
    </row>
    <row r="1145" spans="1:8" x14ac:dyDescent="0.35">
      <c r="A1145" s="77">
        <v>45383</v>
      </c>
      <c r="B1145" s="3" t="s">
        <v>144</v>
      </c>
      <c r="C1145" s="4" t="s">
        <v>145</v>
      </c>
      <c r="D1145" s="4" t="s">
        <v>314</v>
      </c>
      <c r="E1145" s="4" t="s">
        <v>288</v>
      </c>
      <c r="F1145" t="s">
        <v>228</v>
      </c>
      <c r="G1145" t="s">
        <v>221</v>
      </c>
      <c r="H1145">
        <f>VLOOKUP(C1145,'TB Apr 24'!$B$13:$W$103,22,0)</f>
        <v>23296.875</v>
      </c>
    </row>
    <row r="1146" spans="1:8" x14ac:dyDescent="0.35">
      <c r="A1146" s="77">
        <v>45383</v>
      </c>
      <c r="B1146" s="3" t="s">
        <v>146</v>
      </c>
      <c r="C1146" s="4" t="s">
        <v>147</v>
      </c>
      <c r="D1146" s="4" t="s">
        <v>314</v>
      </c>
      <c r="E1146" s="4" t="s">
        <v>288</v>
      </c>
      <c r="F1146" t="s">
        <v>228</v>
      </c>
      <c r="G1146" t="s">
        <v>221</v>
      </c>
      <c r="H1146">
        <f>VLOOKUP(C1146,'TB Apr 24'!$B$13:$W$103,22,0)</f>
        <v>12578.333333333334</v>
      </c>
    </row>
    <row r="1147" spans="1:8" x14ac:dyDescent="0.35">
      <c r="A1147" s="77">
        <v>45383</v>
      </c>
      <c r="B1147" s="3" t="s">
        <v>148</v>
      </c>
      <c r="C1147" s="4" t="s">
        <v>149</v>
      </c>
      <c r="D1147" s="4" t="s">
        <v>314</v>
      </c>
      <c r="E1147" s="4" t="s">
        <v>287</v>
      </c>
      <c r="F1147" t="s">
        <v>228</v>
      </c>
      <c r="G1147" t="s">
        <v>221</v>
      </c>
      <c r="H1147">
        <f>VLOOKUP(C1147,'TB Apr 24'!$B$13:$W$103,22,0)</f>
        <v>75404.60500000001</v>
      </c>
    </row>
    <row r="1148" spans="1:8" x14ac:dyDescent="0.35">
      <c r="A1148" s="77">
        <v>45383</v>
      </c>
      <c r="B1148" s="3" t="s">
        <v>150</v>
      </c>
      <c r="C1148" s="4" t="s">
        <v>87</v>
      </c>
      <c r="D1148" s="4" t="s">
        <v>314</v>
      </c>
      <c r="E1148" s="4" t="s">
        <v>288</v>
      </c>
      <c r="F1148" t="s">
        <v>228</v>
      </c>
      <c r="G1148" t="s">
        <v>221</v>
      </c>
      <c r="H1148">
        <f>VLOOKUP(C1148,'TB Apr 24'!$B$13:$W$103,22,0)</f>
        <v>119232.8</v>
      </c>
    </row>
    <row r="1149" spans="1:8" x14ac:dyDescent="0.35">
      <c r="A1149" s="77">
        <v>45383</v>
      </c>
      <c r="B1149" s="3" t="s">
        <v>151</v>
      </c>
      <c r="C1149" s="4" t="s">
        <v>152</v>
      </c>
      <c r="D1149" s="4" t="s">
        <v>314</v>
      </c>
      <c r="E1149" s="4" t="s">
        <v>288</v>
      </c>
      <c r="F1149" t="s">
        <v>228</v>
      </c>
      <c r="G1149" t="s">
        <v>221</v>
      </c>
      <c r="H1149">
        <f>VLOOKUP(C1149,'TB Apr 24'!$B$13:$W$103,22,0)</f>
        <v>3721.625</v>
      </c>
    </row>
    <row r="1150" spans="1:8" x14ac:dyDescent="0.35">
      <c r="A1150" s="77">
        <v>45383</v>
      </c>
      <c r="B1150" s="3" t="s">
        <v>153</v>
      </c>
      <c r="C1150" s="4" t="s">
        <v>154</v>
      </c>
      <c r="D1150" s="4" t="s">
        <v>314</v>
      </c>
      <c r="E1150" s="4" t="s">
        <v>288</v>
      </c>
      <c r="F1150" t="s">
        <v>228</v>
      </c>
      <c r="G1150" t="s">
        <v>221</v>
      </c>
      <c r="H1150">
        <f>VLOOKUP(C1150,'TB Apr 24'!$B$13:$W$103,22,0)</f>
        <v>4980</v>
      </c>
    </row>
    <row r="1151" spans="1:8" x14ac:dyDescent="0.35">
      <c r="A1151" s="77">
        <v>45383</v>
      </c>
      <c r="B1151" s="3" t="s">
        <v>155</v>
      </c>
      <c r="C1151" s="4" t="s">
        <v>156</v>
      </c>
      <c r="D1151" s="4" t="s">
        <v>314</v>
      </c>
      <c r="E1151" s="4" t="s">
        <v>288</v>
      </c>
      <c r="F1151" t="s">
        <v>228</v>
      </c>
      <c r="G1151" t="s">
        <v>221</v>
      </c>
      <c r="H1151">
        <f>VLOOKUP(C1151,'TB Apr 24'!$B$13:$W$103,22,0)</f>
        <v>0</v>
      </c>
    </row>
    <row r="1152" spans="1:8" x14ac:dyDescent="0.35">
      <c r="A1152" s="77">
        <v>45383</v>
      </c>
      <c r="B1152" s="3" t="s">
        <v>157</v>
      </c>
      <c r="C1152" s="4" t="s">
        <v>158</v>
      </c>
      <c r="D1152" s="4" t="s">
        <v>314</v>
      </c>
      <c r="E1152" s="4" t="s">
        <v>292</v>
      </c>
      <c r="F1152" t="s">
        <v>228</v>
      </c>
      <c r="G1152" t="s">
        <v>221</v>
      </c>
      <c r="H1152">
        <f>VLOOKUP(C1152,'TB Apr 24'!$B$13:$W$103,22,0)</f>
        <v>99000</v>
      </c>
    </row>
    <row r="1153" spans="1:8" x14ac:dyDescent="0.35">
      <c r="A1153" s="77">
        <v>45383</v>
      </c>
      <c r="B1153" s="3" t="s">
        <v>159</v>
      </c>
      <c r="C1153" s="4" t="s">
        <v>160</v>
      </c>
      <c r="D1153" s="4" t="s">
        <v>314</v>
      </c>
      <c r="E1153" s="4" t="s">
        <v>323</v>
      </c>
      <c r="F1153" t="s">
        <v>228</v>
      </c>
      <c r="G1153" t="s">
        <v>221</v>
      </c>
      <c r="H1153">
        <f>VLOOKUP(C1153,'TB Apr 24'!$B$13:$W$103,22,0)</f>
        <v>6800</v>
      </c>
    </row>
    <row r="1154" spans="1:8" x14ac:dyDescent="0.35">
      <c r="A1154" s="77">
        <v>45383</v>
      </c>
      <c r="B1154" s="3" t="s">
        <v>161</v>
      </c>
      <c r="C1154" s="4" t="s">
        <v>162</v>
      </c>
      <c r="D1154" s="4" t="s">
        <v>314</v>
      </c>
      <c r="E1154" s="4" t="s">
        <v>323</v>
      </c>
      <c r="F1154" t="s">
        <v>228</v>
      </c>
      <c r="G1154" t="s">
        <v>221</v>
      </c>
      <c r="H1154">
        <f>VLOOKUP(C1154,'TB Apr 24'!$B$13:$W$103,22,0)</f>
        <v>925</v>
      </c>
    </row>
    <row r="1155" spans="1:8" x14ac:dyDescent="0.35">
      <c r="A1155" s="77">
        <v>45383</v>
      </c>
      <c r="B1155" s="3" t="s">
        <v>163</v>
      </c>
      <c r="C1155" s="4" t="s">
        <v>164</v>
      </c>
      <c r="D1155" s="4" t="s">
        <v>314</v>
      </c>
      <c r="E1155" s="4" t="s">
        <v>319</v>
      </c>
      <c r="F1155" t="s">
        <v>228</v>
      </c>
      <c r="G1155" t="s">
        <v>221</v>
      </c>
      <c r="H1155">
        <f>VLOOKUP(C1155,'TB Apr 24'!$B$13:$W$103,22,0)</f>
        <v>0</v>
      </c>
    </row>
    <row r="1156" spans="1:8" x14ac:dyDescent="0.35">
      <c r="A1156" s="77">
        <v>45383</v>
      </c>
      <c r="B1156" s="3" t="s">
        <v>165</v>
      </c>
      <c r="C1156" s="4" t="s">
        <v>166</v>
      </c>
      <c r="D1156" s="4" t="s">
        <v>314</v>
      </c>
      <c r="E1156" s="4" t="s">
        <v>304</v>
      </c>
      <c r="F1156" t="s">
        <v>228</v>
      </c>
      <c r="G1156" t="s">
        <v>221</v>
      </c>
      <c r="H1156">
        <f>VLOOKUP(C1156,'TB Apr 24'!$B$13:$W$103,22,0)</f>
        <v>25492</v>
      </c>
    </row>
    <row r="1157" spans="1:8" x14ac:dyDescent="0.35">
      <c r="A1157" s="77">
        <v>45383</v>
      </c>
      <c r="B1157" s="3" t="s">
        <v>167</v>
      </c>
      <c r="C1157" s="4" t="s">
        <v>168</v>
      </c>
      <c r="D1157" s="4" t="s">
        <v>314</v>
      </c>
      <c r="E1157" s="4" t="s">
        <v>322</v>
      </c>
      <c r="F1157" t="s">
        <v>228</v>
      </c>
      <c r="G1157" t="s">
        <v>221</v>
      </c>
      <c r="H1157">
        <f>VLOOKUP(C1157,'TB Apr 24'!$B$13:$W$103,22,0)</f>
        <v>0</v>
      </c>
    </row>
    <row r="1158" spans="1:8" x14ac:dyDescent="0.35">
      <c r="A1158" s="77">
        <v>45383</v>
      </c>
      <c r="B1158" s="3" t="s">
        <v>169</v>
      </c>
      <c r="C1158" s="4" t="s">
        <v>170</v>
      </c>
      <c r="D1158" s="4" t="s">
        <v>314</v>
      </c>
      <c r="E1158" s="4" t="s">
        <v>304</v>
      </c>
      <c r="F1158" t="s">
        <v>228</v>
      </c>
      <c r="G1158" t="s">
        <v>221</v>
      </c>
      <c r="H1158">
        <f>VLOOKUP(C1158,'TB Apr 24'!$B$13:$W$103,22,0)</f>
        <v>9909.6666666666661</v>
      </c>
    </row>
    <row r="1159" spans="1:8" x14ac:dyDescent="0.35">
      <c r="A1159" s="77">
        <v>45383</v>
      </c>
      <c r="B1159" s="3" t="s">
        <v>171</v>
      </c>
      <c r="C1159" s="4" t="s">
        <v>172</v>
      </c>
      <c r="D1159" s="4" t="s">
        <v>314</v>
      </c>
      <c r="E1159" s="4" t="s">
        <v>303</v>
      </c>
      <c r="F1159" t="s">
        <v>228</v>
      </c>
      <c r="G1159" t="s">
        <v>221</v>
      </c>
      <c r="H1159">
        <f>VLOOKUP(C1159,'TB Apr 24'!$B$13:$W$103,22,0)</f>
        <v>0</v>
      </c>
    </row>
    <row r="1160" spans="1:8" x14ac:dyDescent="0.35">
      <c r="A1160" s="77">
        <v>45383</v>
      </c>
      <c r="B1160" s="3" t="s">
        <v>173</v>
      </c>
      <c r="C1160" s="4" t="s">
        <v>174</v>
      </c>
      <c r="D1160" s="4" t="s">
        <v>314</v>
      </c>
      <c r="E1160" s="4" t="s">
        <v>257</v>
      </c>
      <c r="F1160" t="s">
        <v>228</v>
      </c>
      <c r="G1160" t="s">
        <v>221</v>
      </c>
      <c r="H1160">
        <f>VLOOKUP(C1160,'TB Apr 24'!$B$13:$W$103,22,0)</f>
        <v>0</v>
      </c>
    </row>
    <row r="1161" spans="1:8" x14ac:dyDescent="0.35">
      <c r="A1161" s="77">
        <v>45383</v>
      </c>
      <c r="B1161" s="3" t="s">
        <v>175</v>
      </c>
      <c r="C1161" s="4" t="s">
        <v>176</v>
      </c>
      <c r="D1161" s="4" t="s">
        <v>314</v>
      </c>
      <c r="E1161" s="4" t="s">
        <v>257</v>
      </c>
      <c r="F1161" t="s">
        <v>228</v>
      </c>
      <c r="G1161" t="s">
        <v>221</v>
      </c>
      <c r="H1161">
        <f>VLOOKUP(C1161,'TB Apr 24'!$B$13:$W$103,22,0)</f>
        <v>0</v>
      </c>
    </row>
    <row r="1162" spans="1:8" x14ac:dyDescent="0.35">
      <c r="A1162" s="77">
        <v>45383</v>
      </c>
      <c r="B1162" s="3" t="s">
        <v>177</v>
      </c>
      <c r="C1162" s="4" t="s">
        <v>178</v>
      </c>
      <c r="D1162" s="4" t="s">
        <v>314</v>
      </c>
      <c r="E1162" s="4" t="s">
        <v>257</v>
      </c>
      <c r="F1162" t="s">
        <v>228</v>
      </c>
      <c r="G1162" t="s">
        <v>221</v>
      </c>
      <c r="H1162">
        <f>VLOOKUP(C1162,'TB Apr 24'!$B$13:$W$103,22,0)</f>
        <v>0</v>
      </c>
    </row>
    <row r="1163" spans="1:8" x14ac:dyDescent="0.35">
      <c r="A1163" s="77">
        <v>45383</v>
      </c>
      <c r="B1163" s="3" t="s">
        <v>179</v>
      </c>
      <c r="C1163" s="4" t="s">
        <v>180</v>
      </c>
      <c r="D1163" s="4" t="s">
        <v>314</v>
      </c>
      <c r="E1163" s="4" t="s">
        <v>322</v>
      </c>
      <c r="F1163" t="s">
        <v>228</v>
      </c>
      <c r="G1163" t="s">
        <v>221</v>
      </c>
      <c r="H1163">
        <f>VLOOKUP(C1163,'TB Apr 24'!$B$13:$W$103,22,0)</f>
        <v>0</v>
      </c>
    </row>
    <row r="1164" spans="1:8" x14ac:dyDescent="0.35">
      <c r="A1164" s="77">
        <v>45383</v>
      </c>
      <c r="B1164" s="3" t="s">
        <v>181</v>
      </c>
      <c r="C1164" s="4" t="s">
        <v>182</v>
      </c>
      <c r="D1164" s="4" t="s">
        <v>314</v>
      </c>
      <c r="E1164" s="4" t="s">
        <v>290</v>
      </c>
      <c r="F1164" t="s">
        <v>228</v>
      </c>
      <c r="G1164" t="s">
        <v>221</v>
      </c>
      <c r="H1164">
        <f>VLOOKUP(C1164,'TB Apr 24'!$B$13:$W$103,22,0)</f>
        <v>0</v>
      </c>
    </row>
    <row r="1165" spans="1:8" x14ac:dyDescent="0.35">
      <c r="A1165" s="77">
        <v>45383</v>
      </c>
      <c r="B1165" s="3" t="s">
        <v>183</v>
      </c>
      <c r="C1165" s="4" t="s">
        <v>184</v>
      </c>
      <c r="D1165" s="4" t="s">
        <v>314</v>
      </c>
      <c r="E1165" s="4" t="s">
        <v>290</v>
      </c>
      <c r="F1165" t="s">
        <v>228</v>
      </c>
      <c r="G1165" t="s">
        <v>221</v>
      </c>
      <c r="H1165">
        <f>VLOOKUP(C1165,'TB Apr 24'!$B$13:$W$103,22,0)</f>
        <v>0</v>
      </c>
    </row>
    <row r="1166" spans="1:8" x14ac:dyDescent="0.35">
      <c r="A1166" s="77">
        <v>45383</v>
      </c>
      <c r="B1166" s="3" t="s">
        <v>185</v>
      </c>
      <c r="C1166" s="4" t="s">
        <v>186</v>
      </c>
      <c r="D1166" s="4" t="s">
        <v>314</v>
      </c>
      <c r="E1166" s="4" t="s">
        <v>290</v>
      </c>
      <c r="F1166" t="s">
        <v>228</v>
      </c>
      <c r="G1166" t="s">
        <v>221</v>
      </c>
      <c r="H1166">
        <f>VLOOKUP(C1166,'TB Apr 24'!$B$13:$W$103,22,0)</f>
        <v>33632</v>
      </c>
    </row>
    <row r="1167" spans="1:8" x14ac:dyDescent="0.35">
      <c r="A1167" s="77">
        <v>45383</v>
      </c>
      <c r="B1167" s="3" t="s">
        <v>187</v>
      </c>
      <c r="C1167" s="4" t="s">
        <v>188</v>
      </c>
      <c r="D1167" s="4" t="s">
        <v>314</v>
      </c>
      <c r="E1167" s="4" t="s">
        <v>291</v>
      </c>
      <c r="F1167" t="s">
        <v>228</v>
      </c>
      <c r="G1167" t="s">
        <v>221</v>
      </c>
      <c r="H1167">
        <f>VLOOKUP(C1167,'TB Apr 24'!$B$13:$W$103,22,0)</f>
        <v>60816</v>
      </c>
    </row>
    <row r="1168" spans="1:8" x14ac:dyDescent="0.35">
      <c r="A1168" s="77">
        <v>45383</v>
      </c>
      <c r="B1168" s="3" t="s">
        <v>189</v>
      </c>
      <c r="C1168" s="4" t="s">
        <v>190</v>
      </c>
      <c r="D1168" s="4" t="s">
        <v>314</v>
      </c>
      <c r="E1168" s="4" t="s">
        <v>254</v>
      </c>
      <c r="F1168" t="s">
        <v>228</v>
      </c>
      <c r="G1168" t="s">
        <v>221</v>
      </c>
      <c r="H1168">
        <f>VLOOKUP(C1168,'TB Apr 24'!$B$13:$W$103,22,0)</f>
        <v>0</v>
      </c>
    </row>
    <row r="1169" spans="1:8" x14ac:dyDescent="0.35">
      <c r="A1169" s="77">
        <v>45383</v>
      </c>
      <c r="B1169" s="3" t="s">
        <v>191</v>
      </c>
      <c r="C1169" s="4" t="s">
        <v>192</v>
      </c>
      <c r="D1169" s="4" t="s">
        <v>314</v>
      </c>
      <c r="E1169" s="4" t="s">
        <v>254</v>
      </c>
      <c r="F1169" t="s">
        <v>228</v>
      </c>
      <c r="G1169" t="s">
        <v>221</v>
      </c>
      <c r="H1169">
        <f>VLOOKUP(C1169,'TB Apr 24'!$B$13:$W$103,22,0)</f>
        <v>0</v>
      </c>
    </row>
    <row r="1170" spans="1:8" x14ac:dyDescent="0.35">
      <c r="A1170" s="77">
        <v>45383</v>
      </c>
      <c r="B1170" s="3" t="s">
        <v>193</v>
      </c>
      <c r="C1170" s="4" t="s">
        <v>194</v>
      </c>
      <c r="D1170" s="4" t="s">
        <v>314</v>
      </c>
      <c r="E1170" s="4" t="s">
        <v>254</v>
      </c>
      <c r="F1170" t="s">
        <v>228</v>
      </c>
      <c r="G1170" t="s">
        <v>221</v>
      </c>
      <c r="H1170">
        <f>VLOOKUP(C1170,'TB Apr 24'!$B$13:$W$103,22,0)</f>
        <v>263247.05</v>
      </c>
    </row>
    <row r="1171" spans="1:8" x14ac:dyDescent="0.35">
      <c r="A1171" s="77">
        <v>45383</v>
      </c>
      <c r="B1171" s="3" t="s">
        <v>195</v>
      </c>
      <c r="C1171" s="4" t="s">
        <v>196</v>
      </c>
      <c r="D1171" s="4" t="s">
        <v>314</v>
      </c>
      <c r="E1171" s="4" t="s">
        <v>255</v>
      </c>
      <c r="F1171" t="s">
        <v>228</v>
      </c>
      <c r="G1171" t="s">
        <v>221</v>
      </c>
      <c r="H1171">
        <f>VLOOKUP(C1171,'TB Apr 24'!$B$13:$W$103,22,0)</f>
        <v>0</v>
      </c>
    </row>
    <row r="1172" spans="1:8" x14ac:dyDescent="0.35">
      <c r="A1172" s="77">
        <v>45383</v>
      </c>
      <c r="B1172" s="3" t="s">
        <v>197</v>
      </c>
      <c r="C1172" s="4" t="s">
        <v>198</v>
      </c>
      <c r="D1172" s="4" t="s">
        <v>314</v>
      </c>
      <c r="E1172" s="4" t="s">
        <v>255</v>
      </c>
      <c r="F1172" t="s">
        <v>228</v>
      </c>
      <c r="G1172" t="s">
        <v>221</v>
      </c>
      <c r="H1172">
        <f>VLOOKUP(C1172,'TB Apr 24'!$B$13:$W$103,22,0)</f>
        <v>0</v>
      </c>
    </row>
    <row r="1173" spans="1:8" x14ac:dyDescent="0.35">
      <c r="A1173" s="77">
        <v>45383</v>
      </c>
      <c r="B1173" s="3" t="s">
        <v>199</v>
      </c>
      <c r="C1173" s="4" t="s">
        <v>200</v>
      </c>
      <c r="D1173" s="4" t="s">
        <v>314</v>
      </c>
      <c r="E1173" s="4" t="s">
        <v>254</v>
      </c>
      <c r="F1173" t="s">
        <v>228</v>
      </c>
      <c r="G1173" t="s">
        <v>221</v>
      </c>
      <c r="H1173">
        <f>VLOOKUP(C1173,'TB Apr 24'!$B$13:$W$103,22,0)</f>
        <v>0</v>
      </c>
    </row>
    <row r="1174" spans="1:8" x14ac:dyDescent="0.35">
      <c r="A1174" s="77">
        <v>45383</v>
      </c>
      <c r="B1174" s="3" t="s">
        <v>201</v>
      </c>
      <c r="C1174" s="4" t="s">
        <v>202</v>
      </c>
      <c r="D1174" s="4" t="s">
        <v>314</v>
      </c>
      <c r="E1174" s="4" t="s">
        <v>254</v>
      </c>
      <c r="F1174" t="s">
        <v>228</v>
      </c>
      <c r="G1174" t="s">
        <v>221</v>
      </c>
      <c r="H1174">
        <f>VLOOKUP(C1174,'TB Apr 24'!$B$13:$W$103,22,0)</f>
        <v>0</v>
      </c>
    </row>
    <row r="1175" spans="1:8" x14ac:dyDescent="0.35">
      <c r="A1175" s="77">
        <v>45383</v>
      </c>
      <c r="B1175" s="3" t="s">
        <v>203</v>
      </c>
      <c r="C1175" s="4" t="s">
        <v>204</v>
      </c>
      <c r="D1175" s="4" t="s">
        <v>314</v>
      </c>
      <c r="E1175" s="4" t="s">
        <v>256</v>
      </c>
      <c r="F1175" t="s">
        <v>228</v>
      </c>
      <c r="G1175" t="s">
        <v>221</v>
      </c>
      <c r="H1175">
        <f>VLOOKUP(C1175,'TB Apr 24'!$B$13:$W$103,22,0)</f>
        <v>117833</v>
      </c>
    </row>
    <row r="1176" spans="1:8" x14ac:dyDescent="0.35">
      <c r="A1176" s="77">
        <v>45383</v>
      </c>
      <c r="B1176" s="3" t="s">
        <v>205</v>
      </c>
      <c r="C1176" s="6" t="s">
        <v>206</v>
      </c>
      <c r="D1176" s="4" t="s">
        <v>314</v>
      </c>
      <c r="E1176" s="6" t="s">
        <v>322</v>
      </c>
      <c r="F1176" s="79" t="s">
        <v>228</v>
      </c>
      <c r="G1176" s="79" t="s">
        <v>221</v>
      </c>
      <c r="H1176" s="79">
        <f>VLOOKUP(C1176,'TB Apr 24'!$B$13:$W$103,22,0)</f>
        <v>0</v>
      </c>
    </row>
    <row r="1177" spans="1:8" x14ac:dyDescent="0.35">
      <c r="A1177" s="77">
        <v>45383</v>
      </c>
      <c r="B1177" s="3" t="s">
        <v>57</v>
      </c>
      <c r="C1177" s="4" t="s">
        <v>58</v>
      </c>
      <c r="D1177" s="4" t="s">
        <v>314</v>
      </c>
      <c r="E1177" s="4" t="s">
        <v>253</v>
      </c>
      <c r="F1177" t="s">
        <v>228</v>
      </c>
      <c r="G1177" t="s">
        <v>225</v>
      </c>
      <c r="H1177">
        <f>VLOOKUP(C1177,'TB Apr 24'!$B$13:$X$103,23,0)</f>
        <v>0</v>
      </c>
    </row>
    <row r="1178" spans="1:8" x14ac:dyDescent="0.35">
      <c r="A1178" s="77">
        <v>45383</v>
      </c>
      <c r="B1178" s="3" t="s">
        <v>307</v>
      </c>
      <c r="C1178" s="4" t="s">
        <v>308</v>
      </c>
      <c r="D1178" s="4" t="s">
        <v>314</v>
      </c>
      <c r="E1178" s="4" t="s">
        <v>253</v>
      </c>
      <c r="F1178" t="s">
        <v>228</v>
      </c>
      <c r="G1178" t="s">
        <v>225</v>
      </c>
      <c r="H1178">
        <f>VLOOKUP(C1178,'TB Apr 24'!$B$13:$X$103,23,0)</f>
        <v>0</v>
      </c>
    </row>
    <row r="1179" spans="1:8" x14ac:dyDescent="0.35">
      <c r="A1179" s="77">
        <v>45383</v>
      </c>
      <c r="B1179" s="3" t="s">
        <v>59</v>
      </c>
      <c r="C1179" s="4" t="s">
        <v>60</v>
      </c>
      <c r="D1179" s="4" t="s">
        <v>314</v>
      </c>
      <c r="E1179" s="4" t="s">
        <v>253</v>
      </c>
      <c r="F1179" t="s">
        <v>228</v>
      </c>
      <c r="G1179" t="s">
        <v>225</v>
      </c>
      <c r="H1179">
        <f>VLOOKUP(C1179,'TB Apr 24'!$B$13:$X$103,23,0)</f>
        <v>-27.06</v>
      </c>
    </row>
    <row r="1180" spans="1:8" x14ac:dyDescent="0.35">
      <c r="A1180" s="77">
        <v>45383</v>
      </c>
      <c r="B1180" s="3" t="s">
        <v>61</v>
      </c>
      <c r="C1180" s="4" t="s">
        <v>62</v>
      </c>
      <c r="D1180" s="4" t="s">
        <v>314</v>
      </c>
      <c r="E1180" s="4" t="s">
        <v>66</v>
      </c>
      <c r="F1180" t="s">
        <v>228</v>
      </c>
      <c r="G1180" t="s">
        <v>225</v>
      </c>
      <c r="H1180">
        <f>VLOOKUP(C1180,'TB Apr 24'!$B$13:$X$103,23,0)</f>
        <v>-63316</v>
      </c>
    </row>
    <row r="1181" spans="1:8" x14ac:dyDescent="0.35">
      <c r="A1181" s="77">
        <v>45383</v>
      </c>
      <c r="B1181" s="3" t="s">
        <v>63</v>
      </c>
      <c r="C1181" s="4" t="s">
        <v>64</v>
      </c>
      <c r="D1181" s="4" t="s">
        <v>314</v>
      </c>
      <c r="E1181" s="4" t="s">
        <v>252</v>
      </c>
      <c r="F1181" t="s">
        <v>228</v>
      </c>
      <c r="G1181" t="s">
        <v>225</v>
      </c>
      <c r="H1181">
        <f>VLOOKUP(C1181,'TB Apr 24'!$B$13:$X$103,23,0)</f>
        <v>0</v>
      </c>
    </row>
    <row r="1182" spans="1:8" x14ac:dyDescent="0.35">
      <c r="A1182" s="77">
        <v>45383</v>
      </c>
      <c r="B1182" s="3" t="s">
        <v>65</v>
      </c>
      <c r="C1182" s="4" t="s">
        <v>66</v>
      </c>
      <c r="D1182" s="4" t="s">
        <v>314</v>
      </c>
      <c r="E1182" s="4" t="s">
        <v>66</v>
      </c>
      <c r="F1182" t="s">
        <v>228</v>
      </c>
      <c r="G1182" t="s">
        <v>225</v>
      </c>
      <c r="H1182">
        <f>VLOOKUP(C1182,'TB Apr 24'!$B$13:$X$103,23,0)</f>
        <v>-1128693.8999999999</v>
      </c>
    </row>
    <row r="1183" spans="1:8" x14ac:dyDescent="0.35">
      <c r="A1183" s="77">
        <v>45383</v>
      </c>
      <c r="B1183" s="3" t="s">
        <v>67</v>
      </c>
      <c r="C1183" s="4" t="s">
        <v>68</v>
      </c>
      <c r="D1183" s="4" t="s">
        <v>314</v>
      </c>
      <c r="E1183" s="4" t="s">
        <v>252</v>
      </c>
      <c r="F1183" t="s">
        <v>228</v>
      </c>
      <c r="G1183" t="s">
        <v>225</v>
      </c>
      <c r="H1183">
        <f>VLOOKUP(C1183,'TB Apr 24'!$B$13:$X$103,23,0)</f>
        <v>-281762.88</v>
      </c>
    </row>
    <row r="1184" spans="1:8" x14ac:dyDescent="0.35">
      <c r="A1184" s="77">
        <v>45383</v>
      </c>
      <c r="B1184" s="3" t="s">
        <v>69</v>
      </c>
      <c r="C1184" s="4" t="s">
        <v>70</v>
      </c>
      <c r="D1184" s="4" t="s">
        <v>314</v>
      </c>
      <c r="E1184" s="4" t="s">
        <v>70</v>
      </c>
      <c r="F1184" t="s">
        <v>228</v>
      </c>
      <c r="G1184" t="s">
        <v>225</v>
      </c>
      <c r="H1184">
        <f>VLOOKUP(C1184,'TB Apr 24'!$B$13:$X$103,23,0)</f>
        <v>-407270.57</v>
      </c>
    </row>
    <row r="1185" spans="1:8" x14ac:dyDescent="0.35">
      <c r="A1185" s="77">
        <v>45383</v>
      </c>
      <c r="B1185" s="3" t="s">
        <v>71</v>
      </c>
      <c r="C1185" s="4" t="s">
        <v>72</v>
      </c>
      <c r="D1185" s="4" t="s">
        <v>314</v>
      </c>
      <c r="E1185" s="4" t="s">
        <v>253</v>
      </c>
      <c r="F1185" t="s">
        <v>228</v>
      </c>
      <c r="G1185" t="s">
        <v>225</v>
      </c>
      <c r="H1185">
        <f>VLOOKUP(C1185,'TB Apr 24'!$B$13:$X$103,23,0)</f>
        <v>0</v>
      </c>
    </row>
    <row r="1186" spans="1:8" x14ac:dyDescent="0.35">
      <c r="A1186" s="77">
        <v>45383</v>
      </c>
      <c r="B1186" s="3" t="s">
        <v>73</v>
      </c>
      <c r="C1186" s="4" t="s">
        <v>74</v>
      </c>
      <c r="D1186" s="4" t="s">
        <v>314</v>
      </c>
      <c r="E1186" s="4" t="s">
        <v>253</v>
      </c>
      <c r="F1186" t="s">
        <v>228</v>
      </c>
      <c r="G1186" t="s">
        <v>225</v>
      </c>
      <c r="H1186">
        <f>VLOOKUP(C1186,'TB Apr 24'!$B$13:$X$103,23,0)</f>
        <v>-3189.8</v>
      </c>
    </row>
    <row r="1187" spans="1:8" x14ac:dyDescent="0.35">
      <c r="A1187" s="77">
        <v>45383</v>
      </c>
      <c r="B1187" s="3" t="s">
        <v>75</v>
      </c>
      <c r="C1187" s="4" t="s">
        <v>76</v>
      </c>
      <c r="D1187" s="4" t="s">
        <v>314</v>
      </c>
      <c r="E1187" s="4" t="s">
        <v>253</v>
      </c>
      <c r="F1187" t="s">
        <v>228</v>
      </c>
      <c r="G1187" t="s">
        <v>225</v>
      </c>
      <c r="H1187">
        <f>VLOOKUP(C1187,'TB Apr 24'!$B$13:$X$103,23,0)</f>
        <v>0</v>
      </c>
    </row>
    <row r="1188" spans="1:8" x14ac:dyDescent="0.35">
      <c r="A1188" s="77">
        <v>45383</v>
      </c>
      <c r="B1188" s="3" t="s">
        <v>77</v>
      </c>
      <c r="C1188" s="4" t="s">
        <v>78</v>
      </c>
      <c r="D1188" s="4" t="s">
        <v>314</v>
      </c>
      <c r="E1188" s="4" t="s">
        <v>253</v>
      </c>
      <c r="F1188" t="s">
        <v>228</v>
      </c>
      <c r="G1188" t="s">
        <v>225</v>
      </c>
      <c r="H1188">
        <f>VLOOKUP(C1188,'TB Apr 24'!$B$13:$X$103,23,0)</f>
        <v>-15029.72</v>
      </c>
    </row>
    <row r="1189" spans="1:8" x14ac:dyDescent="0.35">
      <c r="A1189" s="77">
        <v>45383</v>
      </c>
      <c r="B1189" s="3" t="s">
        <v>79</v>
      </c>
      <c r="C1189" s="4" t="s">
        <v>80</v>
      </c>
      <c r="D1189" s="4" t="s">
        <v>314</v>
      </c>
      <c r="E1189" s="4" t="s">
        <v>253</v>
      </c>
      <c r="F1189" t="s">
        <v>228</v>
      </c>
      <c r="G1189" t="s">
        <v>225</v>
      </c>
      <c r="H1189">
        <f>VLOOKUP(C1189,'TB Apr 24'!$B$13:$X$103,23,0)</f>
        <v>-33488.1</v>
      </c>
    </row>
    <row r="1190" spans="1:8" x14ac:dyDescent="0.35">
      <c r="A1190" s="77">
        <v>45383</v>
      </c>
      <c r="B1190" s="3" t="s">
        <v>81</v>
      </c>
      <c r="C1190" s="4" t="s">
        <v>82</v>
      </c>
      <c r="D1190" s="4" t="s">
        <v>314</v>
      </c>
      <c r="E1190" s="4" t="s">
        <v>319</v>
      </c>
      <c r="F1190" t="s">
        <v>228</v>
      </c>
      <c r="G1190" t="s">
        <v>225</v>
      </c>
      <c r="H1190">
        <f>VLOOKUP(C1190,'TB Apr 24'!$B$13:$X$103,23,0)</f>
        <v>7834</v>
      </c>
    </row>
    <row r="1191" spans="1:8" x14ac:dyDescent="0.35">
      <c r="A1191" s="77">
        <v>45383</v>
      </c>
      <c r="B1191" s="3" t="s">
        <v>83</v>
      </c>
      <c r="C1191" s="4" t="s">
        <v>84</v>
      </c>
      <c r="D1191" s="4" t="s">
        <v>314</v>
      </c>
      <c r="E1191" s="4" t="s">
        <v>319</v>
      </c>
      <c r="F1191" t="s">
        <v>228</v>
      </c>
      <c r="G1191" t="s">
        <v>225</v>
      </c>
      <c r="H1191">
        <f>VLOOKUP(C1191,'TB Apr 24'!$B$13:$X$103,23,0)</f>
        <v>0</v>
      </c>
    </row>
    <row r="1192" spans="1:8" x14ac:dyDescent="0.35">
      <c r="A1192" s="77">
        <v>45383</v>
      </c>
      <c r="B1192" s="3" t="s">
        <v>85</v>
      </c>
      <c r="C1192" s="4" t="s">
        <v>86</v>
      </c>
      <c r="D1192" s="4" t="s">
        <v>314</v>
      </c>
      <c r="E1192" s="4" t="s">
        <v>291</v>
      </c>
      <c r="F1192" t="s">
        <v>228</v>
      </c>
      <c r="G1192" t="s">
        <v>225</v>
      </c>
      <c r="H1192">
        <f>VLOOKUP(C1192,'TB Apr 24'!$B$13:$X$103,23,0)</f>
        <v>12717</v>
      </c>
    </row>
    <row r="1193" spans="1:8" x14ac:dyDescent="0.35">
      <c r="A1193" s="77">
        <v>45383</v>
      </c>
      <c r="B1193" s="3" t="s">
        <v>88</v>
      </c>
      <c r="C1193" s="4" t="s">
        <v>89</v>
      </c>
      <c r="D1193" s="4" t="s">
        <v>314</v>
      </c>
      <c r="E1193" s="4" t="s">
        <v>300</v>
      </c>
      <c r="F1193" t="s">
        <v>228</v>
      </c>
      <c r="G1193" t="s">
        <v>225</v>
      </c>
      <c r="H1193">
        <f>VLOOKUP(C1193,'TB Apr 24'!$B$13:$X$103,23,0)</f>
        <v>0</v>
      </c>
    </row>
    <row r="1194" spans="1:8" x14ac:dyDescent="0.35">
      <c r="A1194" s="77">
        <v>45383</v>
      </c>
      <c r="B1194" s="3" t="s">
        <v>90</v>
      </c>
      <c r="C1194" s="4" t="s">
        <v>91</v>
      </c>
      <c r="D1194" s="4" t="s">
        <v>314</v>
      </c>
      <c r="E1194" s="4" t="s">
        <v>300</v>
      </c>
      <c r="F1194" t="s">
        <v>228</v>
      </c>
      <c r="G1194" t="s">
        <v>225</v>
      </c>
      <c r="H1194">
        <f>VLOOKUP(C1194,'TB Apr 24'!$B$13:$X$103,23,0)</f>
        <v>2325</v>
      </c>
    </row>
    <row r="1195" spans="1:8" x14ac:dyDescent="0.35">
      <c r="A1195" s="77">
        <v>45383</v>
      </c>
      <c r="B1195" s="3" t="s">
        <v>92</v>
      </c>
      <c r="C1195" s="4" t="s">
        <v>93</v>
      </c>
      <c r="D1195" s="4" t="s">
        <v>314</v>
      </c>
      <c r="E1195" s="4" t="s">
        <v>300</v>
      </c>
      <c r="F1195" t="s">
        <v>228</v>
      </c>
      <c r="G1195" t="s">
        <v>225</v>
      </c>
      <c r="H1195">
        <f>VLOOKUP(C1195,'TB Apr 24'!$B$13:$X$103,23,0)</f>
        <v>0</v>
      </c>
    </row>
    <row r="1196" spans="1:8" x14ac:dyDescent="0.35">
      <c r="A1196" s="77">
        <v>45383</v>
      </c>
      <c r="B1196" s="3" t="s">
        <v>94</v>
      </c>
      <c r="C1196" s="4" t="s">
        <v>95</v>
      </c>
      <c r="D1196" s="4" t="s">
        <v>314</v>
      </c>
      <c r="E1196" s="4" t="s">
        <v>289</v>
      </c>
      <c r="F1196" t="s">
        <v>228</v>
      </c>
      <c r="G1196" t="s">
        <v>225</v>
      </c>
      <c r="H1196">
        <f>VLOOKUP(C1196,'TB Apr 24'!$B$13:$X$103,23,0)</f>
        <v>948894.66666666663</v>
      </c>
    </row>
    <row r="1197" spans="1:8" x14ac:dyDescent="0.35">
      <c r="A1197" s="77">
        <v>45383</v>
      </c>
      <c r="B1197" s="3" t="s">
        <v>96</v>
      </c>
      <c r="C1197" s="4" t="s">
        <v>97</v>
      </c>
      <c r="D1197" s="4" t="s">
        <v>314</v>
      </c>
      <c r="E1197" s="4" t="s">
        <v>289</v>
      </c>
      <c r="F1197" t="s">
        <v>228</v>
      </c>
      <c r="G1197" t="s">
        <v>225</v>
      </c>
      <c r="H1197">
        <f>VLOOKUP(C1197,'TB Apr 24'!$B$13:$X$103,23,0)</f>
        <v>0</v>
      </c>
    </row>
    <row r="1198" spans="1:8" x14ac:dyDescent="0.35">
      <c r="A1198" s="77">
        <v>45383</v>
      </c>
      <c r="B1198" s="3" t="s">
        <v>309</v>
      </c>
      <c r="C1198" s="4" t="s">
        <v>310</v>
      </c>
      <c r="D1198" s="4" t="s">
        <v>314</v>
      </c>
      <c r="E1198" s="4" t="s">
        <v>289</v>
      </c>
      <c r="F1198" t="s">
        <v>228</v>
      </c>
      <c r="G1198" t="s">
        <v>225</v>
      </c>
      <c r="H1198">
        <f>VLOOKUP(C1198,'TB Apr 24'!$B$13:$X$103,23,0)</f>
        <v>0</v>
      </c>
    </row>
    <row r="1199" spans="1:8" x14ac:dyDescent="0.35">
      <c r="A1199" s="77">
        <v>45383</v>
      </c>
      <c r="B1199" s="3" t="s">
        <v>98</v>
      </c>
      <c r="C1199" s="4" t="s">
        <v>99</v>
      </c>
      <c r="D1199" s="4" t="s">
        <v>314</v>
      </c>
      <c r="E1199" s="4" t="s">
        <v>289</v>
      </c>
      <c r="F1199" t="s">
        <v>228</v>
      </c>
      <c r="G1199" t="s">
        <v>225</v>
      </c>
      <c r="H1199">
        <f>VLOOKUP(C1199,'TB Apr 24'!$B$13:$X$103,23,0)</f>
        <v>0</v>
      </c>
    </row>
    <row r="1200" spans="1:8" x14ac:dyDescent="0.35">
      <c r="A1200" s="77">
        <v>45383</v>
      </c>
      <c r="B1200" s="3" t="s">
        <v>100</v>
      </c>
      <c r="C1200" s="4" t="s">
        <v>101</v>
      </c>
      <c r="D1200" s="4" t="s">
        <v>314</v>
      </c>
      <c r="E1200" s="4" t="s">
        <v>291</v>
      </c>
      <c r="F1200" t="s">
        <v>228</v>
      </c>
      <c r="G1200" t="s">
        <v>225</v>
      </c>
      <c r="H1200">
        <f>VLOOKUP(C1200,'TB Apr 24'!$B$13:$X$103,23,0)</f>
        <v>0</v>
      </c>
    </row>
    <row r="1201" spans="1:8" x14ac:dyDescent="0.35">
      <c r="A1201" s="77">
        <v>45383</v>
      </c>
      <c r="B1201" s="3" t="s">
        <v>102</v>
      </c>
      <c r="C1201" s="4" t="s">
        <v>103</v>
      </c>
      <c r="D1201" s="4" t="s">
        <v>314</v>
      </c>
      <c r="E1201" s="4" t="s">
        <v>291</v>
      </c>
      <c r="F1201" t="s">
        <v>228</v>
      </c>
      <c r="G1201" t="s">
        <v>225</v>
      </c>
      <c r="H1201">
        <f>VLOOKUP(C1201,'TB Apr 24'!$B$13:$X$103,23,0)</f>
        <v>521</v>
      </c>
    </row>
    <row r="1202" spans="1:8" x14ac:dyDescent="0.35">
      <c r="A1202" s="77">
        <v>45383</v>
      </c>
      <c r="B1202" s="3" t="s">
        <v>104</v>
      </c>
      <c r="C1202" s="4" t="s">
        <v>105</v>
      </c>
      <c r="D1202" s="4" t="s">
        <v>314</v>
      </c>
      <c r="E1202" s="4" t="s">
        <v>291</v>
      </c>
      <c r="F1202" t="s">
        <v>228</v>
      </c>
      <c r="G1202" t="s">
        <v>225</v>
      </c>
      <c r="H1202">
        <f>VLOOKUP(C1202,'TB Apr 24'!$B$13:$X$103,23,0)</f>
        <v>0</v>
      </c>
    </row>
    <row r="1203" spans="1:8" x14ac:dyDescent="0.35">
      <c r="A1203" s="77">
        <v>45383</v>
      </c>
      <c r="B1203" s="3" t="s">
        <v>106</v>
      </c>
      <c r="C1203" s="4" t="s">
        <v>107</v>
      </c>
      <c r="D1203" s="4" t="s">
        <v>314</v>
      </c>
      <c r="E1203" s="4" t="s">
        <v>321</v>
      </c>
      <c r="F1203" t="s">
        <v>228</v>
      </c>
      <c r="G1203" t="s">
        <v>225</v>
      </c>
      <c r="H1203">
        <f>VLOOKUP(C1203,'TB Apr 24'!$B$13:$X$103,23,0)</f>
        <v>0</v>
      </c>
    </row>
    <row r="1204" spans="1:8" x14ac:dyDescent="0.35">
      <c r="A1204" s="77">
        <v>45383</v>
      </c>
      <c r="B1204" s="3" t="s">
        <v>108</v>
      </c>
      <c r="C1204" s="4" t="s">
        <v>109</v>
      </c>
      <c r="D1204" s="4" t="s">
        <v>314</v>
      </c>
      <c r="E1204" s="4" t="s">
        <v>321</v>
      </c>
      <c r="F1204" t="s">
        <v>228</v>
      </c>
      <c r="G1204" t="s">
        <v>225</v>
      </c>
      <c r="H1204">
        <f>VLOOKUP(C1204,'TB Apr 24'!$B$13:$X$103,23,0)</f>
        <v>0</v>
      </c>
    </row>
    <row r="1205" spans="1:8" x14ac:dyDescent="0.35">
      <c r="A1205" s="77">
        <v>45383</v>
      </c>
      <c r="B1205" s="3" t="s">
        <v>110</v>
      </c>
      <c r="C1205" s="4" t="s">
        <v>111</v>
      </c>
      <c r="D1205" s="4" t="s">
        <v>314</v>
      </c>
      <c r="E1205" s="4" t="s">
        <v>320</v>
      </c>
      <c r="F1205" t="s">
        <v>228</v>
      </c>
      <c r="G1205" t="s">
        <v>225</v>
      </c>
      <c r="H1205">
        <f>VLOOKUP(C1205,'TB Apr 24'!$B$13:$X$103,23,0)</f>
        <v>0</v>
      </c>
    </row>
    <row r="1206" spans="1:8" x14ac:dyDescent="0.35">
      <c r="A1206" s="77">
        <v>45383</v>
      </c>
      <c r="B1206" s="3" t="s">
        <v>112</v>
      </c>
      <c r="C1206" s="4" t="s">
        <v>113</v>
      </c>
      <c r="D1206" s="4" t="s">
        <v>314</v>
      </c>
      <c r="E1206" s="4" t="s">
        <v>321</v>
      </c>
      <c r="F1206" t="s">
        <v>228</v>
      </c>
      <c r="G1206" t="s">
        <v>225</v>
      </c>
      <c r="H1206">
        <f>VLOOKUP(C1206,'TB Apr 24'!$B$13:$X$103,23,0)</f>
        <v>0</v>
      </c>
    </row>
    <row r="1207" spans="1:8" x14ac:dyDescent="0.35">
      <c r="A1207" s="77">
        <v>45383</v>
      </c>
      <c r="B1207" s="3" t="s">
        <v>311</v>
      </c>
      <c r="C1207" s="4" t="s">
        <v>312</v>
      </c>
      <c r="D1207" s="4" t="s">
        <v>314</v>
      </c>
      <c r="E1207" s="4" t="s">
        <v>288</v>
      </c>
      <c r="F1207" t="s">
        <v>228</v>
      </c>
      <c r="G1207" t="s">
        <v>225</v>
      </c>
      <c r="H1207">
        <f>VLOOKUP(C1207,'TB Apr 24'!$B$13:$X$103,23,0)</f>
        <v>0</v>
      </c>
    </row>
    <row r="1208" spans="1:8" x14ac:dyDescent="0.35">
      <c r="A1208" s="77">
        <v>45383</v>
      </c>
      <c r="B1208" s="3" t="s">
        <v>114</v>
      </c>
      <c r="C1208" s="4" t="s">
        <v>115</v>
      </c>
      <c r="D1208" s="4" t="s">
        <v>314</v>
      </c>
      <c r="E1208" s="4" t="s">
        <v>294</v>
      </c>
      <c r="F1208" t="s">
        <v>228</v>
      </c>
      <c r="G1208" t="s">
        <v>225</v>
      </c>
      <c r="H1208">
        <f>VLOOKUP(C1208,'TB Apr 24'!$B$13:$X$103,23,0)</f>
        <v>0</v>
      </c>
    </row>
    <row r="1209" spans="1:8" x14ac:dyDescent="0.35">
      <c r="A1209" s="77">
        <v>45383</v>
      </c>
      <c r="B1209" s="3" t="s">
        <v>116</v>
      </c>
      <c r="C1209" s="4" t="s">
        <v>117</v>
      </c>
      <c r="D1209" s="4" t="s">
        <v>314</v>
      </c>
      <c r="E1209" s="4" t="s">
        <v>296</v>
      </c>
      <c r="F1209" t="s">
        <v>228</v>
      </c>
      <c r="G1209" t="s">
        <v>225</v>
      </c>
      <c r="H1209">
        <f>VLOOKUP(C1209,'TB Apr 24'!$B$13:$X$103,23,0)</f>
        <v>0</v>
      </c>
    </row>
    <row r="1210" spans="1:8" x14ac:dyDescent="0.35">
      <c r="A1210" s="77">
        <v>45383</v>
      </c>
      <c r="B1210" s="3" t="s">
        <v>118</v>
      </c>
      <c r="C1210" s="4" t="s">
        <v>119</v>
      </c>
      <c r="D1210" s="4" t="s">
        <v>314</v>
      </c>
      <c r="E1210" s="4" t="s">
        <v>296</v>
      </c>
      <c r="F1210" t="s">
        <v>228</v>
      </c>
      <c r="G1210" t="s">
        <v>225</v>
      </c>
      <c r="H1210">
        <f>VLOOKUP(C1210,'TB Apr 24'!$B$13:$X$103,23,0)</f>
        <v>0</v>
      </c>
    </row>
    <row r="1211" spans="1:8" x14ac:dyDescent="0.35">
      <c r="A1211" s="77">
        <v>45383</v>
      </c>
      <c r="B1211" s="3" t="s">
        <v>120</v>
      </c>
      <c r="C1211" s="4" t="s">
        <v>121</v>
      </c>
      <c r="D1211" s="4" t="s">
        <v>314</v>
      </c>
      <c r="E1211" s="4" t="s">
        <v>322</v>
      </c>
      <c r="F1211" t="s">
        <v>228</v>
      </c>
      <c r="G1211" t="s">
        <v>225</v>
      </c>
      <c r="H1211">
        <f>VLOOKUP(C1211,'TB Apr 24'!$B$13:$X$103,23,0)</f>
        <v>907</v>
      </c>
    </row>
    <row r="1212" spans="1:8" x14ac:dyDescent="0.35">
      <c r="A1212" s="77">
        <v>45383</v>
      </c>
      <c r="B1212" s="3" t="s">
        <v>122</v>
      </c>
      <c r="C1212" s="4" t="s">
        <v>123</v>
      </c>
      <c r="D1212" s="4" t="s">
        <v>314</v>
      </c>
      <c r="E1212" s="4" t="s">
        <v>322</v>
      </c>
      <c r="F1212" t="s">
        <v>228</v>
      </c>
      <c r="G1212" t="s">
        <v>225</v>
      </c>
      <c r="H1212">
        <f>VLOOKUP(C1212,'TB Apr 24'!$B$13:$X$103,23,0)</f>
        <v>14856</v>
      </c>
    </row>
    <row r="1213" spans="1:8" x14ac:dyDescent="0.35">
      <c r="A1213" s="77">
        <v>45383</v>
      </c>
      <c r="B1213" s="3" t="s">
        <v>124</v>
      </c>
      <c r="C1213" s="4" t="s">
        <v>125</v>
      </c>
      <c r="D1213" s="4" t="s">
        <v>314</v>
      </c>
      <c r="E1213" s="4" t="s">
        <v>322</v>
      </c>
      <c r="F1213" t="s">
        <v>228</v>
      </c>
      <c r="G1213" t="s">
        <v>225</v>
      </c>
      <c r="H1213">
        <f>VLOOKUP(C1213,'TB Apr 24'!$B$13:$X$103,23,0)</f>
        <v>0</v>
      </c>
    </row>
    <row r="1214" spans="1:8" x14ac:dyDescent="0.35">
      <c r="A1214" s="77">
        <v>45383</v>
      </c>
      <c r="B1214" s="3" t="s">
        <v>126</v>
      </c>
      <c r="C1214" s="4" t="s">
        <v>127</v>
      </c>
      <c r="D1214" s="4" t="s">
        <v>314</v>
      </c>
      <c r="E1214" s="4" t="s">
        <v>291</v>
      </c>
      <c r="F1214" t="s">
        <v>228</v>
      </c>
      <c r="G1214" t="s">
        <v>225</v>
      </c>
      <c r="H1214">
        <f>VLOOKUP(C1214,'TB Apr 24'!$B$13:$X$103,23,0)</f>
        <v>0</v>
      </c>
    </row>
    <row r="1215" spans="1:8" x14ac:dyDescent="0.35">
      <c r="A1215" s="77">
        <v>45383</v>
      </c>
      <c r="B1215" s="3" t="s">
        <v>128</v>
      </c>
      <c r="C1215" s="4" t="s">
        <v>129</v>
      </c>
      <c r="D1215" s="4" t="s">
        <v>314</v>
      </c>
      <c r="E1215" s="4" t="s">
        <v>322</v>
      </c>
      <c r="F1215" t="s">
        <v>228</v>
      </c>
      <c r="G1215" t="s">
        <v>225</v>
      </c>
      <c r="H1215">
        <f>VLOOKUP(C1215,'TB Apr 24'!$B$13:$X$103,23,0)</f>
        <v>9577.6666666666679</v>
      </c>
    </row>
    <row r="1216" spans="1:8" x14ac:dyDescent="0.35">
      <c r="A1216" s="77">
        <v>45383</v>
      </c>
      <c r="B1216" s="3" t="s">
        <v>130</v>
      </c>
      <c r="C1216" s="4" t="s">
        <v>131</v>
      </c>
      <c r="D1216" s="4" t="s">
        <v>314</v>
      </c>
      <c r="E1216" s="4" t="s">
        <v>322</v>
      </c>
      <c r="F1216" t="s">
        <v>228</v>
      </c>
      <c r="G1216" t="s">
        <v>225</v>
      </c>
      <c r="H1216">
        <f>VLOOKUP(C1216,'TB Apr 24'!$B$13:$X$103,23,0)</f>
        <v>122</v>
      </c>
    </row>
    <row r="1217" spans="1:8" x14ac:dyDescent="0.35">
      <c r="A1217" s="77">
        <v>45383</v>
      </c>
      <c r="B1217" s="3" t="s">
        <v>132</v>
      </c>
      <c r="C1217" s="4" t="s">
        <v>133</v>
      </c>
      <c r="D1217" s="4" t="s">
        <v>314</v>
      </c>
      <c r="E1217" s="4" t="s">
        <v>320</v>
      </c>
      <c r="F1217" t="s">
        <v>228</v>
      </c>
      <c r="G1217" t="s">
        <v>225</v>
      </c>
      <c r="H1217">
        <f>VLOOKUP(C1217,'TB Apr 24'!$B$13:$X$103,23,0)</f>
        <v>10377.333333333332</v>
      </c>
    </row>
    <row r="1218" spans="1:8" x14ac:dyDescent="0.35">
      <c r="A1218" s="77">
        <v>45383</v>
      </c>
      <c r="B1218" s="3" t="s">
        <v>134</v>
      </c>
      <c r="C1218" s="4" t="s">
        <v>135</v>
      </c>
      <c r="D1218" s="4" t="s">
        <v>314</v>
      </c>
      <c r="E1218" s="4" t="s">
        <v>299</v>
      </c>
      <c r="F1218" t="s">
        <v>228</v>
      </c>
      <c r="G1218" t="s">
        <v>225</v>
      </c>
      <c r="H1218">
        <f>VLOOKUP(C1218,'TB Apr 24'!$B$13:$X$103,23,0)</f>
        <v>0</v>
      </c>
    </row>
    <row r="1219" spans="1:8" x14ac:dyDescent="0.35">
      <c r="A1219" s="77">
        <v>45383</v>
      </c>
      <c r="B1219" s="3" t="s">
        <v>136</v>
      </c>
      <c r="C1219" s="4" t="s">
        <v>137</v>
      </c>
      <c r="D1219" s="4" t="s">
        <v>314</v>
      </c>
      <c r="E1219" s="4" t="s">
        <v>322</v>
      </c>
      <c r="F1219" t="s">
        <v>228</v>
      </c>
      <c r="G1219" t="s">
        <v>225</v>
      </c>
      <c r="H1219">
        <f>VLOOKUP(C1219,'TB Apr 24'!$B$13:$X$103,23,0)</f>
        <v>0</v>
      </c>
    </row>
    <row r="1220" spans="1:8" x14ac:dyDescent="0.35">
      <c r="A1220" s="77">
        <v>45383</v>
      </c>
      <c r="B1220" s="3" t="s">
        <v>138</v>
      </c>
      <c r="C1220" s="4" t="s">
        <v>139</v>
      </c>
      <c r="D1220" s="4" t="s">
        <v>314</v>
      </c>
      <c r="E1220" s="4" t="s">
        <v>294</v>
      </c>
      <c r="F1220" t="s">
        <v>228</v>
      </c>
      <c r="G1220" t="s">
        <v>225</v>
      </c>
      <c r="H1220">
        <f>VLOOKUP(C1220,'TB Apr 24'!$B$13:$X$103,23,0)</f>
        <v>2031</v>
      </c>
    </row>
    <row r="1221" spans="1:8" x14ac:dyDescent="0.35">
      <c r="A1221" s="77">
        <v>45383</v>
      </c>
      <c r="B1221" s="3" t="s">
        <v>140</v>
      </c>
      <c r="C1221" s="4" t="s">
        <v>141</v>
      </c>
      <c r="D1221" s="4" t="s">
        <v>314</v>
      </c>
      <c r="E1221" s="4" t="s">
        <v>268</v>
      </c>
      <c r="F1221" t="s">
        <v>228</v>
      </c>
      <c r="G1221" t="s">
        <v>225</v>
      </c>
      <c r="H1221">
        <f>VLOOKUP(C1221,'TB Apr 24'!$B$13:$X$103,23,0)</f>
        <v>173950.02269999997</v>
      </c>
    </row>
    <row r="1222" spans="1:8" x14ac:dyDescent="0.35">
      <c r="A1222" s="77">
        <v>45383</v>
      </c>
      <c r="B1222" s="3" t="s">
        <v>142</v>
      </c>
      <c r="C1222" s="4" t="s">
        <v>143</v>
      </c>
      <c r="D1222" s="4" t="s">
        <v>314</v>
      </c>
      <c r="E1222" s="4" t="s">
        <v>269</v>
      </c>
      <c r="F1222" t="s">
        <v>228</v>
      </c>
      <c r="G1222" t="s">
        <v>225</v>
      </c>
      <c r="H1222">
        <f>VLOOKUP(C1222,'TB Apr 24'!$B$13:$X$103,23,0)</f>
        <v>150958</v>
      </c>
    </row>
    <row r="1223" spans="1:8" x14ac:dyDescent="0.35">
      <c r="A1223" s="77">
        <v>45383</v>
      </c>
      <c r="B1223" s="3" t="s">
        <v>144</v>
      </c>
      <c r="C1223" s="4" t="s">
        <v>145</v>
      </c>
      <c r="D1223" s="4" t="s">
        <v>314</v>
      </c>
      <c r="E1223" s="4" t="s">
        <v>288</v>
      </c>
      <c r="F1223" t="s">
        <v>228</v>
      </c>
      <c r="G1223" t="s">
        <v>225</v>
      </c>
      <c r="H1223">
        <f>VLOOKUP(C1223,'TB Apr 24'!$B$13:$X$103,23,0)</f>
        <v>30211.22</v>
      </c>
    </row>
    <row r="1224" spans="1:8" x14ac:dyDescent="0.35">
      <c r="A1224" s="77">
        <v>45383</v>
      </c>
      <c r="B1224" s="3" t="s">
        <v>146</v>
      </c>
      <c r="C1224" s="4" t="s">
        <v>147</v>
      </c>
      <c r="D1224" s="4" t="s">
        <v>314</v>
      </c>
      <c r="E1224" s="4" t="s">
        <v>288</v>
      </c>
      <c r="F1224" t="s">
        <v>228</v>
      </c>
      <c r="G1224" t="s">
        <v>225</v>
      </c>
      <c r="H1224">
        <f>VLOOKUP(C1224,'TB Apr 24'!$B$13:$X$103,23,0)</f>
        <v>16056.083333333334</v>
      </c>
    </row>
    <row r="1225" spans="1:8" x14ac:dyDescent="0.35">
      <c r="A1225" s="77">
        <v>45383</v>
      </c>
      <c r="B1225" s="3" t="s">
        <v>148</v>
      </c>
      <c r="C1225" s="4" t="s">
        <v>149</v>
      </c>
      <c r="D1225" s="4" t="s">
        <v>314</v>
      </c>
      <c r="E1225" s="4" t="s">
        <v>287</v>
      </c>
      <c r="F1225" t="s">
        <v>228</v>
      </c>
      <c r="G1225" t="s">
        <v>225</v>
      </c>
      <c r="H1225">
        <f>VLOOKUP(C1225,'TB Apr 24'!$B$13:$X$103,23,0)</f>
        <v>52620.62</v>
      </c>
    </row>
    <row r="1226" spans="1:8" x14ac:dyDescent="0.35">
      <c r="A1226" s="77">
        <v>45383</v>
      </c>
      <c r="B1226" s="3" t="s">
        <v>150</v>
      </c>
      <c r="C1226" s="4" t="s">
        <v>87</v>
      </c>
      <c r="D1226" s="4" t="s">
        <v>314</v>
      </c>
      <c r="E1226" s="4" t="s">
        <v>288</v>
      </c>
      <c r="F1226" t="s">
        <v>228</v>
      </c>
      <c r="G1226" t="s">
        <v>225</v>
      </c>
      <c r="H1226">
        <f>VLOOKUP(C1226,'TB Apr 24'!$B$13:$X$103,23,0)</f>
        <v>60119.5</v>
      </c>
    </row>
    <row r="1227" spans="1:8" x14ac:dyDescent="0.35">
      <c r="A1227" s="77">
        <v>45383</v>
      </c>
      <c r="B1227" s="3" t="s">
        <v>151</v>
      </c>
      <c r="C1227" s="4" t="s">
        <v>152</v>
      </c>
      <c r="D1227" s="4" t="s">
        <v>314</v>
      </c>
      <c r="E1227" s="4" t="s">
        <v>288</v>
      </c>
      <c r="F1227" t="s">
        <v>228</v>
      </c>
      <c r="G1227" t="s">
        <v>225</v>
      </c>
      <c r="H1227">
        <f>VLOOKUP(C1227,'TB Apr 24'!$B$13:$X$103,23,0)</f>
        <v>1876.12</v>
      </c>
    </row>
    <row r="1228" spans="1:8" x14ac:dyDescent="0.35">
      <c r="A1228" s="77">
        <v>45383</v>
      </c>
      <c r="B1228" s="3" t="s">
        <v>153</v>
      </c>
      <c r="C1228" s="4" t="s">
        <v>154</v>
      </c>
      <c r="D1228" s="4" t="s">
        <v>314</v>
      </c>
      <c r="E1228" s="4" t="s">
        <v>288</v>
      </c>
      <c r="F1228" t="s">
        <v>228</v>
      </c>
      <c r="G1228" t="s">
        <v>225</v>
      </c>
      <c r="H1228">
        <f>VLOOKUP(C1228,'TB Apr 24'!$B$13:$X$103,23,0)</f>
        <v>27284.880000000001</v>
      </c>
    </row>
    <row r="1229" spans="1:8" x14ac:dyDescent="0.35">
      <c r="A1229" s="77">
        <v>45383</v>
      </c>
      <c r="B1229" s="3" t="s">
        <v>155</v>
      </c>
      <c r="C1229" s="4" t="s">
        <v>156</v>
      </c>
      <c r="D1229" s="4" t="s">
        <v>314</v>
      </c>
      <c r="E1229" s="4" t="s">
        <v>288</v>
      </c>
      <c r="F1229" t="s">
        <v>228</v>
      </c>
      <c r="G1229" t="s">
        <v>225</v>
      </c>
      <c r="H1229">
        <f>VLOOKUP(C1229,'TB Apr 24'!$B$13:$X$103,23,0)</f>
        <v>0</v>
      </c>
    </row>
    <row r="1230" spans="1:8" x14ac:dyDescent="0.35">
      <c r="A1230" s="77">
        <v>45383</v>
      </c>
      <c r="B1230" s="3" t="s">
        <v>157</v>
      </c>
      <c r="C1230" s="4" t="s">
        <v>158</v>
      </c>
      <c r="D1230" s="4" t="s">
        <v>314</v>
      </c>
      <c r="E1230" s="4" t="s">
        <v>292</v>
      </c>
      <c r="F1230" t="s">
        <v>228</v>
      </c>
      <c r="G1230" t="s">
        <v>225</v>
      </c>
      <c r="H1230">
        <f>VLOOKUP(C1230,'TB Apr 24'!$B$13:$X$103,23,0)</f>
        <v>0</v>
      </c>
    </row>
    <row r="1231" spans="1:8" x14ac:dyDescent="0.35">
      <c r="A1231" s="77">
        <v>45383</v>
      </c>
      <c r="B1231" s="3" t="s">
        <v>159</v>
      </c>
      <c r="C1231" s="4" t="s">
        <v>160</v>
      </c>
      <c r="D1231" s="4" t="s">
        <v>314</v>
      </c>
      <c r="E1231" s="4" t="s">
        <v>323</v>
      </c>
      <c r="F1231" t="s">
        <v>228</v>
      </c>
      <c r="G1231" t="s">
        <v>225</v>
      </c>
      <c r="H1231">
        <f>VLOOKUP(C1231,'TB Apr 24'!$B$13:$X$103,23,0)</f>
        <v>0</v>
      </c>
    </row>
    <row r="1232" spans="1:8" x14ac:dyDescent="0.35">
      <c r="A1232" s="77">
        <v>45383</v>
      </c>
      <c r="B1232" s="3" t="s">
        <v>161</v>
      </c>
      <c r="C1232" s="4" t="s">
        <v>162</v>
      </c>
      <c r="D1232" s="4" t="s">
        <v>314</v>
      </c>
      <c r="E1232" s="4" t="s">
        <v>323</v>
      </c>
      <c r="F1232" t="s">
        <v>228</v>
      </c>
      <c r="G1232" t="s">
        <v>225</v>
      </c>
      <c r="H1232">
        <f>VLOOKUP(C1232,'TB Apr 24'!$B$13:$X$103,23,0)</f>
        <v>2000</v>
      </c>
    </row>
    <row r="1233" spans="1:8" x14ac:dyDescent="0.35">
      <c r="A1233" s="77">
        <v>45383</v>
      </c>
      <c r="B1233" s="3" t="s">
        <v>163</v>
      </c>
      <c r="C1233" s="4" t="s">
        <v>164</v>
      </c>
      <c r="D1233" s="4" t="s">
        <v>314</v>
      </c>
      <c r="E1233" s="4" t="s">
        <v>319</v>
      </c>
      <c r="F1233" t="s">
        <v>228</v>
      </c>
      <c r="G1233" t="s">
        <v>225</v>
      </c>
      <c r="H1233">
        <f>VLOOKUP(C1233,'TB Apr 24'!$B$13:$X$103,23,0)</f>
        <v>1500</v>
      </c>
    </row>
    <row r="1234" spans="1:8" x14ac:dyDescent="0.35">
      <c r="A1234" s="77">
        <v>45383</v>
      </c>
      <c r="B1234" s="3" t="s">
        <v>165</v>
      </c>
      <c r="C1234" s="4" t="s">
        <v>166</v>
      </c>
      <c r="D1234" s="4" t="s">
        <v>314</v>
      </c>
      <c r="E1234" s="4" t="s">
        <v>304</v>
      </c>
      <c r="F1234" t="s">
        <v>228</v>
      </c>
      <c r="G1234" t="s">
        <v>225</v>
      </c>
      <c r="H1234">
        <f>VLOOKUP(C1234,'TB Apr 24'!$B$13:$X$103,23,0)</f>
        <v>24014</v>
      </c>
    </row>
    <row r="1235" spans="1:8" x14ac:dyDescent="0.35">
      <c r="A1235" s="77">
        <v>45383</v>
      </c>
      <c r="B1235" s="3" t="s">
        <v>167</v>
      </c>
      <c r="C1235" s="4" t="s">
        <v>168</v>
      </c>
      <c r="D1235" s="4" t="s">
        <v>314</v>
      </c>
      <c r="E1235" s="4" t="s">
        <v>322</v>
      </c>
      <c r="F1235" t="s">
        <v>228</v>
      </c>
      <c r="G1235" t="s">
        <v>225</v>
      </c>
      <c r="H1235">
        <f>VLOOKUP(C1235,'TB Apr 24'!$B$13:$X$103,23,0)</f>
        <v>0</v>
      </c>
    </row>
    <row r="1236" spans="1:8" x14ac:dyDescent="0.35">
      <c r="A1236" s="77">
        <v>45383</v>
      </c>
      <c r="B1236" s="3" t="s">
        <v>169</v>
      </c>
      <c r="C1236" s="4" t="s">
        <v>170</v>
      </c>
      <c r="D1236" s="4" t="s">
        <v>314</v>
      </c>
      <c r="E1236" s="4" t="s">
        <v>304</v>
      </c>
      <c r="F1236" t="s">
        <v>228</v>
      </c>
      <c r="G1236" t="s">
        <v>225</v>
      </c>
      <c r="H1236">
        <f>VLOOKUP(C1236,'TB Apr 24'!$B$13:$X$103,23,0)</f>
        <v>8984.6666666666661</v>
      </c>
    </row>
    <row r="1237" spans="1:8" x14ac:dyDescent="0.35">
      <c r="A1237" s="77">
        <v>45383</v>
      </c>
      <c r="B1237" s="3" t="s">
        <v>171</v>
      </c>
      <c r="C1237" s="4" t="s">
        <v>172</v>
      </c>
      <c r="D1237" s="4" t="s">
        <v>314</v>
      </c>
      <c r="E1237" s="4" t="s">
        <v>303</v>
      </c>
      <c r="F1237" t="s">
        <v>228</v>
      </c>
      <c r="G1237" t="s">
        <v>225</v>
      </c>
      <c r="H1237">
        <f>VLOOKUP(C1237,'TB Apr 24'!$B$13:$X$103,23,0)</f>
        <v>0</v>
      </c>
    </row>
    <row r="1238" spans="1:8" x14ac:dyDescent="0.35">
      <c r="A1238" s="77">
        <v>45383</v>
      </c>
      <c r="B1238" s="3" t="s">
        <v>173</v>
      </c>
      <c r="C1238" s="4" t="s">
        <v>174</v>
      </c>
      <c r="D1238" s="4" t="s">
        <v>314</v>
      </c>
      <c r="E1238" s="4" t="s">
        <v>257</v>
      </c>
      <c r="F1238" t="s">
        <v>228</v>
      </c>
      <c r="G1238" t="s">
        <v>225</v>
      </c>
      <c r="H1238">
        <f>VLOOKUP(C1238,'TB Apr 24'!$B$13:$X$103,23,0)</f>
        <v>0</v>
      </c>
    </row>
    <row r="1239" spans="1:8" x14ac:dyDescent="0.35">
      <c r="A1239" s="77">
        <v>45383</v>
      </c>
      <c r="B1239" s="3" t="s">
        <v>175</v>
      </c>
      <c r="C1239" s="4" t="s">
        <v>176</v>
      </c>
      <c r="D1239" s="4" t="s">
        <v>314</v>
      </c>
      <c r="E1239" s="4" t="s">
        <v>257</v>
      </c>
      <c r="F1239" t="s">
        <v>228</v>
      </c>
      <c r="G1239" t="s">
        <v>225</v>
      </c>
      <c r="H1239">
        <f>VLOOKUP(C1239,'TB Apr 24'!$B$13:$X$103,23,0)</f>
        <v>0</v>
      </c>
    </row>
    <row r="1240" spans="1:8" x14ac:dyDescent="0.35">
      <c r="A1240" s="77">
        <v>45383</v>
      </c>
      <c r="B1240" s="3" t="s">
        <v>177</v>
      </c>
      <c r="C1240" s="4" t="s">
        <v>178</v>
      </c>
      <c r="D1240" s="4" t="s">
        <v>314</v>
      </c>
      <c r="E1240" s="4" t="s">
        <v>257</v>
      </c>
      <c r="F1240" t="s">
        <v>228</v>
      </c>
      <c r="G1240" t="s">
        <v>225</v>
      </c>
      <c r="H1240">
        <f>VLOOKUP(C1240,'TB Apr 24'!$B$13:$X$103,23,0)</f>
        <v>0</v>
      </c>
    </row>
    <row r="1241" spans="1:8" x14ac:dyDescent="0.35">
      <c r="A1241" s="77">
        <v>45383</v>
      </c>
      <c r="B1241" s="3" t="s">
        <v>179</v>
      </c>
      <c r="C1241" s="4" t="s">
        <v>180</v>
      </c>
      <c r="D1241" s="4" t="s">
        <v>314</v>
      </c>
      <c r="E1241" s="4" t="s">
        <v>322</v>
      </c>
      <c r="F1241" t="s">
        <v>228</v>
      </c>
      <c r="G1241" t="s">
        <v>225</v>
      </c>
      <c r="H1241">
        <f>VLOOKUP(C1241,'TB Apr 24'!$B$13:$X$103,23,0)</f>
        <v>0</v>
      </c>
    </row>
    <row r="1242" spans="1:8" x14ac:dyDescent="0.35">
      <c r="A1242" s="77">
        <v>45383</v>
      </c>
      <c r="B1242" s="3" t="s">
        <v>181</v>
      </c>
      <c r="C1242" s="4" t="s">
        <v>182</v>
      </c>
      <c r="D1242" s="4" t="s">
        <v>314</v>
      </c>
      <c r="E1242" s="4" t="s">
        <v>290</v>
      </c>
      <c r="F1242" t="s">
        <v>228</v>
      </c>
      <c r="G1242" t="s">
        <v>225</v>
      </c>
      <c r="H1242">
        <f>VLOOKUP(C1242,'TB Apr 24'!$B$13:$X$103,23,0)</f>
        <v>0</v>
      </c>
    </row>
    <row r="1243" spans="1:8" x14ac:dyDescent="0.35">
      <c r="A1243" s="77">
        <v>45383</v>
      </c>
      <c r="B1243" s="3" t="s">
        <v>183</v>
      </c>
      <c r="C1243" s="4" t="s">
        <v>184</v>
      </c>
      <c r="D1243" s="4" t="s">
        <v>314</v>
      </c>
      <c r="E1243" s="4" t="s">
        <v>290</v>
      </c>
      <c r="F1243" t="s">
        <v>228</v>
      </c>
      <c r="G1243" t="s">
        <v>225</v>
      </c>
      <c r="H1243">
        <f>VLOOKUP(C1243,'TB Apr 24'!$B$13:$X$103,23,0)</f>
        <v>0</v>
      </c>
    </row>
    <row r="1244" spans="1:8" x14ac:dyDescent="0.35">
      <c r="A1244" s="77">
        <v>45383</v>
      </c>
      <c r="B1244" s="3" t="s">
        <v>185</v>
      </c>
      <c r="C1244" s="4" t="s">
        <v>186</v>
      </c>
      <c r="D1244" s="4" t="s">
        <v>314</v>
      </c>
      <c r="E1244" s="4" t="s">
        <v>290</v>
      </c>
      <c r="F1244" t="s">
        <v>228</v>
      </c>
      <c r="G1244" t="s">
        <v>225</v>
      </c>
      <c r="H1244">
        <f>VLOOKUP(C1244,'TB Apr 24'!$B$13:$X$103,23,0)</f>
        <v>33633</v>
      </c>
    </row>
    <row r="1245" spans="1:8" x14ac:dyDescent="0.35">
      <c r="A1245" s="77">
        <v>45383</v>
      </c>
      <c r="B1245" s="3" t="s">
        <v>187</v>
      </c>
      <c r="C1245" s="4" t="s">
        <v>188</v>
      </c>
      <c r="D1245" s="4" t="s">
        <v>314</v>
      </c>
      <c r="E1245" s="4" t="s">
        <v>291</v>
      </c>
      <c r="F1245" t="s">
        <v>228</v>
      </c>
      <c r="G1245" t="s">
        <v>225</v>
      </c>
      <c r="H1245">
        <f>VLOOKUP(C1245,'TB Apr 24'!$B$13:$X$103,23,0)</f>
        <v>91375</v>
      </c>
    </row>
    <row r="1246" spans="1:8" x14ac:dyDescent="0.35">
      <c r="A1246" s="77">
        <v>45383</v>
      </c>
      <c r="B1246" s="3" t="s">
        <v>189</v>
      </c>
      <c r="C1246" s="4" t="s">
        <v>190</v>
      </c>
      <c r="D1246" s="4" t="s">
        <v>314</v>
      </c>
      <c r="E1246" s="4" t="s">
        <v>254</v>
      </c>
      <c r="F1246" t="s">
        <v>228</v>
      </c>
      <c r="G1246" t="s">
        <v>225</v>
      </c>
      <c r="H1246">
        <f>VLOOKUP(C1246,'TB Apr 24'!$B$13:$X$103,23,0)</f>
        <v>0</v>
      </c>
    </row>
    <row r="1247" spans="1:8" x14ac:dyDescent="0.35">
      <c r="A1247" s="77">
        <v>45383</v>
      </c>
      <c r="B1247" s="3" t="s">
        <v>191</v>
      </c>
      <c r="C1247" s="4" t="s">
        <v>192</v>
      </c>
      <c r="D1247" s="4" t="s">
        <v>314</v>
      </c>
      <c r="E1247" s="4" t="s">
        <v>254</v>
      </c>
      <c r="F1247" t="s">
        <v>228</v>
      </c>
      <c r="G1247" t="s">
        <v>225</v>
      </c>
      <c r="H1247">
        <f>VLOOKUP(C1247,'TB Apr 24'!$B$13:$X$103,23,0)</f>
        <v>0</v>
      </c>
    </row>
    <row r="1248" spans="1:8" x14ac:dyDescent="0.35">
      <c r="A1248" s="77">
        <v>45383</v>
      </c>
      <c r="B1248" s="3" t="s">
        <v>193</v>
      </c>
      <c r="C1248" s="4" t="s">
        <v>194</v>
      </c>
      <c r="D1248" s="4" t="s">
        <v>314</v>
      </c>
      <c r="E1248" s="4" t="s">
        <v>254</v>
      </c>
      <c r="F1248" t="s">
        <v>228</v>
      </c>
      <c r="G1248" t="s">
        <v>225</v>
      </c>
      <c r="H1248">
        <f>VLOOKUP(C1248,'TB Apr 24'!$B$13:$X$103,23,0)</f>
        <v>520454.66000000003</v>
      </c>
    </row>
    <row r="1249" spans="1:8" x14ac:dyDescent="0.35">
      <c r="A1249" s="77">
        <v>45383</v>
      </c>
      <c r="B1249" s="3" t="s">
        <v>195</v>
      </c>
      <c r="C1249" s="4" t="s">
        <v>196</v>
      </c>
      <c r="D1249" s="4" t="s">
        <v>314</v>
      </c>
      <c r="E1249" s="4" t="s">
        <v>255</v>
      </c>
      <c r="F1249" t="s">
        <v>228</v>
      </c>
      <c r="G1249" t="s">
        <v>225</v>
      </c>
      <c r="H1249">
        <f>VLOOKUP(C1249,'TB Apr 24'!$B$13:$X$103,23,0)</f>
        <v>0</v>
      </c>
    </row>
    <row r="1250" spans="1:8" x14ac:dyDescent="0.35">
      <c r="A1250" s="77">
        <v>45383</v>
      </c>
      <c r="B1250" s="3" t="s">
        <v>197</v>
      </c>
      <c r="C1250" s="4" t="s">
        <v>198</v>
      </c>
      <c r="D1250" s="4" t="s">
        <v>314</v>
      </c>
      <c r="E1250" s="4" t="s">
        <v>255</v>
      </c>
      <c r="F1250" t="s">
        <v>228</v>
      </c>
      <c r="G1250" t="s">
        <v>225</v>
      </c>
      <c r="H1250">
        <f>VLOOKUP(C1250,'TB Apr 24'!$B$13:$X$103,23,0)</f>
        <v>0</v>
      </c>
    </row>
    <row r="1251" spans="1:8" x14ac:dyDescent="0.35">
      <c r="A1251" s="77">
        <v>45383</v>
      </c>
      <c r="B1251" s="3" t="s">
        <v>199</v>
      </c>
      <c r="C1251" s="4" t="s">
        <v>200</v>
      </c>
      <c r="D1251" s="4" t="s">
        <v>314</v>
      </c>
      <c r="E1251" s="4" t="s">
        <v>254</v>
      </c>
      <c r="F1251" t="s">
        <v>228</v>
      </c>
      <c r="G1251" t="s">
        <v>225</v>
      </c>
      <c r="H1251">
        <f>VLOOKUP(C1251,'TB Apr 24'!$B$13:$X$103,23,0)</f>
        <v>0</v>
      </c>
    </row>
    <row r="1252" spans="1:8" x14ac:dyDescent="0.35">
      <c r="A1252" s="77">
        <v>45383</v>
      </c>
      <c r="B1252" s="3" t="s">
        <v>201</v>
      </c>
      <c r="C1252" s="4" t="s">
        <v>202</v>
      </c>
      <c r="D1252" s="4" t="s">
        <v>314</v>
      </c>
      <c r="E1252" s="4" t="s">
        <v>254</v>
      </c>
      <c r="F1252" t="s">
        <v>228</v>
      </c>
      <c r="G1252" t="s">
        <v>225</v>
      </c>
      <c r="H1252">
        <f>VLOOKUP(C1252,'TB Apr 24'!$B$13:$X$103,23,0)</f>
        <v>0</v>
      </c>
    </row>
    <row r="1253" spans="1:8" x14ac:dyDescent="0.35">
      <c r="A1253" s="77">
        <v>45383</v>
      </c>
      <c r="B1253" s="3" t="s">
        <v>203</v>
      </c>
      <c r="C1253" s="4" t="s">
        <v>204</v>
      </c>
      <c r="D1253" s="4" t="s">
        <v>314</v>
      </c>
      <c r="E1253" s="4" t="s">
        <v>256</v>
      </c>
      <c r="F1253" t="s">
        <v>228</v>
      </c>
      <c r="G1253" t="s">
        <v>225</v>
      </c>
      <c r="H1253">
        <f>VLOOKUP(C1253,'TB Apr 24'!$B$13:$X$103,23,0)</f>
        <v>164653.5</v>
      </c>
    </row>
    <row r="1254" spans="1:8" x14ac:dyDescent="0.35">
      <c r="A1254" s="77">
        <v>45383</v>
      </c>
      <c r="B1254" s="3" t="s">
        <v>205</v>
      </c>
      <c r="C1254" s="6" t="s">
        <v>206</v>
      </c>
      <c r="D1254" s="4" t="s">
        <v>314</v>
      </c>
      <c r="E1254" s="6" t="s">
        <v>322</v>
      </c>
      <c r="F1254" s="79" t="s">
        <v>228</v>
      </c>
      <c r="G1254" s="79" t="s">
        <v>225</v>
      </c>
      <c r="H1254" s="79">
        <f>VLOOKUP(C1254,'TB Apr 24'!$B$13:$X$103,23,0)</f>
        <v>0</v>
      </c>
    </row>
    <row r="1255" spans="1:8" x14ac:dyDescent="0.35">
      <c r="A1255" s="77">
        <v>45383</v>
      </c>
      <c r="B1255" s="3" t="s">
        <v>57</v>
      </c>
      <c r="C1255" s="4" t="s">
        <v>58</v>
      </c>
      <c r="D1255" s="4" t="s">
        <v>314</v>
      </c>
      <c r="E1255" s="4" t="s">
        <v>253</v>
      </c>
      <c r="F1255" t="s">
        <v>228</v>
      </c>
      <c r="G1255" t="s">
        <v>219</v>
      </c>
      <c r="H1255">
        <f>VLOOKUP(C1255,'TB Apr 24'!$B$13:$Y$103,24,0)</f>
        <v>0</v>
      </c>
    </row>
    <row r="1256" spans="1:8" x14ac:dyDescent="0.35">
      <c r="A1256" s="77">
        <v>45383</v>
      </c>
      <c r="B1256" s="3" t="s">
        <v>307</v>
      </c>
      <c r="C1256" s="4" t="s">
        <v>308</v>
      </c>
      <c r="D1256" s="4" t="s">
        <v>314</v>
      </c>
      <c r="E1256" s="4" t="s">
        <v>253</v>
      </c>
      <c r="F1256" t="s">
        <v>228</v>
      </c>
      <c r="G1256" t="s">
        <v>219</v>
      </c>
      <c r="H1256">
        <f>VLOOKUP(C1256,'TB Apr 24'!$B$13:$Y$103,24,0)</f>
        <v>0</v>
      </c>
    </row>
    <row r="1257" spans="1:8" x14ac:dyDescent="0.35">
      <c r="A1257" s="77">
        <v>45383</v>
      </c>
      <c r="B1257" s="3" t="s">
        <v>59</v>
      </c>
      <c r="C1257" s="4" t="s">
        <v>60</v>
      </c>
      <c r="D1257" s="4" t="s">
        <v>314</v>
      </c>
      <c r="E1257" s="4" t="s">
        <v>253</v>
      </c>
      <c r="F1257" t="s">
        <v>228</v>
      </c>
      <c r="G1257" t="s">
        <v>219</v>
      </c>
      <c r="H1257">
        <f>VLOOKUP(C1257,'TB Apr 24'!$B$13:$Y$103,24,0)</f>
        <v>-22.36</v>
      </c>
    </row>
    <row r="1258" spans="1:8" x14ac:dyDescent="0.35">
      <c r="A1258" s="77">
        <v>45383</v>
      </c>
      <c r="B1258" s="3" t="s">
        <v>61</v>
      </c>
      <c r="C1258" s="4" t="s">
        <v>62</v>
      </c>
      <c r="D1258" s="4" t="s">
        <v>314</v>
      </c>
      <c r="E1258" s="4" t="s">
        <v>66</v>
      </c>
      <c r="F1258" t="s">
        <v>228</v>
      </c>
      <c r="G1258" t="s">
        <v>219</v>
      </c>
      <c r="H1258">
        <f>VLOOKUP(C1258,'TB Apr 24'!$B$13:$Y$103,24,0)</f>
        <v>-44565.47</v>
      </c>
    </row>
    <row r="1259" spans="1:8" x14ac:dyDescent="0.35">
      <c r="A1259" s="77">
        <v>45383</v>
      </c>
      <c r="B1259" s="3" t="s">
        <v>63</v>
      </c>
      <c r="C1259" s="4" t="s">
        <v>64</v>
      </c>
      <c r="D1259" s="4" t="s">
        <v>314</v>
      </c>
      <c r="E1259" s="4" t="s">
        <v>252</v>
      </c>
      <c r="F1259" t="s">
        <v>228</v>
      </c>
      <c r="G1259" t="s">
        <v>219</v>
      </c>
      <c r="H1259">
        <f>VLOOKUP(C1259,'TB Apr 24'!$B$13:$Y$103,24,0)</f>
        <v>0</v>
      </c>
    </row>
    <row r="1260" spans="1:8" x14ac:dyDescent="0.35">
      <c r="A1260" s="77">
        <v>45383</v>
      </c>
      <c r="B1260" s="3" t="s">
        <v>65</v>
      </c>
      <c r="C1260" s="4" t="s">
        <v>66</v>
      </c>
      <c r="D1260" s="4" t="s">
        <v>314</v>
      </c>
      <c r="E1260" s="4" t="s">
        <v>66</v>
      </c>
      <c r="F1260" t="s">
        <v>228</v>
      </c>
      <c r="G1260" t="s">
        <v>219</v>
      </c>
      <c r="H1260">
        <f>VLOOKUP(C1260,'TB Apr 24'!$B$13:$Y$103,24,0)</f>
        <v>-1083881.42</v>
      </c>
    </row>
    <row r="1261" spans="1:8" x14ac:dyDescent="0.35">
      <c r="A1261" s="77">
        <v>45383</v>
      </c>
      <c r="B1261" s="3" t="s">
        <v>67</v>
      </c>
      <c r="C1261" s="4" t="s">
        <v>68</v>
      </c>
      <c r="D1261" s="4" t="s">
        <v>314</v>
      </c>
      <c r="E1261" s="4" t="s">
        <v>252</v>
      </c>
      <c r="F1261" t="s">
        <v>228</v>
      </c>
      <c r="G1261" t="s">
        <v>219</v>
      </c>
      <c r="H1261">
        <f>VLOOKUP(C1261,'TB Apr 24'!$B$13:$Y$103,24,0)</f>
        <v>-327717.46000000002</v>
      </c>
    </row>
    <row r="1262" spans="1:8" x14ac:dyDescent="0.35">
      <c r="A1262" s="77">
        <v>45383</v>
      </c>
      <c r="B1262" s="3" t="s">
        <v>69</v>
      </c>
      <c r="C1262" s="4" t="s">
        <v>70</v>
      </c>
      <c r="D1262" s="4" t="s">
        <v>314</v>
      </c>
      <c r="E1262" s="4" t="s">
        <v>70</v>
      </c>
      <c r="F1262" t="s">
        <v>228</v>
      </c>
      <c r="G1262" t="s">
        <v>219</v>
      </c>
      <c r="H1262">
        <f>VLOOKUP(C1262,'TB Apr 24'!$B$13:$Y$103,24,0)</f>
        <v>-158815.45000000001</v>
      </c>
    </row>
    <row r="1263" spans="1:8" x14ac:dyDescent="0.35">
      <c r="A1263" s="77">
        <v>45383</v>
      </c>
      <c r="B1263" s="3" t="s">
        <v>71</v>
      </c>
      <c r="C1263" s="4" t="s">
        <v>72</v>
      </c>
      <c r="D1263" s="4" t="s">
        <v>314</v>
      </c>
      <c r="E1263" s="4" t="s">
        <v>253</v>
      </c>
      <c r="F1263" t="s">
        <v>228</v>
      </c>
      <c r="G1263" t="s">
        <v>219</v>
      </c>
      <c r="H1263">
        <f>VLOOKUP(C1263,'TB Apr 24'!$B$13:$Y$103,24,0)</f>
        <v>0</v>
      </c>
    </row>
    <row r="1264" spans="1:8" x14ac:dyDescent="0.35">
      <c r="A1264" s="77">
        <v>45383</v>
      </c>
      <c r="B1264" s="3" t="s">
        <v>73</v>
      </c>
      <c r="C1264" s="4" t="s">
        <v>74</v>
      </c>
      <c r="D1264" s="4" t="s">
        <v>314</v>
      </c>
      <c r="E1264" s="4" t="s">
        <v>253</v>
      </c>
      <c r="F1264" t="s">
        <v>228</v>
      </c>
      <c r="G1264" t="s">
        <v>219</v>
      </c>
      <c r="H1264">
        <f>VLOOKUP(C1264,'TB Apr 24'!$B$13:$Y$103,24,0)</f>
        <v>-2312.71</v>
      </c>
    </row>
    <row r="1265" spans="1:8" x14ac:dyDescent="0.35">
      <c r="A1265" s="77">
        <v>45383</v>
      </c>
      <c r="B1265" s="3" t="s">
        <v>75</v>
      </c>
      <c r="C1265" s="4" t="s">
        <v>76</v>
      </c>
      <c r="D1265" s="4" t="s">
        <v>314</v>
      </c>
      <c r="E1265" s="4" t="s">
        <v>253</v>
      </c>
      <c r="F1265" t="s">
        <v>228</v>
      </c>
      <c r="G1265" t="s">
        <v>219</v>
      </c>
      <c r="H1265">
        <f>VLOOKUP(C1265,'TB Apr 24'!$B$13:$Y$103,24,0)</f>
        <v>0</v>
      </c>
    </row>
    <row r="1266" spans="1:8" x14ac:dyDescent="0.35">
      <c r="A1266" s="77">
        <v>45383</v>
      </c>
      <c r="B1266" s="3" t="s">
        <v>77</v>
      </c>
      <c r="C1266" s="4" t="s">
        <v>78</v>
      </c>
      <c r="D1266" s="4" t="s">
        <v>314</v>
      </c>
      <c r="E1266" s="4" t="s">
        <v>253</v>
      </c>
      <c r="F1266" t="s">
        <v>228</v>
      </c>
      <c r="G1266" t="s">
        <v>219</v>
      </c>
      <c r="H1266">
        <f>VLOOKUP(C1266,'TB Apr 24'!$B$13:$Y$103,24,0)</f>
        <v>-28956.26</v>
      </c>
    </row>
    <row r="1267" spans="1:8" x14ac:dyDescent="0.35">
      <c r="A1267" s="77">
        <v>45383</v>
      </c>
      <c r="B1267" s="3" t="s">
        <v>79</v>
      </c>
      <c r="C1267" s="4" t="s">
        <v>80</v>
      </c>
      <c r="D1267" s="4" t="s">
        <v>314</v>
      </c>
      <c r="E1267" s="4" t="s">
        <v>253</v>
      </c>
      <c r="F1267" t="s">
        <v>228</v>
      </c>
      <c r="G1267" t="s">
        <v>219</v>
      </c>
      <c r="H1267">
        <f>VLOOKUP(C1267,'TB Apr 24'!$B$13:$Y$103,24,0)</f>
        <v>-14478.7</v>
      </c>
    </row>
    <row r="1268" spans="1:8" x14ac:dyDescent="0.35">
      <c r="A1268" s="77">
        <v>45383</v>
      </c>
      <c r="B1268" s="3" t="s">
        <v>81</v>
      </c>
      <c r="C1268" s="4" t="s">
        <v>82</v>
      </c>
      <c r="D1268" s="4" t="s">
        <v>314</v>
      </c>
      <c r="E1268" s="4" t="s">
        <v>319</v>
      </c>
      <c r="F1268" t="s">
        <v>228</v>
      </c>
      <c r="G1268" t="s">
        <v>219</v>
      </c>
      <c r="H1268">
        <f>VLOOKUP(C1268,'TB Apr 24'!$B$13:$Y$103,24,0)</f>
        <v>7834</v>
      </c>
    </row>
    <row r="1269" spans="1:8" x14ac:dyDescent="0.35">
      <c r="A1269" s="77">
        <v>45383</v>
      </c>
      <c r="B1269" s="3" t="s">
        <v>83</v>
      </c>
      <c r="C1269" s="4" t="s">
        <v>84</v>
      </c>
      <c r="D1269" s="4" t="s">
        <v>314</v>
      </c>
      <c r="E1269" s="4" t="s">
        <v>319</v>
      </c>
      <c r="F1269" t="s">
        <v>228</v>
      </c>
      <c r="G1269" t="s">
        <v>219</v>
      </c>
      <c r="H1269">
        <f>VLOOKUP(C1269,'TB Apr 24'!$B$13:$Y$103,24,0)</f>
        <v>0</v>
      </c>
    </row>
    <row r="1270" spans="1:8" x14ac:dyDescent="0.35">
      <c r="A1270" s="77">
        <v>45383</v>
      </c>
      <c r="B1270" s="3" t="s">
        <v>85</v>
      </c>
      <c r="C1270" s="4" t="s">
        <v>86</v>
      </c>
      <c r="D1270" s="4" t="s">
        <v>314</v>
      </c>
      <c r="E1270" s="4" t="s">
        <v>291</v>
      </c>
      <c r="F1270" t="s">
        <v>228</v>
      </c>
      <c r="G1270" t="s">
        <v>219</v>
      </c>
      <c r="H1270">
        <f>VLOOKUP(C1270,'TB Apr 24'!$B$13:$Y$103,24,0)</f>
        <v>13150</v>
      </c>
    </row>
    <row r="1271" spans="1:8" x14ac:dyDescent="0.35">
      <c r="A1271" s="77">
        <v>45383</v>
      </c>
      <c r="B1271" s="3" t="s">
        <v>88</v>
      </c>
      <c r="C1271" s="4" t="s">
        <v>89</v>
      </c>
      <c r="D1271" s="4" t="s">
        <v>314</v>
      </c>
      <c r="E1271" s="4" t="s">
        <v>300</v>
      </c>
      <c r="F1271" t="s">
        <v>228</v>
      </c>
      <c r="G1271" t="s">
        <v>219</v>
      </c>
      <c r="H1271">
        <f>VLOOKUP(C1271,'TB Apr 24'!$B$13:$Y$103,24,0)</f>
        <v>0</v>
      </c>
    </row>
    <row r="1272" spans="1:8" x14ac:dyDescent="0.35">
      <c r="A1272" s="77">
        <v>45383</v>
      </c>
      <c r="B1272" s="3" t="s">
        <v>90</v>
      </c>
      <c r="C1272" s="4" t="s">
        <v>91</v>
      </c>
      <c r="D1272" s="4" t="s">
        <v>314</v>
      </c>
      <c r="E1272" s="4" t="s">
        <v>300</v>
      </c>
      <c r="F1272" t="s">
        <v>228</v>
      </c>
      <c r="G1272" t="s">
        <v>219</v>
      </c>
      <c r="H1272">
        <f>VLOOKUP(C1272,'TB Apr 24'!$B$13:$Y$103,24,0)</f>
        <v>4820</v>
      </c>
    </row>
    <row r="1273" spans="1:8" x14ac:dyDescent="0.35">
      <c r="A1273" s="77">
        <v>45383</v>
      </c>
      <c r="B1273" s="3" t="s">
        <v>92</v>
      </c>
      <c r="C1273" s="4" t="s">
        <v>93</v>
      </c>
      <c r="D1273" s="4" t="s">
        <v>314</v>
      </c>
      <c r="E1273" s="4" t="s">
        <v>300</v>
      </c>
      <c r="F1273" t="s">
        <v>228</v>
      </c>
      <c r="G1273" t="s">
        <v>219</v>
      </c>
      <c r="H1273">
        <f>VLOOKUP(C1273,'TB Apr 24'!$B$13:$Y$103,24,0)</f>
        <v>0</v>
      </c>
    </row>
    <row r="1274" spans="1:8" x14ac:dyDescent="0.35">
      <c r="A1274" s="77">
        <v>45383</v>
      </c>
      <c r="B1274" s="3" t="s">
        <v>94</v>
      </c>
      <c r="C1274" s="4" t="s">
        <v>95</v>
      </c>
      <c r="D1274" s="4" t="s">
        <v>314</v>
      </c>
      <c r="E1274" s="4" t="s">
        <v>289</v>
      </c>
      <c r="F1274" t="s">
        <v>228</v>
      </c>
      <c r="G1274" t="s">
        <v>219</v>
      </c>
      <c r="H1274">
        <f>VLOOKUP(C1274,'TB Apr 24'!$B$13:$Y$103,24,0)</f>
        <v>707074.66666666663</v>
      </c>
    </row>
    <row r="1275" spans="1:8" x14ac:dyDescent="0.35">
      <c r="A1275" s="77">
        <v>45383</v>
      </c>
      <c r="B1275" s="3" t="s">
        <v>96</v>
      </c>
      <c r="C1275" s="4" t="s">
        <v>97</v>
      </c>
      <c r="D1275" s="4" t="s">
        <v>314</v>
      </c>
      <c r="E1275" s="4" t="s">
        <v>289</v>
      </c>
      <c r="F1275" t="s">
        <v>228</v>
      </c>
      <c r="G1275" t="s">
        <v>219</v>
      </c>
      <c r="H1275">
        <f>VLOOKUP(C1275,'TB Apr 24'!$B$13:$Y$103,24,0)</f>
        <v>0</v>
      </c>
    </row>
    <row r="1276" spans="1:8" x14ac:dyDescent="0.35">
      <c r="A1276" s="77">
        <v>45383</v>
      </c>
      <c r="B1276" s="3" t="s">
        <v>309</v>
      </c>
      <c r="C1276" s="4" t="s">
        <v>310</v>
      </c>
      <c r="D1276" s="4" t="s">
        <v>314</v>
      </c>
      <c r="E1276" s="4" t="s">
        <v>289</v>
      </c>
      <c r="F1276" t="s">
        <v>228</v>
      </c>
      <c r="G1276" t="s">
        <v>219</v>
      </c>
      <c r="H1276">
        <f>VLOOKUP(C1276,'TB Apr 24'!$B$13:$Y$103,24,0)</f>
        <v>0</v>
      </c>
    </row>
    <row r="1277" spans="1:8" x14ac:dyDescent="0.35">
      <c r="A1277" s="77">
        <v>45383</v>
      </c>
      <c r="B1277" s="3" t="s">
        <v>98</v>
      </c>
      <c r="C1277" s="4" t="s">
        <v>99</v>
      </c>
      <c r="D1277" s="4" t="s">
        <v>314</v>
      </c>
      <c r="E1277" s="4" t="s">
        <v>289</v>
      </c>
      <c r="F1277" t="s">
        <v>228</v>
      </c>
      <c r="G1277" t="s">
        <v>219</v>
      </c>
      <c r="H1277">
        <f>VLOOKUP(C1277,'TB Apr 24'!$B$13:$Y$103,24,0)</f>
        <v>0</v>
      </c>
    </row>
    <row r="1278" spans="1:8" x14ac:dyDescent="0.35">
      <c r="A1278" s="77">
        <v>45383</v>
      </c>
      <c r="B1278" s="3" t="s">
        <v>100</v>
      </c>
      <c r="C1278" s="4" t="s">
        <v>101</v>
      </c>
      <c r="D1278" s="4" t="s">
        <v>314</v>
      </c>
      <c r="E1278" s="4" t="s">
        <v>291</v>
      </c>
      <c r="F1278" t="s">
        <v>228</v>
      </c>
      <c r="G1278" t="s">
        <v>219</v>
      </c>
      <c r="H1278">
        <f>VLOOKUP(C1278,'TB Apr 24'!$B$13:$Y$103,24,0)</f>
        <v>0</v>
      </c>
    </row>
    <row r="1279" spans="1:8" x14ac:dyDescent="0.35">
      <c r="A1279" s="77">
        <v>45383</v>
      </c>
      <c r="B1279" s="3" t="s">
        <v>102</v>
      </c>
      <c r="C1279" s="4" t="s">
        <v>103</v>
      </c>
      <c r="D1279" s="4" t="s">
        <v>314</v>
      </c>
      <c r="E1279" s="4" t="s">
        <v>291</v>
      </c>
      <c r="F1279" t="s">
        <v>228</v>
      </c>
      <c r="G1279" t="s">
        <v>219</v>
      </c>
      <c r="H1279">
        <f>VLOOKUP(C1279,'TB Apr 24'!$B$13:$Y$103,24,0)</f>
        <v>0</v>
      </c>
    </row>
    <row r="1280" spans="1:8" x14ac:dyDescent="0.35">
      <c r="A1280" s="77">
        <v>45383</v>
      </c>
      <c r="B1280" s="3" t="s">
        <v>104</v>
      </c>
      <c r="C1280" s="4" t="s">
        <v>105</v>
      </c>
      <c r="D1280" s="4" t="s">
        <v>314</v>
      </c>
      <c r="E1280" s="4" t="s">
        <v>291</v>
      </c>
      <c r="F1280" t="s">
        <v>228</v>
      </c>
      <c r="G1280" t="s">
        <v>219</v>
      </c>
      <c r="H1280">
        <f>VLOOKUP(C1280,'TB Apr 24'!$B$13:$Y$103,24,0)</f>
        <v>0</v>
      </c>
    </row>
    <row r="1281" spans="1:8" x14ac:dyDescent="0.35">
      <c r="A1281" s="77">
        <v>45383</v>
      </c>
      <c r="B1281" s="3" t="s">
        <v>106</v>
      </c>
      <c r="C1281" s="4" t="s">
        <v>107</v>
      </c>
      <c r="D1281" s="4" t="s">
        <v>314</v>
      </c>
      <c r="E1281" s="4" t="s">
        <v>321</v>
      </c>
      <c r="F1281" t="s">
        <v>228</v>
      </c>
      <c r="G1281" t="s">
        <v>219</v>
      </c>
      <c r="H1281">
        <f>VLOOKUP(C1281,'TB Apr 24'!$B$13:$Y$103,24,0)</f>
        <v>0</v>
      </c>
    </row>
    <row r="1282" spans="1:8" x14ac:dyDescent="0.35">
      <c r="A1282" s="77">
        <v>45383</v>
      </c>
      <c r="B1282" s="3" t="s">
        <v>108</v>
      </c>
      <c r="C1282" s="4" t="s">
        <v>109</v>
      </c>
      <c r="D1282" s="4" t="s">
        <v>314</v>
      </c>
      <c r="E1282" s="4" t="s">
        <v>321</v>
      </c>
      <c r="F1282" t="s">
        <v>228</v>
      </c>
      <c r="G1282" t="s">
        <v>219</v>
      </c>
      <c r="H1282">
        <f>VLOOKUP(C1282,'TB Apr 24'!$B$13:$Y$103,24,0)</f>
        <v>0</v>
      </c>
    </row>
    <row r="1283" spans="1:8" x14ac:dyDescent="0.35">
      <c r="A1283" s="77">
        <v>45383</v>
      </c>
      <c r="B1283" s="3" t="s">
        <v>110</v>
      </c>
      <c r="C1283" s="4" t="s">
        <v>111</v>
      </c>
      <c r="D1283" s="4" t="s">
        <v>314</v>
      </c>
      <c r="E1283" s="4" t="s">
        <v>320</v>
      </c>
      <c r="F1283" t="s">
        <v>228</v>
      </c>
      <c r="G1283" t="s">
        <v>219</v>
      </c>
      <c r="H1283">
        <f>VLOOKUP(C1283,'TB Apr 24'!$B$13:$Y$103,24,0)</f>
        <v>0</v>
      </c>
    </row>
    <row r="1284" spans="1:8" x14ac:dyDescent="0.35">
      <c r="A1284" s="77">
        <v>45383</v>
      </c>
      <c r="B1284" s="3" t="s">
        <v>112</v>
      </c>
      <c r="C1284" s="4" t="s">
        <v>113</v>
      </c>
      <c r="D1284" s="4" t="s">
        <v>314</v>
      </c>
      <c r="E1284" s="4" t="s">
        <v>321</v>
      </c>
      <c r="F1284" t="s">
        <v>228</v>
      </c>
      <c r="G1284" t="s">
        <v>219</v>
      </c>
      <c r="H1284">
        <f>VLOOKUP(C1284,'TB Apr 24'!$B$13:$Y$103,24,0)</f>
        <v>0</v>
      </c>
    </row>
    <row r="1285" spans="1:8" x14ac:dyDescent="0.35">
      <c r="A1285" s="77">
        <v>45383</v>
      </c>
      <c r="B1285" s="3" t="s">
        <v>311</v>
      </c>
      <c r="C1285" s="4" t="s">
        <v>312</v>
      </c>
      <c r="D1285" s="4" t="s">
        <v>314</v>
      </c>
      <c r="E1285" s="4" t="s">
        <v>288</v>
      </c>
      <c r="F1285" t="s">
        <v>228</v>
      </c>
      <c r="G1285" t="s">
        <v>219</v>
      </c>
      <c r="H1285">
        <f>VLOOKUP(C1285,'TB Apr 24'!$B$13:$Y$103,24,0)</f>
        <v>0</v>
      </c>
    </row>
    <row r="1286" spans="1:8" x14ac:dyDescent="0.35">
      <c r="A1286" s="77">
        <v>45383</v>
      </c>
      <c r="B1286" s="3" t="s">
        <v>114</v>
      </c>
      <c r="C1286" s="4" t="s">
        <v>115</v>
      </c>
      <c r="D1286" s="4" t="s">
        <v>314</v>
      </c>
      <c r="E1286" s="4" t="s">
        <v>294</v>
      </c>
      <c r="F1286" t="s">
        <v>228</v>
      </c>
      <c r="G1286" t="s">
        <v>219</v>
      </c>
      <c r="H1286">
        <f>VLOOKUP(C1286,'TB Apr 24'!$B$13:$Y$103,24,0)</f>
        <v>0</v>
      </c>
    </row>
    <row r="1287" spans="1:8" x14ac:dyDescent="0.35">
      <c r="A1287" s="77">
        <v>45383</v>
      </c>
      <c r="B1287" s="3" t="s">
        <v>116</v>
      </c>
      <c r="C1287" s="4" t="s">
        <v>117</v>
      </c>
      <c r="D1287" s="4" t="s">
        <v>314</v>
      </c>
      <c r="E1287" s="4" t="s">
        <v>296</v>
      </c>
      <c r="F1287" t="s">
        <v>228</v>
      </c>
      <c r="G1287" t="s">
        <v>219</v>
      </c>
      <c r="H1287">
        <f>VLOOKUP(C1287,'TB Apr 24'!$B$13:$Y$103,24,0)</f>
        <v>0</v>
      </c>
    </row>
    <row r="1288" spans="1:8" x14ac:dyDescent="0.35">
      <c r="A1288" s="77">
        <v>45383</v>
      </c>
      <c r="B1288" s="3" t="s">
        <v>118</v>
      </c>
      <c r="C1288" s="4" t="s">
        <v>119</v>
      </c>
      <c r="D1288" s="4" t="s">
        <v>314</v>
      </c>
      <c r="E1288" s="4" t="s">
        <v>296</v>
      </c>
      <c r="F1288" t="s">
        <v>228</v>
      </c>
      <c r="G1288" t="s">
        <v>219</v>
      </c>
      <c r="H1288">
        <f>VLOOKUP(C1288,'TB Apr 24'!$B$13:$Y$103,24,0)</f>
        <v>0</v>
      </c>
    </row>
    <row r="1289" spans="1:8" x14ac:dyDescent="0.35">
      <c r="A1289" s="77">
        <v>45383</v>
      </c>
      <c r="B1289" s="3" t="s">
        <v>120</v>
      </c>
      <c r="C1289" s="4" t="s">
        <v>121</v>
      </c>
      <c r="D1289" s="4" t="s">
        <v>314</v>
      </c>
      <c r="E1289" s="4" t="s">
        <v>322</v>
      </c>
      <c r="F1289" t="s">
        <v>228</v>
      </c>
      <c r="G1289" t="s">
        <v>219</v>
      </c>
      <c r="H1289">
        <f>VLOOKUP(C1289,'TB Apr 24'!$B$13:$Y$103,24,0)</f>
        <v>2575</v>
      </c>
    </row>
    <row r="1290" spans="1:8" x14ac:dyDescent="0.35">
      <c r="A1290" s="77">
        <v>45383</v>
      </c>
      <c r="B1290" s="3" t="s">
        <v>122</v>
      </c>
      <c r="C1290" s="4" t="s">
        <v>123</v>
      </c>
      <c r="D1290" s="4" t="s">
        <v>314</v>
      </c>
      <c r="E1290" s="4" t="s">
        <v>322</v>
      </c>
      <c r="F1290" t="s">
        <v>228</v>
      </c>
      <c r="G1290" t="s">
        <v>219</v>
      </c>
      <c r="H1290">
        <f>VLOOKUP(C1290,'TB Apr 24'!$B$13:$Y$103,24,0)</f>
        <v>14859</v>
      </c>
    </row>
    <row r="1291" spans="1:8" x14ac:dyDescent="0.35">
      <c r="A1291" s="77">
        <v>45383</v>
      </c>
      <c r="B1291" s="3" t="s">
        <v>124</v>
      </c>
      <c r="C1291" s="4" t="s">
        <v>125</v>
      </c>
      <c r="D1291" s="4" t="s">
        <v>314</v>
      </c>
      <c r="E1291" s="4" t="s">
        <v>322</v>
      </c>
      <c r="F1291" t="s">
        <v>228</v>
      </c>
      <c r="G1291" t="s">
        <v>219</v>
      </c>
      <c r="H1291">
        <f>VLOOKUP(C1291,'TB Apr 24'!$B$13:$Y$103,24,0)</f>
        <v>0</v>
      </c>
    </row>
    <row r="1292" spans="1:8" x14ac:dyDescent="0.35">
      <c r="A1292" s="77">
        <v>45383</v>
      </c>
      <c r="B1292" s="3" t="s">
        <v>126</v>
      </c>
      <c r="C1292" s="4" t="s">
        <v>127</v>
      </c>
      <c r="D1292" s="4" t="s">
        <v>314</v>
      </c>
      <c r="E1292" s="4" t="s">
        <v>291</v>
      </c>
      <c r="F1292" t="s">
        <v>228</v>
      </c>
      <c r="G1292" t="s">
        <v>219</v>
      </c>
      <c r="H1292">
        <f>VLOOKUP(C1292,'TB Apr 24'!$B$13:$Y$103,24,0)</f>
        <v>0</v>
      </c>
    </row>
    <row r="1293" spans="1:8" x14ac:dyDescent="0.35">
      <c r="A1293" s="77">
        <v>45383</v>
      </c>
      <c r="B1293" s="3" t="s">
        <v>128</v>
      </c>
      <c r="C1293" s="4" t="s">
        <v>129</v>
      </c>
      <c r="D1293" s="4" t="s">
        <v>314</v>
      </c>
      <c r="E1293" s="4" t="s">
        <v>322</v>
      </c>
      <c r="F1293" t="s">
        <v>228</v>
      </c>
      <c r="G1293" t="s">
        <v>219</v>
      </c>
      <c r="H1293">
        <f>VLOOKUP(C1293,'TB Apr 24'!$B$13:$Y$103,24,0)</f>
        <v>7967.666666666667</v>
      </c>
    </row>
    <row r="1294" spans="1:8" x14ac:dyDescent="0.35">
      <c r="A1294" s="77">
        <v>45383</v>
      </c>
      <c r="B1294" s="3" t="s">
        <v>130</v>
      </c>
      <c r="C1294" s="4" t="s">
        <v>131</v>
      </c>
      <c r="D1294" s="4" t="s">
        <v>314</v>
      </c>
      <c r="E1294" s="4" t="s">
        <v>322</v>
      </c>
      <c r="F1294" t="s">
        <v>228</v>
      </c>
      <c r="G1294" t="s">
        <v>219</v>
      </c>
      <c r="H1294">
        <f>VLOOKUP(C1294,'TB Apr 24'!$B$13:$Y$103,24,0)</f>
        <v>200</v>
      </c>
    </row>
    <row r="1295" spans="1:8" x14ac:dyDescent="0.35">
      <c r="A1295" s="77">
        <v>45383</v>
      </c>
      <c r="B1295" s="3" t="s">
        <v>132</v>
      </c>
      <c r="C1295" s="4" t="s">
        <v>133</v>
      </c>
      <c r="D1295" s="4" t="s">
        <v>314</v>
      </c>
      <c r="E1295" s="4" t="s">
        <v>320</v>
      </c>
      <c r="F1295" t="s">
        <v>228</v>
      </c>
      <c r="G1295" t="s">
        <v>219</v>
      </c>
      <c r="H1295">
        <f>VLOOKUP(C1295,'TB Apr 24'!$B$13:$Y$103,24,0)</f>
        <v>6642.333333333333</v>
      </c>
    </row>
    <row r="1296" spans="1:8" x14ac:dyDescent="0.35">
      <c r="A1296" s="77">
        <v>45383</v>
      </c>
      <c r="B1296" s="3" t="s">
        <v>134</v>
      </c>
      <c r="C1296" s="4" t="s">
        <v>135</v>
      </c>
      <c r="D1296" s="4" t="s">
        <v>314</v>
      </c>
      <c r="E1296" s="4" t="s">
        <v>299</v>
      </c>
      <c r="F1296" t="s">
        <v>228</v>
      </c>
      <c r="G1296" t="s">
        <v>219</v>
      </c>
      <c r="H1296">
        <f>VLOOKUP(C1296,'TB Apr 24'!$B$13:$Y$103,24,0)</f>
        <v>0</v>
      </c>
    </row>
    <row r="1297" spans="1:8" x14ac:dyDescent="0.35">
      <c r="A1297" s="77">
        <v>45383</v>
      </c>
      <c r="B1297" s="3" t="s">
        <v>136</v>
      </c>
      <c r="C1297" s="4" t="s">
        <v>137</v>
      </c>
      <c r="D1297" s="4" t="s">
        <v>314</v>
      </c>
      <c r="E1297" s="4" t="s">
        <v>322</v>
      </c>
      <c r="F1297" t="s">
        <v>228</v>
      </c>
      <c r="G1297" t="s">
        <v>219</v>
      </c>
      <c r="H1297">
        <f>VLOOKUP(C1297,'TB Apr 24'!$B$13:$Y$103,24,0)</f>
        <v>0</v>
      </c>
    </row>
    <row r="1298" spans="1:8" x14ac:dyDescent="0.35">
      <c r="A1298" s="77">
        <v>45383</v>
      </c>
      <c r="B1298" s="3" t="s">
        <v>138</v>
      </c>
      <c r="C1298" s="4" t="s">
        <v>139</v>
      </c>
      <c r="D1298" s="4" t="s">
        <v>314</v>
      </c>
      <c r="E1298" s="4" t="s">
        <v>294</v>
      </c>
      <c r="F1298" t="s">
        <v>228</v>
      </c>
      <c r="G1298" t="s">
        <v>219</v>
      </c>
      <c r="H1298">
        <f>VLOOKUP(C1298,'TB Apr 24'!$B$13:$Y$103,24,0)</f>
        <v>5151</v>
      </c>
    </row>
    <row r="1299" spans="1:8" x14ac:dyDescent="0.35">
      <c r="A1299" s="77">
        <v>45383</v>
      </c>
      <c r="B1299" s="3" t="s">
        <v>140</v>
      </c>
      <c r="C1299" s="4" t="s">
        <v>141</v>
      </c>
      <c r="D1299" s="4" t="s">
        <v>314</v>
      </c>
      <c r="E1299" s="4" t="s">
        <v>268</v>
      </c>
      <c r="F1299" t="s">
        <v>228</v>
      </c>
      <c r="G1299" t="s">
        <v>219</v>
      </c>
      <c r="H1299">
        <f>VLOOKUP(C1299,'TB Apr 24'!$B$13:$Y$103,24,0)</f>
        <v>149467.48469999997</v>
      </c>
    </row>
    <row r="1300" spans="1:8" x14ac:dyDescent="0.35">
      <c r="A1300" s="77">
        <v>45383</v>
      </c>
      <c r="B1300" s="3" t="s">
        <v>142</v>
      </c>
      <c r="C1300" s="4" t="s">
        <v>143</v>
      </c>
      <c r="D1300" s="4" t="s">
        <v>314</v>
      </c>
      <c r="E1300" s="4" t="s">
        <v>269</v>
      </c>
      <c r="F1300" t="s">
        <v>228</v>
      </c>
      <c r="G1300" t="s">
        <v>219</v>
      </c>
      <c r="H1300">
        <f>VLOOKUP(C1300,'TB Apr 24'!$B$13:$Y$103,24,0)</f>
        <v>116405</v>
      </c>
    </row>
    <row r="1301" spans="1:8" x14ac:dyDescent="0.35">
      <c r="A1301" s="77">
        <v>45383</v>
      </c>
      <c r="B1301" s="3" t="s">
        <v>144</v>
      </c>
      <c r="C1301" s="4" t="s">
        <v>145</v>
      </c>
      <c r="D1301" s="4" t="s">
        <v>314</v>
      </c>
      <c r="E1301" s="4" t="s">
        <v>288</v>
      </c>
      <c r="F1301" t="s">
        <v>228</v>
      </c>
      <c r="G1301" t="s">
        <v>219</v>
      </c>
      <c r="H1301">
        <f>VLOOKUP(C1301,'TB Apr 24'!$B$13:$Y$103,24,0)</f>
        <v>23296.875</v>
      </c>
    </row>
    <row r="1302" spans="1:8" x14ac:dyDescent="0.35">
      <c r="A1302" s="77">
        <v>45383</v>
      </c>
      <c r="B1302" s="3" t="s">
        <v>146</v>
      </c>
      <c r="C1302" s="4" t="s">
        <v>147</v>
      </c>
      <c r="D1302" s="4" t="s">
        <v>314</v>
      </c>
      <c r="E1302" s="4" t="s">
        <v>288</v>
      </c>
      <c r="F1302" t="s">
        <v>228</v>
      </c>
      <c r="G1302" t="s">
        <v>219</v>
      </c>
      <c r="H1302">
        <f>VLOOKUP(C1302,'TB Apr 24'!$B$13:$Y$103,24,0)</f>
        <v>12578.333333333334</v>
      </c>
    </row>
    <row r="1303" spans="1:8" x14ac:dyDescent="0.35">
      <c r="A1303" s="77">
        <v>45383</v>
      </c>
      <c r="B1303" s="3" t="s">
        <v>148</v>
      </c>
      <c r="C1303" s="4" t="s">
        <v>149</v>
      </c>
      <c r="D1303" s="4" t="s">
        <v>314</v>
      </c>
      <c r="E1303" s="4" t="s">
        <v>287</v>
      </c>
      <c r="F1303" t="s">
        <v>228</v>
      </c>
      <c r="G1303" t="s">
        <v>219</v>
      </c>
      <c r="H1303">
        <f>VLOOKUP(C1303,'TB Apr 24'!$B$13:$Y$103,24,0)</f>
        <v>75404.60500000001</v>
      </c>
    </row>
    <row r="1304" spans="1:8" x14ac:dyDescent="0.35">
      <c r="A1304" s="77">
        <v>45383</v>
      </c>
      <c r="B1304" s="3" t="s">
        <v>150</v>
      </c>
      <c r="C1304" s="4" t="s">
        <v>87</v>
      </c>
      <c r="D1304" s="4" t="s">
        <v>314</v>
      </c>
      <c r="E1304" s="4" t="s">
        <v>288</v>
      </c>
      <c r="F1304" t="s">
        <v>228</v>
      </c>
      <c r="G1304" t="s">
        <v>219</v>
      </c>
      <c r="H1304">
        <f>VLOOKUP(C1304,'TB Apr 24'!$B$13:$Y$103,24,0)</f>
        <v>119232.8</v>
      </c>
    </row>
    <row r="1305" spans="1:8" x14ac:dyDescent="0.35">
      <c r="A1305" s="77">
        <v>45383</v>
      </c>
      <c r="B1305" s="3" t="s">
        <v>151</v>
      </c>
      <c r="C1305" s="4" t="s">
        <v>152</v>
      </c>
      <c r="D1305" s="4" t="s">
        <v>314</v>
      </c>
      <c r="E1305" s="4" t="s">
        <v>288</v>
      </c>
      <c r="F1305" t="s">
        <v>228</v>
      </c>
      <c r="G1305" t="s">
        <v>219</v>
      </c>
      <c r="H1305">
        <f>VLOOKUP(C1305,'TB Apr 24'!$B$13:$Y$103,24,0)</f>
        <v>3721.625</v>
      </c>
    </row>
    <row r="1306" spans="1:8" x14ac:dyDescent="0.35">
      <c r="A1306" s="77">
        <v>45383</v>
      </c>
      <c r="B1306" s="3" t="s">
        <v>153</v>
      </c>
      <c r="C1306" s="4" t="s">
        <v>154</v>
      </c>
      <c r="D1306" s="4" t="s">
        <v>314</v>
      </c>
      <c r="E1306" s="4" t="s">
        <v>288</v>
      </c>
      <c r="F1306" t="s">
        <v>228</v>
      </c>
      <c r="G1306" t="s">
        <v>219</v>
      </c>
      <c r="H1306">
        <f>VLOOKUP(C1306,'TB Apr 24'!$B$13:$Y$103,24,0)</f>
        <v>4980</v>
      </c>
    </row>
    <row r="1307" spans="1:8" x14ac:dyDescent="0.35">
      <c r="A1307" s="77">
        <v>45383</v>
      </c>
      <c r="B1307" s="3" t="s">
        <v>155</v>
      </c>
      <c r="C1307" s="4" t="s">
        <v>156</v>
      </c>
      <c r="D1307" s="4" t="s">
        <v>314</v>
      </c>
      <c r="E1307" s="4" t="s">
        <v>288</v>
      </c>
      <c r="F1307" t="s">
        <v>228</v>
      </c>
      <c r="G1307" t="s">
        <v>219</v>
      </c>
      <c r="H1307">
        <f>VLOOKUP(C1307,'TB Apr 24'!$B$13:$Y$103,24,0)</f>
        <v>0</v>
      </c>
    </row>
    <row r="1308" spans="1:8" x14ac:dyDescent="0.35">
      <c r="A1308" s="77">
        <v>45383</v>
      </c>
      <c r="B1308" s="3" t="s">
        <v>157</v>
      </c>
      <c r="C1308" s="4" t="s">
        <v>158</v>
      </c>
      <c r="D1308" s="4" t="s">
        <v>314</v>
      </c>
      <c r="E1308" s="4" t="s">
        <v>292</v>
      </c>
      <c r="F1308" t="s">
        <v>228</v>
      </c>
      <c r="G1308" t="s">
        <v>219</v>
      </c>
      <c r="H1308">
        <f>VLOOKUP(C1308,'TB Apr 24'!$B$13:$Y$103,24,0)</f>
        <v>0</v>
      </c>
    </row>
    <row r="1309" spans="1:8" x14ac:dyDescent="0.35">
      <c r="A1309" s="77">
        <v>45383</v>
      </c>
      <c r="B1309" s="3" t="s">
        <v>159</v>
      </c>
      <c r="C1309" s="4" t="s">
        <v>160</v>
      </c>
      <c r="D1309" s="4" t="s">
        <v>314</v>
      </c>
      <c r="E1309" s="4" t="s">
        <v>323</v>
      </c>
      <c r="F1309" t="s">
        <v>228</v>
      </c>
      <c r="G1309" t="s">
        <v>219</v>
      </c>
      <c r="H1309">
        <f>VLOOKUP(C1309,'TB Apr 24'!$B$13:$Y$103,24,0)</f>
        <v>1250</v>
      </c>
    </row>
    <row r="1310" spans="1:8" x14ac:dyDescent="0.35">
      <c r="A1310" s="77">
        <v>45383</v>
      </c>
      <c r="B1310" s="3" t="s">
        <v>161</v>
      </c>
      <c r="C1310" s="4" t="s">
        <v>162</v>
      </c>
      <c r="D1310" s="4" t="s">
        <v>314</v>
      </c>
      <c r="E1310" s="4" t="s">
        <v>323</v>
      </c>
      <c r="F1310" t="s">
        <v>228</v>
      </c>
      <c r="G1310" t="s">
        <v>219</v>
      </c>
      <c r="H1310">
        <f>VLOOKUP(C1310,'TB Apr 24'!$B$13:$Y$103,24,0)</f>
        <v>0</v>
      </c>
    </row>
    <row r="1311" spans="1:8" x14ac:dyDescent="0.35">
      <c r="A1311" s="77">
        <v>45383</v>
      </c>
      <c r="B1311" s="3" t="s">
        <v>163</v>
      </c>
      <c r="C1311" s="4" t="s">
        <v>164</v>
      </c>
      <c r="D1311" s="4" t="s">
        <v>314</v>
      </c>
      <c r="E1311" s="4" t="s">
        <v>319</v>
      </c>
      <c r="F1311" t="s">
        <v>228</v>
      </c>
      <c r="G1311" t="s">
        <v>219</v>
      </c>
      <c r="H1311">
        <f>VLOOKUP(C1311,'TB Apr 24'!$B$13:$Y$103,24,0)</f>
        <v>0</v>
      </c>
    </row>
    <row r="1312" spans="1:8" x14ac:dyDescent="0.35">
      <c r="A1312" s="77">
        <v>45383</v>
      </c>
      <c r="B1312" s="3" t="s">
        <v>165</v>
      </c>
      <c r="C1312" s="4" t="s">
        <v>166</v>
      </c>
      <c r="D1312" s="4" t="s">
        <v>314</v>
      </c>
      <c r="E1312" s="4" t="s">
        <v>304</v>
      </c>
      <c r="F1312" t="s">
        <v>228</v>
      </c>
      <c r="G1312" t="s">
        <v>219</v>
      </c>
      <c r="H1312">
        <f>VLOOKUP(C1312,'TB Apr 24'!$B$13:$Y$103,24,0)</f>
        <v>24514</v>
      </c>
    </row>
    <row r="1313" spans="1:8" x14ac:dyDescent="0.35">
      <c r="A1313" s="77">
        <v>45383</v>
      </c>
      <c r="B1313" s="3" t="s">
        <v>167</v>
      </c>
      <c r="C1313" s="4" t="s">
        <v>168</v>
      </c>
      <c r="D1313" s="4" t="s">
        <v>314</v>
      </c>
      <c r="E1313" s="4" t="s">
        <v>322</v>
      </c>
      <c r="F1313" t="s">
        <v>228</v>
      </c>
      <c r="G1313" t="s">
        <v>219</v>
      </c>
      <c r="H1313">
        <f>VLOOKUP(C1313,'TB Apr 24'!$B$13:$Y$103,24,0)</f>
        <v>0</v>
      </c>
    </row>
    <row r="1314" spans="1:8" x14ac:dyDescent="0.35">
      <c r="A1314" s="77">
        <v>45383</v>
      </c>
      <c r="B1314" s="3" t="s">
        <v>169</v>
      </c>
      <c r="C1314" s="4" t="s">
        <v>170</v>
      </c>
      <c r="D1314" s="4" t="s">
        <v>314</v>
      </c>
      <c r="E1314" s="4" t="s">
        <v>304</v>
      </c>
      <c r="F1314" t="s">
        <v>228</v>
      </c>
      <c r="G1314" t="s">
        <v>219</v>
      </c>
      <c r="H1314">
        <f>VLOOKUP(C1314,'TB Apr 24'!$B$13:$Y$103,24,0)</f>
        <v>8984.6666666666661</v>
      </c>
    </row>
    <row r="1315" spans="1:8" x14ac:dyDescent="0.35">
      <c r="A1315" s="77">
        <v>45383</v>
      </c>
      <c r="B1315" s="3" t="s">
        <v>171</v>
      </c>
      <c r="C1315" s="4" t="s">
        <v>172</v>
      </c>
      <c r="D1315" s="4" t="s">
        <v>314</v>
      </c>
      <c r="E1315" s="4" t="s">
        <v>303</v>
      </c>
      <c r="F1315" t="s">
        <v>228</v>
      </c>
      <c r="G1315" t="s">
        <v>219</v>
      </c>
      <c r="H1315">
        <f>VLOOKUP(C1315,'TB Apr 24'!$B$13:$Y$103,24,0)</f>
        <v>0</v>
      </c>
    </row>
    <row r="1316" spans="1:8" x14ac:dyDescent="0.35">
      <c r="A1316" s="77">
        <v>45383</v>
      </c>
      <c r="B1316" s="3" t="s">
        <v>173</v>
      </c>
      <c r="C1316" s="4" t="s">
        <v>174</v>
      </c>
      <c r="D1316" s="4" t="s">
        <v>314</v>
      </c>
      <c r="E1316" s="4" t="s">
        <v>257</v>
      </c>
      <c r="F1316" t="s">
        <v>228</v>
      </c>
      <c r="G1316" t="s">
        <v>219</v>
      </c>
      <c r="H1316">
        <f>VLOOKUP(C1316,'TB Apr 24'!$B$13:$Y$103,24,0)</f>
        <v>0</v>
      </c>
    </row>
    <row r="1317" spans="1:8" x14ac:dyDescent="0.35">
      <c r="A1317" s="77">
        <v>45383</v>
      </c>
      <c r="B1317" s="3" t="s">
        <v>175</v>
      </c>
      <c r="C1317" s="4" t="s">
        <v>176</v>
      </c>
      <c r="D1317" s="4" t="s">
        <v>314</v>
      </c>
      <c r="E1317" s="4" t="s">
        <v>257</v>
      </c>
      <c r="F1317" t="s">
        <v>228</v>
      </c>
      <c r="G1317" t="s">
        <v>219</v>
      </c>
      <c r="H1317">
        <f>VLOOKUP(C1317,'TB Apr 24'!$B$13:$Y$103,24,0)</f>
        <v>0</v>
      </c>
    </row>
    <row r="1318" spans="1:8" x14ac:dyDescent="0.35">
      <c r="A1318" s="77">
        <v>45383</v>
      </c>
      <c r="B1318" s="3" t="s">
        <v>177</v>
      </c>
      <c r="C1318" s="4" t="s">
        <v>178</v>
      </c>
      <c r="D1318" s="4" t="s">
        <v>314</v>
      </c>
      <c r="E1318" s="4" t="s">
        <v>257</v>
      </c>
      <c r="F1318" t="s">
        <v>228</v>
      </c>
      <c r="G1318" t="s">
        <v>219</v>
      </c>
      <c r="H1318">
        <f>VLOOKUP(C1318,'TB Apr 24'!$B$13:$Y$103,24,0)</f>
        <v>0</v>
      </c>
    </row>
    <row r="1319" spans="1:8" x14ac:dyDescent="0.35">
      <c r="A1319" s="77">
        <v>45383</v>
      </c>
      <c r="B1319" s="3" t="s">
        <v>179</v>
      </c>
      <c r="C1319" s="4" t="s">
        <v>180</v>
      </c>
      <c r="D1319" s="4" t="s">
        <v>314</v>
      </c>
      <c r="E1319" s="4" t="s">
        <v>322</v>
      </c>
      <c r="F1319" t="s">
        <v>228</v>
      </c>
      <c r="G1319" t="s">
        <v>219</v>
      </c>
      <c r="H1319">
        <f>VLOOKUP(C1319,'TB Apr 24'!$B$13:$Y$103,24,0)</f>
        <v>0</v>
      </c>
    </row>
    <row r="1320" spans="1:8" x14ac:dyDescent="0.35">
      <c r="A1320" s="77">
        <v>45383</v>
      </c>
      <c r="B1320" s="3" t="s">
        <v>181</v>
      </c>
      <c r="C1320" s="4" t="s">
        <v>182</v>
      </c>
      <c r="D1320" s="4" t="s">
        <v>314</v>
      </c>
      <c r="E1320" s="4" t="s">
        <v>290</v>
      </c>
      <c r="F1320" t="s">
        <v>228</v>
      </c>
      <c r="G1320" t="s">
        <v>219</v>
      </c>
      <c r="H1320">
        <f>VLOOKUP(C1320,'TB Apr 24'!$B$13:$Y$103,24,0)</f>
        <v>2252</v>
      </c>
    </row>
    <row r="1321" spans="1:8" x14ac:dyDescent="0.35">
      <c r="A1321" s="77">
        <v>45383</v>
      </c>
      <c r="B1321" s="3" t="s">
        <v>183</v>
      </c>
      <c r="C1321" s="4" t="s">
        <v>184</v>
      </c>
      <c r="D1321" s="4" t="s">
        <v>314</v>
      </c>
      <c r="E1321" s="4" t="s">
        <v>290</v>
      </c>
      <c r="F1321" t="s">
        <v>228</v>
      </c>
      <c r="G1321" t="s">
        <v>219</v>
      </c>
      <c r="H1321">
        <f>VLOOKUP(C1321,'TB Apr 24'!$B$13:$Y$103,24,0)</f>
        <v>0</v>
      </c>
    </row>
    <row r="1322" spans="1:8" x14ac:dyDescent="0.35">
      <c r="A1322" s="77">
        <v>45383</v>
      </c>
      <c r="B1322" s="3" t="s">
        <v>185</v>
      </c>
      <c r="C1322" s="4" t="s">
        <v>186</v>
      </c>
      <c r="D1322" s="4" t="s">
        <v>314</v>
      </c>
      <c r="E1322" s="4" t="s">
        <v>290</v>
      </c>
      <c r="F1322" t="s">
        <v>228</v>
      </c>
      <c r="G1322" t="s">
        <v>219</v>
      </c>
      <c r="H1322">
        <f>VLOOKUP(C1322,'TB Apr 24'!$B$13:$Y$103,24,0)</f>
        <v>33635</v>
      </c>
    </row>
    <row r="1323" spans="1:8" x14ac:dyDescent="0.35">
      <c r="A1323" s="77">
        <v>45383</v>
      </c>
      <c r="B1323" s="3" t="s">
        <v>187</v>
      </c>
      <c r="C1323" s="4" t="s">
        <v>188</v>
      </c>
      <c r="D1323" s="4" t="s">
        <v>314</v>
      </c>
      <c r="E1323" s="4" t="s">
        <v>291</v>
      </c>
      <c r="F1323" t="s">
        <v>228</v>
      </c>
      <c r="G1323" t="s">
        <v>219</v>
      </c>
      <c r="H1323">
        <f>VLOOKUP(C1323,'TB Apr 24'!$B$13:$Y$103,24,0)</f>
        <v>85042</v>
      </c>
    </row>
    <row r="1324" spans="1:8" x14ac:dyDescent="0.35">
      <c r="A1324" s="77">
        <v>45383</v>
      </c>
      <c r="B1324" s="3" t="s">
        <v>189</v>
      </c>
      <c r="C1324" s="4" t="s">
        <v>190</v>
      </c>
      <c r="D1324" s="4" t="s">
        <v>314</v>
      </c>
      <c r="E1324" s="4" t="s">
        <v>254</v>
      </c>
      <c r="F1324" t="s">
        <v>228</v>
      </c>
      <c r="G1324" t="s">
        <v>219</v>
      </c>
      <c r="H1324">
        <f>VLOOKUP(C1324,'TB Apr 24'!$B$13:$Y$103,24,0)</f>
        <v>0</v>
      </c>
    </row>
    <row r="1325" spans="1:8" x14ac:dyDescent="0.35">
      <c r="A1325" s="77">
        <v>45383</v>
      </c>
      <c r="B1325" s="3" t="s">
        <v>191</v>
      </c>
      <c r="C1325" s="4" t="s">
        <v>192</v>
      </c>
      <c r="D1325" s="4" t="s">
        <v>314</v>
      </c>
      <c r="E1325" s="4" t="s">
        <v>254</v>
      </c>
      <c r="F1325" t="s">
        <v>228</v>
      </c>
      <c r="G1325" t="s">
        <v>219</v>
      </c>
      <c r="H1325">
        <f>VLOOKUP(C1325,'TB Apr 24'!$B$13:$Y$103,24,0)</f>
        <v>0</v>
      </c>
    </row>
    <row r="1326" spans="1:8" x14ac:dyDescent="0.35">
      <c r="A1326" s="77">
        <v>45383</v>
      </c>
      <c r="B1326" s="3" t="s">
        <v>193</v>
      </c>
      <c r="C1326" s="4" t="s">
        <v>194</v>
      </c>
      <c r="D1326" s="4" t="s">
        <v>314</v>
      </c>
      <c r="E1326" s="4" t="s">
        <v>254</v>
      </c>
      <c r="F1326" t="s">
        <v>228</v>
      </c>
      <c r="G1326" t="s">
        <v>219</v>
      </c>
      <c r="H1326">
        <f>VLOOKUP(C1326,'TB Apr 24'!$B$13:$Y$103,24,0)</f>
        <v>421713.72</v>
      </c>
    </row>
    <row r="1327" spans="1:8" x14ac:dyDescent="0.35">
      <c r="A1327" s="77">
        <v>45383</v>
      </c>
      <c r="B1327" s="3" t="s">
        <v>195</v>
      </c>
      <c r="C1327" s="4" t="s">
        <v>196</v>
      </c>
      <c r="D1327" s="4" t="s">
        <v>314</v>
      </c>
      <c r="E1327" s="4" t="s">
        <v>255</v>
      </c>
      <c r="F1327" t="s">
        <v>228</v>
      </c>
      <c r="G1327" t="s">
        <v>219</v>
      </c>
      <c r="H1327">
        <f>VLOOKUP(C1327,'TB Apr 24'!$B$13:$Y$103,24,0)</f>
        <v>0</v>
      </c>
    </row>
    <row r="1328" spans="1:8" x14ac:dyDescent="0.35">
      <c r="A1328" s="77">
        <v>45383</v>
      </c>
      <c r="B1328" s="3" t="s">
        <v>197</v>
      </c>
      <c r="C1328" s="4" t="s">
        <v>198</v>
      </c>
      <c r="D1328" s="4" t="s">
        <v>314</v>
      </c>
      <c r="E1328" s="4" t="s">
        <v>255</v>
      </c>
      <c r="F1328" t="s">
        <v>228</v>
      </c>
      <c r="G1328" t="s">
        <v>219</v>
      </c>
      <c r="H1328">
        <f>VLOOKUP(C1328,'TB Apr 24'!$B$13:$Y$103,24,0)</f>
        <v>0</v>
      </c>
    </row>
    <row r="1329" spans="1:8" x14ac:dyDescent="0.35">
      <c r="A1329" s="77">
        <v>45383</v>
      </c>
      <c r="B1329" s="3" t="s">
        <v>199</v>
      </c>
      <c r="C1329" s="4" t="s">
        <v>200</v>
      </c>
      <c r="D1329" s="4" t="s">
        <v>314</v>
      </c>
      <c r="E1329" s="4" t="s">
        <v>254</v>
      </c>
      <c r="F1329" t="s">
        <v>228</v>
      </c>
      <c r="G1329" t="s">
        <v>219</v>
      </c>
      <c r="H1329">
        <f>VLOOKUP(C1329,'TB Apr 24'!$B$13:$Y$103,24,0)</f>
        <v>0</v>
      </c>
    </row>
    <row r="1330" spans="1:8" x14ac:dyDescent="0.35">
      <c r="A1330" s="77">
        <v>45383</v>
      </c>
      <c r="B1330" s="3" t="s">
        <v>201</v>
      </c>
      <c r="C1330" s="4" t="s">
        <v>202</v>
      </c>
      <c r="D1330" s="4" t="s">
        <v>314</v>
      </c>
      <c r="E1330" s="4" t="s">
        <v>254</v>
      </c>
      <c r="F1330" t="s">
        <v>228</v>
      </c>
      <c r="G1330" t="s">
        <v>219</v>
      </c>
      <c r="H1330">
        <f>VLOOKUP(C1330,'TB Apr 24'!$B$13:$Y$103,24,0)</f>
        <v>0</v>
      </c>
    </row>
    <row r="1331" spans="1:8" x14ac:dyDescent="0.35">
      <c r="A1331" s="77">
        <v>45383</v>
      </c>
      <c r="B1331" s="3" t="s">
        <v>203</v>
      </c>
      <c r="C1331" s="4" t="s">
        <v>204</v>
      </c>
      <c r="D1331" s="4" t="s">
        <v>314</v>
      </c>
      <c r="E1331" s="4" t="s">
        <v>256</v>
      </c>
      <c r="F1331" t="s">
        <v>228</v>
      </c>
      <c r="G1331" t="s">
        <v>219</v>
      </c>
      <c r="H1331">
        <f>VLOOKUP(C1331,'TB Apr 24'!$B$13:$Y$103,24,0)</f>
        <v>57633</v>
      </c>
    </row>
    <row r="1332" spans="1:8" x14ac:dyDescent="0.35">
      <c r="A1332" s="77">
        <v>45383</v>
      </c>
      <c r="B1332" s="3" t="s">
        <v>205</v>
      </c>
      <c r="C1332" s="6" t="s">
        <v>206</v>
      </c>
      <c r="D1332" s="4" t="s">
        <v>314</v>
      </c>
      <c r="E1332" s="6" t="s">
        <v>322</v>
      </c>
      <c r="F1332" s="79" t="s">
        <v>228</v>
      </c>
      <c r="G1332" s="79" t="s">
        <v>219</v>
      </c>
      <c r="H1332" s="79">
        <f>VLOOKUP(C1332,'TB Apr 24'!$B$13:$Y$103,24,0)</f>
        <v>0</v>
      </c>
    </row>
    <row r="1333" spans="1:8" x14ac:dyDescent="0.35">
      <c r="A1333" s="77">
        <v>45383</v>
      </c>
      <c r="B1333" s="3" t="s">
        <v>57</v>
      </c>
      <c r="C1333" s="4" t="s">
        <v>58</v>
      </c>
      <c r="D1333" s="4" t="s">
        <v>314</v>
      </c>
      <c r="E1333" s="4" t="s">
        <v>253</v>
      </c>
      <c r="F1333" t="s">
        <v>213</v>
      </c>
      <c r="G1333" t="s">
        <v>216</v>
      </c>
      <c r="H1333">
        <f>VLOOKUP(C1333,'TB Apr 24'!$B$13:$Z$103,25,0)</f>
        <v>0</v>
      </c>
    </row>
    <row r="1334" spans="1:8" x14ac:dyDescent="0.35">
      <c r="A1334" s="77">
        <v>45383</v>
      </c>
      <c r="B1334" s="3" t="s">
        <v>307</v>
      </c>
      <c r="C1334" s="4" t="s">
        <v>308</v>
      </c>
      <c r="D1334" s="4" t="s">
        <v>314</v>
      </c>
      <c r="E1334" s="4" t="s">
        <v>253</v>
      </c>
      <c r="F1334" t="s">
        <v>213</v>
      </c>
      <c r="G1334" t="s">
        <v>216</v>
      </c>
      <c r="H1334">
        <f>VLOOKUP(C1334,'TB Apr 24'!$B$13:$Z$103,25,0)</f>
        <v>0</v>
      </c>
    </row>
    <row r="1335" spans="1:8" x14ac:dyDescent="0.35">
      <c r="A1335" s="77">
        <v>45383</v>
      </c>
      <c r="B1335" s="3" t="s">
        <v>59</v>
      </c>
      <c r="C1335" s="4" t="s">
        <v>60</v>
      </c>
      <c r="D1335" s="4" t="s">
        <v>314</v>
      </c>
      <c r="E1335" s="4" t="s">
        <v>253</v>
      </c>
      <c r="F1335" t="s">
        <v>213</v>
      </c>
      <c r="G1335" t="s">
        <v>216</v>
      </c>
      <c r="H1335">
        <f>VLOOKUP(C1335,'TB Apr 24'!$B$13:$Z$103,25,0)</f>
        <v>-50.89</v>
      </c>
    </row>
    <row r="1336" spans="1:8" x14ac:dyDescent="0.35">
      <c r="A1336" s="77">
        <v>45383</v>
      </c>
      <c r="B1336" s="3" t="s">
        <v>61</v>
      </c>
      <c r="C1336" s="4" t="s">
        <v>62</v>
      </c>
      <c r="D1336" s="4" t="s">
        <v>314</v>
      </c>
      <c r="E1336" s="4" t="s">
        <v>66</v>
      </c>
      <c r="F1336" t="s">
        <v>213</v>
      </c>
      <c r="G1336" t="s">
        <v>216</v>
      </c>
      <c r="H1336">
        <f>VLOOKUP(C1336,'TB Apr 24'!$B$13:$Z$103,25,0)</f>
        <v>-136727.46</v>
      </c>
    </row>
    <row r="1337" spans="1:8" x14ac:dyDescent="0.35">
      <c r="A1337" s="77">
        <v>45383</v>
      </c>
      <c r="B1337" s="3" t="s">
        <v>63</v>
      </c>
      <c r="C1337" s="4" t="s">
        <v>64</v>
      </c>
      <c r="D1337" s="4" t="s">
        <v>314</v>
      </c>
      <c r="E1337" s="4" t="s">
        <v>252</v>
      </c>
      <c r="F1337" t="s">
        <v>213</v>
      </c>
      <c r="G1337" t="s">
        <v>216</v>
      </c>
      <c r="H1337">
        <f>VLOOKUP(C1337,'TB Apr 24'!$B$13:$Z$103,25,0)</f>
        <v>0</v>
      </c>
    </row>
    <row r="1338" spans="1:8" x14ac:dyDescent="0.35">
      <c r="A1338" s="77">
        <v>45383</v>
      </c>
      <c r="B1338" s="3" t="s">
        <v>65</v>
      </c>
      <c r="C1338" s="4" t="s">
        <v>66</v>
      </c>
      <c r="D1338" s="4" t="s">
        <v>314</v>
      </c>
      <c r="E1338" s="4" t="s">
        <v>66</v>
      </c>
      <c r="F1338" t="s">
        <v>213</v>
      </c>
      <c r="G1338" t="s">
        <v>216</v>
      </c>
      <c r="H1338">
        <f>VLOOKUP(C1338,'TB Apr 24'!$B$13:$Z$103,25,0)</f>
        <v>-885707.8</v>
      </c>
    </row>
    <row r="1339" spans="1:8" x14ac:dyDescent="0.35">
      <c r="A1339" s="77">
        <v>45383</v>
      </c>
      <c r="B1339" s="3" t="s">
        <v>67</v>
      </c>
      <c r="C1339" s="4" t="s">
        <v>68</v>
      </c>
      <c r="D1339" s="4" t="s">
        <v>314</v>
      </c>
      <c r="E1339" s="4" t="s">
        <v>252</v>
      </c>
      <c r="F1339" t="s">
        <v>213</v>
      </c>
      <c r="G1339" t="s">
        <v>216</v>
      </c>
      <c r="H1339">
        <f>VLOOKUP(C1339,'TB Apr 24'!$B$13:$Z$103,25,0)</f>
        <v>-238327.7</v>
      </c>
    </row>
    <row r="1340" spans="1:8" x14ac:dyDescent="0.35">
      <c r="A1340" s="77">
        <v>45383</v>
      </c>
      <c r="B1340" s="3" t="s">
        <v>69</v>
      </c>
      <c r="C1340" s="4" t="s">
        <v>70</v>
      </c>
      <c r="D1340" s="4" t="s">
        <v>314</v>
      </c>
      <c r="E1340" s="4" t="s">
        <v>70</v>
      </c>
      <c r="F1340" t="s">
        <v>213</v>
      </c>
      <c r="G1340" t="s">
        <v>216</v>
      </c>
      <c r="H1340">
        <f>VLOOKUP(C1340,'TB Apr 24'!$B$13:$Z$103,25,0)</f>
        <v>-107628.5</v>
      </c>
    </row>
    <row r="1341" spans="1:8" x14ac:dyDescent="0.35">
      <c r="A1341" s="77">
        <v>45383</v>
      </c>
      <c r="B1341" s="3" t="s">
        <v>71</v>
      </c>
      <c r="C1341" s="4" t="s">
        <v>72</v>
      </c>
      <c r="D1341" s="4" t="s">
        <v>314</v>
      </c>
      <c r="E1341" s="4" t="s">
        <v>253</v>
      </c>
      <c r="F1341" t="s">
        <v>213</v>
      </c>
      <c r="G1341" t="s">
        <v>216</v>
      </c>
      <c r="H1341">
        <f>VLOOKUP(C1341,'TB Apr 24'!$B$13:$Z$103,25,0)</f>
        <v>0</v>
      </c>
    </row>
    <row r="1342" spans="1:8" x14ac:dyDescent="0.35">
      <c r="A1342" s="77">
        <v>45383</v>
      </c>
      <c r="B1342" s="3" t="s">
        <v>73</v>
      </c>
      <c r="C1342" s="4" t="s">
        <v>74</v>
      </c>
      <c r="D1342" s="4" t="s">
        <v>314</v>
      </c>
      <c r="E1342" s="4" t="s">
        <v>253</v>
      </c>
      <c r="F1342" t="s">
        <v>213</v>
      </c>
      <c r="G1342" t="s">
        <v>216</v>
      </c>
      <c r="H1342">
        <f>VLOOKUP(C1342,'TB Apr 24'!$B$13:$Z$103,25,0)</f>
        <v>-462.5</v>
      </c>
    </row>
    <row r="1343" spans="1:8" x14ac:dyDescent="0.35">
      <c r="A1343" s="77">
        <v>45383</v>
      </c>
      <c r="B1343" s="3" t="s">
        <v>75</v>
      </c>
      <c r="C1343" s="4" t="s">
        <v>76</v>
      </c>
      <c r="D1343" s="4" t="s">
        <v>314</v>
      </c>
      <c r="E1343" s="4" t="s">
        <v>253</v>
      </c>
      <c r="F1343" t="s">
        <v>213</v>
      </c>
      <c r="G1343" t="s">
        <v>216</v>
      </c>
      <c r="H1343">
        <f>VLOOKUP(C1343,'TB Apr 24'!$B$13:$Z$103,25,0)</f>
        <v>0</v>
      </c>
    </row>
    <row r="1344" spans="1:8" x14ac:dyDescent="0.35">
      <c r="A1344" s="77">
        <v>45383</v>
      </c>
      <c r="B1344" s="3" t="s">
        <v>77</v>
      </c>
      <c r="C1344" s="4" t="s">
        <v>78</v>
      </c>
      <c r="D1344" s="4" t="s">
        <v>314</v>
      </c>
      <c r="E1344" s="4" t="s">
        <v>253</v>
      </c>
      <c r="F1344" t="s">
        <v>213</v>
      </c>
      <c r="G1344" t="s">
        <v>216</v>
      </c>
      <c r="H1344">
        <f>VLOOKUP(C1344,'TB Apr 24'!$B$13:$Z$103,25,0)</f>
        <v>-22418.43</v>
      </c>
    </row>
    <row r="1345" spans="1:8" x14ac:dyDescent="0.35">
      <c r="A1345" s="77">
        <v>45383</v>
      </c>
      <c r="B1345" s="3" t="s">
        <v>79</v>
      </c>
      <c r="C1345" s="4" t="s">
        <v>80</v>
      </c>
      <c r="D1345" s="4" t="s">
        <v>314</v>
      </c>
      <c r="E1345" s="4" t="s">
        <v>253</v>
      </c>
      <c r="F1345" t="s">
        <v>213</v>
      </c>
      <c r="G1345" t="s">
        <v>216</v>
      </c>
      <c r="H1345">
        <f>VLOOKUP(C1345,'TB Apr 24'!$B$13:$Z$103,25,0)</f>
        <v>-9828.1</v>
      </c>
    </row>
    <row r="1346" spans="1:8" x14ac:dyDescent="0.35">
      <c r="A1346" s="77">
        <v>45383</v>
      </c>
      <c r="B1346" s="3" t="s">
        <v>81</v>
      </c>
      <c r="C1346" s="4" t="s">
        <v>82</v>
      </c>
      <c r="D1346" s="4" t="s">
        <v>314</v>
      </c>
      <c r="E1346" s="4" t="s">
        <v>319</v>
      </c>
      <c r="F1346" t="s">
        <v>213</v>
      </c>
      <c r="G1346" t="s">
        <v>216</v>
      </c>
      <c r="H1346">
        <f>VLOOKUP(C1346,'TB Apr 24'!$B$13:$Z$103,25,0)</f>
        <v>52864</v>
      </c>
    </row>
    <row r="1347" spans="1:8" x14ac:dyDescent="0.35">
      <c r="A1347" s="77">
        <v>45383</v>
      </c>
      <c r="B1347" s="3" t="s">
        <v>83</v>
      </c>
      <c r="C1347" s="4" t="s">
        <v>84</v>
      </c>
      <c r="D1347" s="4" t="s">
        <v>314</v>
      </c>
      <c r="E1347" s="4" t="s">
        <v>319</v>
      </c>
      <c r="F1347" t="s">
        <v>213</v>
      </c>
      <c r="G1347" t="s">
        <v>216</v>
      </c>
      <c r="H1347">
        <f>VLOOKUP(C1347,'TB Apr 24'!$B$13:$Z$103,25,0)</f>
        <v>2000</v>
      </c>
    </row>
    <row r="1348" spans="1:8" x14ac:dyDescent="0.35">
      <c r="A1348" s="77">
        <v>45383</v>
      </c>
      <c r="B1348" s="3" t="s">
        <v>85</v>
      </c>
      <c r="C1348" s="4" t="s">
        <v>86</v>
      </c>
      <c r="D1348" s="4" t="s">
        <v>314</v>
      </c>
      <c r="E1348" s="4" t="s">
        <v>291</v>
      </c>
      <c r="F1348" t="s">
        <v>213</v>
      </c>
      <c r="G1348" t="s">
        <v>216</v>
      </c>
      <c r="H1348">
        <f>VLOOKUP(C1348,'TB Apr 24'!$B$13:$Z$103,25,0)</f>
        <v>0</v>
      </c>
    </row>
    <row r="1349" spans="1:8" x14ac:dyDescent="0.35">
      <c r="A1349" s="77">
        <v>45383</v>
      </c>
      <c r="B1349" s="3" t="s">
        <v>88</v>
      </c>
      <c r="C1349" s="4" t="s">
        <v>89</v>
      </c>
      <c r="D1349" s="4" t="s">
        <v>314</v>
      </c>
      <c r="E1349" s="4" t="s">
        <v>300</v>
      </c>
      <c r="F1349" t="s">
        <v>213</v>
      </c>
      <c r="G1349" t="s">
        <v>216</v>
      </c>
      <c r="H1349">
        <f>VLOOKUP(C1349,'TB Apr 24'!$B$13:$Z$103,25,0)</f>
        <v>0</v>
      </c>
    </row>
    <row r="1350" spans="1:8" x14ac:dyDescent="0.35">
      <c r="A1350" s="77">
        <v>45383</v>
      </c>
      <c r="B1350" s="3" t="s">
        <v>90</v>
      </c>
      <c r="C1350" s="4" t="s">
        <v>91</v>
      </c>
      <c r="D1350" s="4" t="s">
        <v>314</v>
      </c>
      <c r="E1350" s="4" t="s">
        <v>300</v>
      </c>
      <c r="F1350" t="s">
        <v>213</v>
      </c>
      <c r="G1350" t="s">
        <v>216</v>
      </c>
      <c r="H1350">
        <f>VLOOKUP(C1350,'TB Apr 24'!$B$13:$Z$103,25,0)</f>
        <v>55402</v>
      </c>
    </row>
    <row r="1351" spans="1:8" x14ac:dyDescent="0.35">
      <c r="A1351" s="77">
        <v>45383</v>
      </c>
      <c r="B1351" s="3" t="s">
        <v>92</v>
      </c>
      <c r="C1351" s="4" t="s">
        <v>93</v>
      </c>
      <c r="D1351" s="4" t="s">
        <v>314</v>
      </c>
      <c r="E1351" s="4" t="s">
        <v>300</v>
      </c>
      <c r="F1351" t="s">
        <v>213</v>
      </c>
      <c r="G1351" t="s">
        <v>216</v>
      </c>
      <c r="H1351">
        <f>VLOOKUP(C1351,'TB Apr 24'!$B$13:$Z$103,25,0)</f>
        <v>5625</v>
      </c>
    </row>
    <row r="1352" spans="1:8" x14ac:dyDescent="0.35">
      <c r="A1352" s="77">
        <v>45383</v>
      </c>
      <c r="B1352" s="3" t="s">
        <v>94</v>
      </c>
      <c r="C1352" s="4" t="s">
        <v>95</v>
      </c>
      <c r="D1352" s="4" t="s">
        <v>314</v>
      </c>
      <c r="E1352" s="4" t="s">
        <v>289</v>
      </c>
      <c r="F1352" t="s">
        <v>213</v>
      </c>
      <c r="G1352" t="s">
        <v>216</v>
      </c>
      <c r="H1352">
        <f>VLOOKUP(C1352,'TB Apr 24'!$B$13:$Z$103,25,0)</f>
        <v>436636.5</v>
      </c>
    </row>
    <row r="1353" spans="1:8" x14ac:dyDescent="0.35">
      <c r="A1353" s="77">
        <v>45383</v>
      </c>
      <c r="B1353" s="3" t="s">
        <v>96</v>
      </c>
      <c r="C1353" s="4" t="s">
        <v>97</v>
      </c>
      <c r="D1353" s="4" t="s">
        <v>314</v>
      </c>
      <c r="E1353" s="4" t="s">
        <v>289</v>
      </c>
      <c r="F1353" t="s">
        <v>213</v>
      </c>
      <c r="G1353" t="s">
        <v>216</v>
      </c>
      <c r="H1353">
        <f>VLOOKUP(C1353,'TB Apr 24'!$B$13:$Z$103,25,0)</f>
        <v>0</v>
      </c>
    </row>
    <row r="1354" spans="1:8" x14ac:dyDescent="0.35">
      <c r="A1354" s="77">
        <v>45383</v>
      </c>
      <c r="B1354" s="3" t="s">
        <v>309</v>
      </c>
      <c r="C1354" s="4" t="s">
        <v>310</v>
      </c>
      <c r="D1354" s="4" t="s">
        <v>314</v>
      </c>
      <c r="E1354" s="4" t="s">
        <v>289</v>
      </c>
      <c r="F1354" t="s">
        <v>213</v>
      </c>
      <c r="G1354" t="s">
        <v>216</v>
      </c>
      <c r="H1354">
        <f>VLOOKUP(C1354,'TB Apr 24'!$B$13:$Z$103,25,0)</f>
        <v>0</v>
      </c>
    </row>
    <row r="1355" spans="1:8" x14ac:dyDescent="0.35">
      <c r="A1355" s="77">
        <v>45383</v>
      </c>
      <c r="B1355" s="3" t="s">
        <v>98</v>
      </c>
      <c r="C1355" s="4" t="s">
        <v>99</v>
      </c>
      <c r="D1355" s="4" t="s">
        <v>314</v>
      </c>
      <c r="E1355" s="4" t="s">
        <v>289</v>
      </c>
      <c r="F1355" t="s">
        <v>213</v>
      </c>
      <c r="G1355" t="s">
        <v>216</v>
      </c>
      <c r="H1355">
        <f>VLOOKUP(C1355,'TB Apr 24'!$B$13:$Z$103,25,0)</f>
        <v>0</v>
      </c>
    </row>
    <row r="1356" spans="1:8" x14ac:dyDescent="0.35">
      <c r="A1356" s="77">
        <v>45383</v>
      </c>
      <c r="B1356" s="3" t="s">
        <v>100</v>
      </c>
      <c r="C1356" s="4" t="s">
        <v>101</v>
      </c>
      <c r="D1356" s="4" t="s">
        <v>314</v>
      </c>
      <c r="E1356" s="4" t="s">
        <v>291</v>
      </c>
      <c r="F1356" t="s">
        <v>213</v>
      </c>
      <c r="G1356" t="s">
        <v>216</v>
      </c>
      <c r="H1356">
        <f>VLOOKUP(C1356,'TB Apr 24'!$B$13:$Z$103,25,0)</f>
        <v>0</v>
      </c>
    </row>
    <row r="1357" spans="1:8" x14ac:dyDescent="0.35">
      <c r="A1357" s="77">
        <v>45383</v>
      </c>
      <c r="B1357" s="3" t="s">
        <v>102</v>
      </c>
      <c r="C1357" s="4" t="s">
        <v>103</v>
      </c>
      <c r="D1357" s="4" t="s">
        <v>314</v>
      </c>
      <c r="E1357" s="4" t="s">
        <v>291</v>
      </c>
      <c r="F1357" t="s">
        <v>213</v>
      </c>
      <c r="G1357" t="s">
        <v>216</v>
      </c>
      <c r="H1357">
        <f>VLOOKUP(C1357,'TB Apr 24'!$B$13:$Z$103,25,0)</f>
        <v>0</v>
      </c>
    </row>
    <row r="1358" spans="1:8" x14ac:dyDescent="0.35">
      <c r="A1358" s="77">
        <v>45383</v>
      </c>
      <c r="B1358" s="3" t="s">
        <v>104</v>
      </c>
      <c r="C1358" s="4" t="s">
        <v>105</v>
      </c>
      <c r="D1358" s="4" t="s">
        <v>314</v>
      </c>
      <c r="E1358" s="4" t="s">
        <v>291</v>
      </c>
      <c r="F1358" t="s">
        <v>213</v>
      </c>
      <c r="G1358" t="s">
        <v>216</v>
      </c>
      <c r="H1358">
        <f>VLOOKUP(C1358,'TB Apr 24'!$B$13:$Z$103,25,0)</f>
        <v>568.75</v>
      </c>
    </row>
    <row r="1359" spans="1:8" x14ac:dyDescent="0.35">
      <c r="A1359" s="77">
        <v>45383</v>
      </c>
      <c r="B1359" s="3" t="s">
        <v>106</v>
      </c>
      <c r="C1359" s="4" t="s">
        <v>107</v>
      </c>
      <c r="D1359" s="4" t="s">
        <v>314</v>
      </c>
      <c r="E1359" s="4" t="s">
        <v>321</v>
      </c>
      <c r="F1359" t="s">
        <v>213</v>
      </c>
      <c r="G1359" t="s">
        <v>216</v>
      </c>
      <c r="H1359">
        <f>VLOOKUP(C1359,'TB Apr 24'!$B$13:$Z$103,25,0)</f>
        <v>0</v>
      </c>
    </row>
    <row r="1360" spans="1:8" x14ac:dyDescent="0.35">
      <c r="A1360" s="77">
        <v>45383</v>
      </c>
      <c r="B1360" s="3" t="s">
        <v>108</v>
      </c>
      <c r="C1360" s="4" t="s">
        <v>109</v>
      </c>
      <c r="D1360" s="4" t="s">
        <v>314</v>
      </c>
      <c r="E1360" s="4" t="s">
        <v>321</v>
      </c>
      <c r="F1360" t="s">
        <v>213</v>
      </c>
      <c r="G1360" t="s">
        <v>216</v>
      </c>
      <c r="H1360">
        <f>VLOOKUP(C1360,'TB Apr 24'!$B$13:$Z$103,25,0)</f>
        <v>0</v>
      </c>
    </row>
    <row r="1361" spans="1:8" x14ac:dyDescent="0.35">
      <c r="A1361" s="77">
        <v>45383</v>
      </c>
      <c r="B1361" s="3" t="s">
        <v>110</v>
      </c>
      <c r="C1361" s="4" t="s">
        <v>111</v>
      </c>
      <c r="D1361" s="4" t="s">
        <v>314</v>
      </c>
      <c r="E1361" s="4" t="s">
        <v>320</v>
      </c>
      <c r="F1361" t="s">
        <v>213</v>
      </c>
      <c r="G1361" t="s">
        <v>216</v>
      </c>
      <c r="H1361">
        <f>VLOOKUP(C1361,'TB Apr 24'!$B$13:$Z$103,25,0)</f>
        <v>846</v>
      </c>
    </row>
    <row r="1362" spans="1:8" x14ac:dyDescent="0.35">
      <c r="A1362" s="77">
        <v>45383</v>
      </c>
      <c r="B1362" s="3" t="s">
        <v>112</v>
      </c>
      <c r="C1362" s="4" t="s">
        <v>113</v>
      </c>
      <c r="D1362" s="4" t="s">
        <v>314</v>
      </c>
      <c r="E1362" s="4" t="s">
        <v>321</v>
      </c>
      <c r="F1362" t="s">
        <v>213</v>
      </c>
      <c r="G1362" t="s">
        <v>216</v>
      </c>
      <c r="H1362">
        <f>VLOOKUP(C1362,'TB Apr 24'!$B$13:$Z$103,25,0)</f>
        <v>0</v>
      </c>
    </row>
    <row r="1363" spans="1:8" x14ac:dyDescent="0.35">
      <c r="A1363" s="77">
        <v>45383</v>
      </c>
      <c r="B1363" s="3" t="s">
        <v>311</v>
      </c>
      <c r="C1363" s="4" t="s">
        <v>312</v>
      </c>
      <c r="D1363" s="4" t="s">
        <v>314</v>
      </c>
      <c r="E1363" s="4" t="s">
        <v>288</v>
      </c>
      <c r="F1363" t="s">
        <v>213</v>
      </c>
      <c r="G1363" t="s">
        <v>216</v>
      </c>
      <c r="H1363">
        <f>VLOOKUP(C1363,'TB Apr 24'!$B$13:$Z$103,25,0)</f>
        <v>0</v>
      </c>
    </row>
    <row r="1364" spans="1:8" x14ac:dyDescent="0.35">
      <c r="A1364" s="77">
        <v>45383</v>
      </c>
      <c r="B1364" s="3" t="s">
        <v>114</v>
      </c>
      <c r="C1364" s="4" t="s">
        <v>115</v>
      </c>
      <c r="D1364" s="4" t="s">
        <v>314</v>
      </c>
      <c r="E1364" s="4" t="s">
        <v>294</v>
      </c>
      <c r="F1364" t="s">
        <v>213</v>
      </c>
      <c r="G1364" t="s">
        <v>216</v>
      </c>
      <c r="H1364">
        <f>VLOOKUP(C1364,'TB Apr 24'!$B$13:$Z$103,25,0)</f>
        <v>0</v>
      </c>
    </row>
    <row r="1365" spans="1:8" x14ac:dyDescent="0.35">
      <c r="A1365" s="77">
        <v>45383</v>
      </c>
      <c r="B1365" s="3" t="s">
        <v>116</v>
      </c>
      <c r="C1365" s="4" t="s">
        <v>117</v>
      </c>
      <c r="D1365" s="4" t="s">
        <v>314</v>
      </c>
      <c r="E1365" s="4" t="s">
        <v>296</v>
      </c>
      <c r="F1365" t="s">
        <v>213</v>
      </c>
      <c r="G1365" t="s">
        <v>216</v>
      </c>
      <c r="H1365">
        <f>VLOOKUP(C1365,'TB Apr 24'!$B$13:$Z$103,25,0)</f>
        <v>0</v>
      </c>
    </row>
    <row r="1366" spans="1:8" x14ac:dyDescent="0.35">
      <c r="A1366" s="77">
        <v>45383</v>
      </c>
      <c r="B1366" s="3" t="s">
        <v>118</v>
      </c>
      <c r="C1366" s="4" t="s">
        <v>119</v>
      </c>
      <c r="D1366" s="4" t="s">
        <v>314</v>
      </c>
      <c r="E1366" s="4" t="s">
        <v>296</v>
      </c>
      <c r="F1366" t="s">
        <v>213</v>
      </c>
      <c r="G1366" t="s">
        <v>216</v>
      </c>
      <c r="H1366">
        <f>VLOOKUP(C1366,'TB Apr 24'!$B$13:$Z$103,25,0)</f>
        <v>75000</v>
      </c>
    </row>
    <row r="1367" spans="1:8" x14ac:dyDescent="0.35">
      <c r="A1367" s="77">
        <v>45383</v>
      </c>
      <c r="B1367" s="3" t="s">
        <v>120</v>
      </c>
      <c r="C1367" s="4" t="s">
        <v>121</v>
      </c>
      <c r="D1367" s="4" t="s">
        <v>314</v>
      </c>
      <c r="E1367" s="4" t="s">
        <v>322</v>
      </c>
      <c r="F1367" t="s">
        <v>213</v>
      </c>
      <c r="G1367" t="s">
        <v>216</v>
      </c>
      <c r="H1367">
        <f>VLOOKUP(C1367,'TB Apr 24'!$B$13:$Z$103,25,0)</f>
        <v>0</v>
      </c>
    </row>
    <row r="1368" spans="1:8" x14ac:dyDescent="0.35">
      <c r="A1368" s="77">
        <v>45383</v>
      </c>
      <c r="B1368" s="3" t="s">
        <v>122</v>
      </c>
      <c r="C1368" s="4" t="s">
        <v>123</v>
      </c>
      <c r="D1368" s="4" t="s">
        <v>314</v>
      </c>
      <c r="E1368" s="4" t="s">
        <v>322</v>
      </c>
      <c r="F1368" t="s">
        <v>213</v>
      </c>
      <c r="G1368" t="s">
        <v>216</v>
      </c>
      <c r="H1368">
        <f>VLOOKUP(C1368,'TB Apr 24'!$B$13:$Z$103,25,0)</f>
        <v>0</v>
      </c>
    </row>
    <row r="1369" spans="1:8" x14ac:dyDescent="0.35">
      <c r="A1369" s="77">
        <v>45383</v>
      </c>
      <c r="B1369" s="3" t="s">
        <v>124</v>
      </c>
      <c r="C1369" s="4" t="s">
        <v>125</v>
      </c>
      <c r="D1369" s="4" t="s">
        <v>314</v>
      </c>
      <c r="E1369" s="4" t="s">
        <v>322</v>
      </c>
      <c r="F1369" t="s">
        <v>213</v>
      </c>
      <c r="G1369" t="s">
        <v>216</v>
      </c>
      <c r="H1369">
        <f>VLOOKUP(C1369,'TB Apr 24'!$B$13:$Z$103,25,0)</f>
        <v>0</v>
      </c>
    </row>
    <row r="1370" spans="1:8" x14ac:dyDescent="0.35">
      <c r="A1370" s="77">
        <v>45383</v>
      </c>
      <c r="B1370" s="3" t="s">
        <v>126</v>
      </c>
      <c r="C1370" s="4" t="s">
        <v>127</v>
      </c>
      <c r="D1370" s="4" t="s">
        <v>314</v>
      </c>
      <c r="E1370" s="4" t="s">
        <v>291</v>
      </c>
      <c r="F1370" t="s">
        <v>213</v>
      </c>
      <c r="G1370" t="s">
        <v>216</v>
      </c>
      <c r="H1370">
        <f>VLOOKUP(C1370,'TB Apr 24'!$B$13:$Z$103,25,0)</f>
        <v>0</v>
      </c>
    </row>
    <row r="1371" spans="1:8" x14ac:dyDescent="0.35">
      <c r="A1371" s="77">
        <v>45383</v>
      </c>
      <c r="B1371" s="3" t="s">
        <v>128</v>
      </c>
      <c r="C1371" s="4" t="s">
        <v>129</v>
      </c>
      <c r="D1371" s="4" t="s">
        <v>314</v>
      </c>
      <c r="E1371" s="4" t="s">
        <v>322</v>
      </c>
      <c r="F1371" t="s">
        <v>213</v>
      </c>
      <c r="G1371" t="s">
        <v>216</v>
      </c>
      <c r="H1371">
        <f>VLOOKUP(C1371,'TB Apr 24'!$B$13:$Z$103,25,0)</f>
        <v>14094.875</v>
      </c>
    </row>
    <row r="1372" spans="1:8" x14ac:dyDescent="0.35">
      <c r="A1372" s="77">
        <v>45383</v>
      </c>
      <c r="B1372" s="3" t="s">
        <v>130</v>
      </c>
      <c r="C1372" s="4" t="s">
        <v>131</v>
      </c>
      <c r="D1372" s="4" t="s">
        <v>314</v>
      </c>
      <c r="E1372" s="4" t="s">
        <v>322</v>
      </c>
      <c r="F1372" t="s">
        <v>213</v>
      </c>
      <c r="G1372" t="s">
        <v>216</v>
      </c>
      <c r="H1372">
        <f>VLOOKUP(C1372,'TB Apr 24'!$B$13:$Z$103,25,0)</f>
        <v>300</v>
      </c>
    </row>
    <row r="1373" spans="1:8" x14ac:dyDescent="0.35">
      <c r="A1373" s="77">
        <v>45383</v>
      </c>
      <c r="B1373" s="3" t="s">
        <v>132</v>
      </c>
      <c r="C1373" s="4" t="s">
        <v>133</v>
      </c>
      <c r="D1373" s="4" t="s">
        <v>314</v>
      </c>
      <c r="E1373" s="4" t="s">
        <v>320</v>
      </c>
      <c r="F1373" t="s">
        <v>213</v>
      </c>
      <c r="G1373" t="s">
        <v>216</v>
      </c>
      <c r="H1373">
        <f>VLOOKUP(C1373,'TB Apr 24'!$B$13:$Z$103,25,0)</f>
        <v>24681</v>
      </c>
    </row>
    <row r="1374" spans="1:8" x14ac:dyDescent="0.35">
      <c r="A1374" s="77">
        <v>45383</v>
      </c>
      <c r="B1374" s="3" t="s">
        <v>134</v>
      </c>
      <c r="C1374" s="4" t="s">
        <v>135</v>
      </c>
      <c r="D1374" s="4" t="s">
        <v>314</v>
      </c>
      <c r="E1374" s="4" t="s">
        <v>299</v>
      </c>
      <c r="F1374" t="s">
        <v>213</v>
      </c>
      <c r="G1374" t="s">
        <v>216</v>
      </c>
      <c r="H1374">
        <f>VLOOKUP(C1374,'TB Apr 24'!$B$13:$Z$103,25,0)</f>
        <v>0</v>
      </c>
    </row>
    <row r="1375" spans="1:8" x14ac:dyDescent="0.35">
      <c r="A1375" s="77">
        <v>45383</v>
      </c>
      <c r="B1375" s="3" t="s">
        <v>136</v>
      </c>
      <c r="C1375" s="4" t="s">
        <v>137</v>
      </c>
      <c r="D1375" s="4" t="s">
        <v>314</v>
      </c>
      <c r="E1375" s="4" t="s">
        <v>322</v>
      </c>
      <c r="F1375" t="s">
        <v>213</v>
      </c>
      <c r="G1375" t="s">
        <v>216</v>
      </c>
      <c r="H1375">
        <f>VLOOKUP(C1375,'TB Apr 24'!$B$13:$Z$103,25,0)</f>
        <v>0</v>
      </c>
    </row>
    <row r="1376" spans="1:8" x14ac:dyDescent="0.35">
      <c r="A1376" s="77">
        <v>45383</v>
      </c>
      <c r="B1376" s="3" t="s">
        <v>138</v>
      </c>
      <c r="C1376" s="4" t="s">
        <v>139</v>
      </c>
      <c r="D1376" s="4" t="s">
        <v>314</v>
      </c>
      <c r="E1376" s="4" t="s">
        <v>294</v>
      </c>
      <c r="F1376" t="s">
        <v>213</v>
      </c>
      <c r="G1376" t="s">
        <v>216</v>
      </c>
      <c r="H1376">
        <f>VLOOKUP(C1376,'TB Apr 24'!$B$13:$Z$103,25,0)</f>
        <v>16912.199999999997</v>
      </c>
    </row>
    <row r="1377" spans="1:8" x14ac:dyDescent="0.35">
      <c r="A1377" s="77">
        <v>45383</v>
      </c>
      <c r="B1377" s="3" t="s">
        <v>140</v>
      </c>
      <c r="C1377" s="4" t="s">
        <v>141</v>
      </c>
      <c r="D1377" s="4" t="s">
        <v>314</v>
      </c>
      <c r="E1377" s="4" t="s">
        <v>268</v>
      </c>
      <c r="F1377" t="s">
        <v>213</v>
      </c>
      <c r="G1377" t="s">
        <v>216</v>
      </c>
      <c r="H1377">
        <f>VLOOKUP(C1377,'TB Apr 24'!$B$13:$Z$103,25,0)</f>
        <v>126103.62419999999</v>
      </c>
    </row>
    <row r="1378" spans="1:8" x14ac:dyDescent="0.35">
      <c r="A1378" s="77">
        <v>45383</v>
      </c>
      <c r="B1378" s="3" t="s">
        <v>142</v>
      </c>
      <c r="C1378" s="4" t="s">
        <v>143</v>
      </c>
      <c r="D1378" s="4" t="s">
        <v>314</v>
      </c>
      <c r="E1378" s="4" t="s">
        <v>269</v>
      </c>
      <c r="F1378" t="s">
        <v>213</v>
      </c>
      <c r="G1378" t="s">
        <v>216</v>
      </c>
      <c r="H1378">
        <f>VLOOKUP(C1378,'TB Apr 24'!$B$13:$Z$103,25,0)</f>
        <v>47380</v>
      </c>
    </row>
    <row r="1379" spans="1:8" x14ac:dyDescent="0.35">
      <c r="A1379" s="77">
        <v>45383</v>
      </c>
      <c r="B1379" s="3" t="s">
        <v>144</v>
      </c>
      <c r="C1379" s="4" t="s">
        <v>145</v>
      </c>
      <c r="D1379" s="4" t="s">
        <v>314</v>
      </c>
      <c r="E1379" s="4" t="s">
        <v>288</v>
      </c>
      <c r="F1379" t="s">
        <v>213</v>
      </c>
      <c r="G1379" t="s">
        <v>216</v>
      </c>
      <c r="H1379">
        <f>VLOOKUP(C1379,'TB Apr 24'!$B$13:$Z$103,25,0)</f>
        <v>30797</v>
      </c>
    </row>
    <row r="1380" spans="1:8" x14ac:dyDescent="0.35">
      <c r="A1380" s="77">
        <v>45383</v>
      </c>
      <c r="B1380" s="3" t="s">
        <v>146</v>
      </c>
      <c r="C1380" s="4" t="s">
        <v>147</v>
      </c>
      <c r="D1380" s="4" t="s">
        <v>314</v>
      </c>
      <c r="E1380" s="4" t="s">
        <v>288</v>
      </c>
      <c r="F1380" t="s">
        <v>213</v>
      </c>
      <c r="G1380" t="s">
        <v>216</v>
      </c>
      <c r="H1380">
        <f>VLOOKUP(C1380,'TB Apr 24'!$B$13:$Z$103,25,0)</f>
        <v>14699.75</v>
      </c>
    </row>
    <row r="1381" spans="1:8" x14ac:dyDescent="0.35">
      <c r="A1381" s="77">
        <v>45383</v>
      </c>
      <c r="B1381" s="3" t="s">
        <v>148</v>
      </c>
      <c r="C1381" s="4" t="s">
        <v>149</v>
      </c>
      <c r="D1381" s="4" t="s">
        <v>314</v>
      </c>
      <c r="E1381" s="4" t="s">
        <v>287</v>
      </c>
      <c r="F1381" t="s">
        <v>213</v>
      </c>
      <c r="G1381" t="s">
        <v>216</v>
      </c>
      <c r="H1381">
        <f>VLOOKUP(C1381,'TB Apr 24'!$B$13:$Z$103,25,0)</f>
        <v>101248</v>
      </c>
    </row>
    <row r="1382" spans="1:8" x14ac:dyDescent="0.35">
      <c r="A1382" s="77">
        <v>45383</v>
      </c>
      <c r="B1382" s="3" t="s">
        <v>150</v>
      </c>
      <c r="C1382" s="4" t="s">
        <v>87</v>
      </c>
      <c r="D1382" s="4" t="s">
        <v>314</v>
      </c>
      <c r="E1382" s="4" t="s">
        <v>288</v>
      </c>
      <c r="F1382" t="s">
        <v>213</v>
      </c>
      <c r="G1382" t="s">
        <v>216</v>
      </c>
      <c r="H1382">
        <f>VLOOKUP(C1382,'TB Apr 24'!$B$13:$Z$103,25,0)</f>
        <v>0</v>
      </c>
    </row>
    <row r="1383" spans="1:8" x14ac:dyDescent="0.35">
      <c r="A1383" s="77">
        <v>45383</v>
      </c>
      <c r="B1383" s="3" t="s">
        <v>151</v>
      </c>
      <c r="C1383" s="4" t="s">
        <v>152</v>
      </c>
      <c r="D1383" s="4" t="s">
        <v>314</v>
      </c>
      <c r="E1383" s="4" t="s">
        <v>288</v>
      </c>
      <c r="F1383" t="s">
        <v>213</v>
      </c>
      <c r="G1383" t="s">
        <v>216</v>
      </c>
      <c r="H1383">
        <f>VLOOKUP(C1383,'TB Apr 24'!$B$13:$Z$103,25,0)</f>
        <v>0</v>
      </c>
    </row>
    <row r="1384" spans="1:8" x14ac:dyDescent="0.35">
      <c r="A1384" s="77">
        <v>45383</v>
      </c>
      <c r="B1384" s="3" t="s">
        <v>153</v>
      </c>
      <c r="C1384" s="4" t="s">
        <v>154</v>
      </c>
      <c r="D1384" s="4" t="s">
        <v>314</v>
      </c>
      <c r="E1384" s="4" t="s">
        <v>288</v>
      </c>
      <c r="F1384" t="s">
        <v>213</v>
      </c>
      <c r="G1384" t="s">
        <v>216</v>
      </c>
      <c r="H1384">
        <f>VLOOKUP(C1384,'TB Apr 24'!$B$13:$Z$103,25,0)</f>
        <v>9123</v>
      </c>
    </row>
    <row r="1385" spans="1:8" x14ac:dyDescent="0.35">
      <c r="A1385" s="77">
        <v>45383</v>
      </c>
      <c r="B1385" s="3" t="s">
        <v>155</v>
      </c>
      <c r="C1385" s="4" t="s">
        <v>156</v>
      </c>
      <c r="D1385" s="4" t="s">
        <v>314</v>
      </c>
      <c r="E1385" s="4" t="s">
        <v>288</v>
      </c>
      <c r="F1385" t="s">
        <v>213</v>
      </c>
      <c r="G1385" t="s">
        <v>216</v>
      </c>
      <c r="H1385">
        <f>VLOOKUP(C1385,'TB Apr 24'!$B$13:$Z$103,25,0)</f>
        <v>0</v>
      </c>
    </row>
    <row r="1386" spans="1:8" x14ac:dyDescent="0.35">
      <c r="A1386" s="77">
        <v>45383</v>
      </c>
      <c r="B1386" s="3" t="s">
        <v>157</v>
      </c>
      <c r="C1386" s="4" t="s">
        <v>158</v>
      </c>
      <c r="D1386" s="4" t="s">
        <v>314</v>
      </c>
      <c r="E1386" s="4" t="s">
        <v>292</v>
      </c>
      <c r="F1386" t="s">
        <v>213</v>
      </c>
      <c r="G1386" t="s">
        <v>216</v>
      </c>
      <c r="H1386">
        <f>VLOOKUP(C1386,'TB Apr 24'!$B$13:$Z$103,25,0)</f>
        <v>0</v>
      </c>
    </row>
    <row r="1387" spans="1:8" x14ac:dyDescent="0.35">
      <c r="A1387" s="77">
        <v>45383</v>
      </c>
      <c r="B1387" s="3" t="s">
        <v>159</v>
      </c>
      <c r="C1387" s="4" t="s">
        <v>160</v>
      </c>
      <c r="D1387" s="4" t="s">
        <v>314</v>
      </c>
      <c r="E1387" s="4" t="s">
        <v>323</v>
      </c>
      <c r="F1387" t="s">
        <v>213</v>
      </c>
      <c r="G1387" t="s">
        <v>216</v>
      </c>
      <c r="H1387">
        <f>VLOOKUP(C1387,'TB Apr 24'!$B$13:$Z$103,25,0)</f>
        <v>0</v>
      </c>
    </row>
    <row r="1388" spans="1:8" x14ac:dyDescent="0.35">
      <c r="A1388" s="77">
        <v>45383</v>
      </c>
      <c r="B1388" s="3" t="s">
        <v>161</v>
      </c>
      <c r="C1388" s="4" t="s">
        <v>162</v>
      </c>
      <c r="D1388" s="4" t="s">
        <v>314</v>
      </c>
      <c r="E1388" s="4" t="s">
        <v>323</v>
      </c>
      <c r="F1388" t="s">
        <v>213</v>
      </c>
      <c r="G1388" t="s">
        <v>216</v>
      </c>
      <c r="H1388">
        <f>VLOOKUP(C1388,'TB Apr 24'!$B$13:$Z$103,25,0)</f>
        <v>0</v>
      </c>
    </row>
    <row r="1389" spans="1:8" x14ac:dyDescent="0.35">
      <c r="A1389" s="77">
        <v>45383</v>
      </c>
      <c r="B1389" s="3" t="s">
        <v>163</v>
      </c>
      <c r="C1389" s="4" t="s">
        <v>164</v>
      </c>
      <c r="D1389" s="4" t="s">
        <v>314</v>
      </c>
      <c r="E1389" s="4" t="s">
        <v>319</v>
      </c>
      <c r="F1389" t="s">
        <v>213</v>
      </c>
      <c r="G1389" t="s">
        <v>216</v>
      </c>
      <c r="H1389">
        <f>VLOOKUP(C1389,'TB Apr 24'!$B$13:$Z$103,25,0)</f>
        <v>2400</v>
      </c>
    </row>
    <row r="1390" spans="1:8" x14ac:dyDescent="0.35">
      <c r="A1390" s="77">
        <v>45383</v>
      </c>
      <c r="B1390" s="3" t="s">
        <v>165</v>
      </c>
      <c r="C1390" s="4" t="s">
        <v>166</v>
      </c>
      <c r="D1390" s="4" t="s">
        <v>314</v>
      </c>
      <c r="E1390" s="4" t="s">
        <v>304</v>
      </c>
      <c r="F1390" t="s">
        <v>213</v>
      </c>
      <c r="G1390" t="s">
        <v>216</v>
      </c>
      <c r="H1390">
        <f>VLOOKUP(C1390,'TB Apr 24'!$B$13:$Z$103,25,0)</f>
        <v>1128</v>
      </c>
    </row>
    <row r="1391" spans="1:8" x14ac:dyDescent="0.35">
      <c r="A1391" s="77">
        <v>45383</v>
      </c>
      <c r="B1391" s="3" t="s">
        <v>167</v>
      </c>
      <c r="C1391" s="4" t="s">
        <v>168</v>
      </c>
      <c r="D1391" s="4" t="s">
        <v>314</v>
      </c>
      <c r="E1391" s="4" t="s">
        <v>322</v>
      </c>
      <c r="F1391" t="s">
        <v>213</v>
      </c>
      <c r="G1391" t="s">
        <v>216</v>
      </c>
      <c r="H1391">
        <f>VLOOKUP(C1391,'TB Apr 24'!$B$13:$Z$103,25,0)</f>
        <v>2598</v>
      </c>
    </row>
    <row r="1392" spans="1:8" x14ac:dyDescent="0.35">
      <c r="A1392" s="77">
        <v>45383</v>
      </c>
      <c r="B1392" s="3" t="s">
        <v>169</v>
      </c>
      <c r="C1392" s="4" t="s">
        <v>170</v>
      </c>
      <c r="D1392" s="4" t="s">
        <v>314</v>
      </c>
      <c r="E1392" s="4" t="s">
        <v>304</v>
      </c>
      <c r="F1392" t="s">
        <v>213</v>
      </c>
      <c r="G1392" t="s">
        <v>216</v>
      </c>
      <c r="H1392">
        <f>VLOOKUP(C1392,'TB Apr 24'!$B$13:$Z$103,25,0)</f>
        <v>14285</v>
      </c>
    </row>
    <row r="1393" spans="1:8" x14ac:dyDescent="0.35">
      <c r="A1393" s="77">
        <v>45383</v>
      </c>
      <c r="B1393" s="3" t="s">
        <v>171</v>
      </c>
      <c r="C1393" s="4" t="s">
        <v>172</v>
      </c>
      <c r="D1393" s="4" t="s">
        <v>314</v>
      </c>
      <c r="E1393" s="4" t="s">
        <v>303</v>
      </c>
      <c r="F1393" t="s">
        <v>213</v>
      </c>
      <c r="G1393" t="s">
        <v>216</v>
      </c>
      <c r="H1393">
        <f>VLOOKUP(C1393,'TB Apr 24'!$B$13:$Z$103,25,0)</f>
        <v>0</v>
      </c>
    </row>
    <row r="1394" spans="1:8" x14ac:dyDescent="0.35">
      <c r="A1394" s="77">
        <v>45383</v>
      </c>
      <c r="B1394" s="3" t="s">
        <v>173</v>
      </c>
      <c r="C1394" s="4" t="s">
        <v>174</v>
      </c>
      <c r="D1394" s="4" t="s">
        <v>314</v>
      </c>
      <c r="E1394" s="4" t="s">
        <v>257</v>
      </c>
      <c r="F1394" t="s">
        <v>213</v>
      </c>
      <c r="G1394" t="s">
        <v>216</v>
      </c>
      <c r="H1394">
        <f>VLOOKUP(C1394,'TB Apr 24'!$B$13:$Z$103,25,0)</f>
        <v>0</v>
      </c>
    </row>
    <row r="1395" spans="1:8" x14ac:dyDescent="0.35">
      <c r="A1395" s="77">
        <v>45383</v>
      </c>
      <c r="B1395" s="3" t="s">
        <v>175</v>
      </c>
      <c r="C1395" s="4" t="s">
        <v>176</v>
      </c>
      <c r="D1395" s="4" t="s">
        <v>314</v>
      </c>
      <c r="E1395" s="4" t="s">
        <v>257</v>
      </c>
      <c r="F1395" t="s">
        <v>213</v>
      </c>
      <c r="G1395" t="s">
        <v>216</v>
      </c>
      <c r="H1395">
        <f>VLOOKUP(C1395,'TB Apr 24'!$B$13:$Z$103,25,0)</f>
        <v>0</v>
      </c>
    </row>
    <row r="1396" spans="1:8" x14ac:dyDescent="0.35">
      <c r="A1396" s="77">
        <v>45383</v>
      </c>
      <c r="B1396" s="3" t="s">
        <v>177</v>
      </c>
      <c r="C1396" s="4" t="s">
        <v>178</v>
      </c>
      <c r="D1396" s="4" t="s">
        <v>314</v>
      </c>
      <c r="E1396" s="4" t="s">
        <v>257</v>
      </c>
      <c r="F1396" t="s">
        <v>213</v>
      </c>
      <c r="G1396" t="s">
        <v>216</v>
      </c>
      <c r="H1396">
        <f>VLOOKUP(C1396,'TB Apr 24'!$B$13:$Z$103,25,0)</f>
        <v>0</v>
      </c>
    </row>
    <row r="1397" spans="1:8" x14ac:dyDescent="0.35">
      <c r="A1397" s="77">
        <v>45383</v>
      </c>
      <c r="B1397" s="3" t="s">
        <v>179</v>
      </c>
      <c r="C1397" s="4" t="s">
        <v>180</v>
      </c>
      <c r="D1397" s="4" t="s">
        <v>314</v>
      </c>
      <c r="E1397" s="4" t="s">
        <v>322</v>
      </c>
      <c r="F1397" t="s">
        <v>213</v>
      </c>
      <c r="G1397" t="s">
        <v>216</v>
      </c>
      <c r="H1397">
        <f>VLOOKUP(C1397,'TB Apr 24'!$B$13:$Z$103,25,0)</f>
        <v>0</v>
      </c>
    </row>
    <row r="1398" spans="1:8" x14ac:dyDescent="0.35">
      <c r="A1398" s="77">
        <v>45383</v>
      </c>
      <c r="B1398" s="3" t="s">
        <v>181</v>
      </c>
      <c r="C1398" s="4" t="s">
        <v>182</v>
      </c>
      <c r="D1398" s="4" t="s">
        <v>314</v>
      </c>
      <c r="E1398" s="4" t="s">
        <v>290</v>
      </c>
      <c r="F1398" t="s">
        <v>213</v>
      </c>
      <c r="G1398" t="s">
        <v>216</v>
      </c>
      <c r="H1398">
        <f>VLOOKUP(C1398,'TB Apr 24'!$B$13:$Z$103,25,0)</f>
        <v>0</v>
      </c>
    </row>
    <row r="1399" spans="1:8" x14ac:dyDescent="0.35">
      <c r="A1399" s="77">
        <v>45383</v>
      </c>
      <c r="B1399" s="3" t="s">
        <v>183</v>
      </c>
      <c r="C1399" s="4" t="s">
        <v>184</v>
      </c>
      <c r="D1399" s="4" t="s">
        <v>314</v>
      </c>
      <c r="E1399" s="4" t="s">
        <v>290</v>
      </c>
      <c r="F1399" t="s">
        <v>213</v>
      </c>
      <c r="G1399" t="s">
        <v>216</v>
      </c>
      <c r="H1399">
        <f>VLOOKUP(C1399,'TB Apr 24'!$B$13:$Z$103,25,0)</f>
        <v>0</v>
      </c>
    </row>
    <row r="1400" spans="1:8" x14ac:dyDescent="0.35">
      <c r="A1400" s="77">
        <v>45383</v>
      </c>
      <c r="B1400" s="3" t="s">
        <v>185</v>
      </c>
      <c r="C1400" s="4" t="s">
        <v>186</v>
      </c>
      <c r="D1400" s="4" t="s">
        <v>314</v>
      </c>
      <c r="E1400" s="4" t="s">
        <v>290</v>
      </c>
      <c r="F1400" t="s">
        <v>213</v>
      </c>
      <c r="G1400" t="s">
        <v>216</v>
      </c>
      <c r="H1400">
        <f>VLOOKUP(C1400,'TB Apr 24'!$B$13:$Z$103,25,0)</f>
        <v>2500</v>
      </c>
    </row>
    <row r="1401" spans="1:8" x14ac:dyDescent="0.35">
      <c r="A1401" s="77">
        <v>45383</v>
      </c>
      <c r="B1401" s="3" t="s">
        <v>187</v>
      </c>
      <c r="C1401" s="4" t="s">
        <v>188</v>
      </c>
      <c r="D1401" s="4" t="s">
        <v>314</v>
      </c>
      <c r="E1401" s="4" t="s">
        <v>291</v>
      </c>
      <c r="F1401" t="s">
        <v>213</v>
      </c>
      <c r="G1401" t="s">
        <v>216</v>
      </c>
      <c r="H1401">
        <f>VLOOKUP(C1401,'TB Apr 24'!$B$13:$Z$103,25,0)</f>
        <v>22355</v>
      </c>
    </row>
    <row r="1402" spans="1:8" x14ac:dyDescent="0.35">
      <c r="A1402" s="77">
        <v>45383</v>
      </c>
      <c r="B1402" s="3" t="s">
        <v>189</v>
      </c>
      <c r="C1402" s="4" t="s">
        <v>190</v>
      </c>
      <c r="D1402" s="4" t="s">
        <v>314</v>
      </c>
      <c r="E1402" s="4" t="s">
        <v>254</v>
      </c>
      <c r="F1402" t="s">
        <v>213</v>
      </c>
      <c r="G1402" t="s">
        <v>216</v>
      </c>
      <c r="H1402">
        <f>VLOOKUP(C1402,'TB Apr 24'!$B$13:$Z$103,25,0)</f>
        <v>0</v>
      </c>
    </row>
    <row r="1403" spans="1:8" x14ac:dyDescent="0.35">
      <c r="A1403" s="77">
        <v>45383</v>
      </c>
      <c r="B1403" s="3" t="s">
        <v>191</v>
      </c>
      <c r="C1403" s="4" t="s">
        <v>192</v>
      </c>
      <c r="D1403" s="4" t="s">
        <v>314</v>
      </c>
      <c r="E1403" s="4" t="s">
        <v>254</v>
      </c>
      <c r="F1403" t="s">
        <v>213</v>
      </c>
      <c r="G1403" t="s">
        <v>216</v>
      </c>
      <c r="H1403">
        <f>VLOOKUP(C1403,'TB Apr 24'!$B$13:$Z$103,25,0)</f>
        <v>0</v>
      </c>
    </row>
    <row r="1404" spans="1:8" x14ac:dyDescent="0.35">
      <c r="A1404" s="77">
        <v>45383</v>
      </c>
      <c r="B1404" s="3" t="s">
        <v>193</v>
      </c>
      <c r="C1404" s="4" t="s">
        <v>194</v>
      </c>
      <c r="D1404" s="4" t="s">
        <v>314</v>
      </c>
      <c r="E1404" s="4" t="s">
        <v>254</v>
      </c>
      <c r="F1404" t="s">
        <v>213</v>
      </c>
      <c r="G1404" t="s">
        <v>216</v>
      </c>
      <c r="H1404">
        <f>VLOOKUP(C1404,'TB Apr 24'!$B$13:$Z$103,25,0)</f>
        <v>379134.26309770124</v>
      </c>
    </row>
    <row r="1405" spans="1:8" x14ac:dyDescent="0.35">
      <c r="A1405" s="77">
        <v>45383</v>
      </c>
      <c r="B1405" s="3" t="s">
        <v>195</v>
      </c>
      <c r="C1405" s="4" t="s">
        <v>196</v>
      </c>
      <c r="D1405" s="4" t="s">
        <v>314</v>
      </c>
      <c r="E1405" s="4" t="s">
        <v>255</v>
      </c>
      <c r="F1405" t="s">
        <v>213</v>
      </c>
      <c r="G1405" t="s">
        <v>216</v>
      </c>
      <c r="H1405">
        <f>VLOOKUP(C1405,'TB Apr 24'!$B$13:$Z$103,25,0)</f>
        <v>0</v>
      </c>
    </row>
    <row r="1406" spans="1:8" x14ac:dyDescent="0.35">
      <c r="A1406" s="77">
        <v>45383</v>
      </c>
      <c r="B1406" s="3" t="s">
        <v>197</v>
      </c>
      <c r="C1406" s="4" t="s">
        <v>198</v>
      </c>
      <c r="D1406" s="4" t="s">
        <v>314</v>
      </c>
      <c r="E1406" s="4" t="s">
        <v>255</v>
      </c>
      <c r="F1406" t="s">
        <v>213</v>
      </c>
      <c r="G1406" t="s">
        <v>216</v>
      </c>
      <c r="H1406">
        <f>VLOOKUP(C1406,'TB Apr 24'!$B$13:$Z$103,25,0)</f>
        <v>0</v>
      </c>
    </row>
    <row r="1407" spans="1:8" x14ac:dyDescent="0.35">
      <c r="A1407" s="77">
        <v>45383</v>
      </c>
      <c r="B1407" s="3" t="s">
        <v>199</v>
      </c>
      <c r="C1407" s="4" t="s">
        <v>200</v>
      </c>
      <c r="D1407" s="4" t="s">
        <v>314</v>
      </c>
      <c r="E1407" s="4" t="s">
        <v>254</v>
      </c>
      <c r="F1407" t="s">
        <v>213</v>
      </c>
      <c r="G1407" t="s">
        <v>216</v>
      </c>
      <c r="H1407">
        <f>VLOOKUP(C1407,'TB Apr 24'!$B$13:$Z$103,25,0)</f>
        <v>0</v>
      </c>
    </row>
    <row r="1408" spans="1:8" x14ac:dyDescent="0.35">
      <c r="A1408" s="77">
        <v>45383</v>
      </c>
      <c r="B1408" s="3" t="s">
        <v>201</v>
      </c>
      <c r="C1408" s="4" t="s">
        <v>202</v>
      </c>
      <c r="D1408" s="4" t="s">
        <v>314</v>
      </c>
      <c r="E1408" s="4" t="s">
        <v>254</v>
      </c>
      <c r="F1408" t="s">
        <v>213</v>
      </c>
      <c r="G1408" t="s">
        <v>216</v>
      </c>
      <c r="H1408">
        <f>VLOOKUP(C1408,'TB Apr 24'!$B$13:$Z$103,25,0)</f>
        <v>0</v>
      </c>
    </row>
    <row r="1409" spans="1:8" x14ac:dyDescent="0.35">
      <c r="A1409" s="77">
        <v>45383</v>
      </c>
      <c r="B1409" s="3" t="s">
        <v>203</v>
      </c>
      <c r="C1409" s="4" t="s">
        <v>204</v>
      </c>
      <c r="D1409" s="4" t="s">
        <v>314</v>
      </c>
      <c r="E1409" s="4" t="s">
        <v>256</v>
      </c>
      <c r="F1409" t="s">
        <v>213</v>
      </c>
      <c r="G1409" t="s">
        <v>216</v>
      </c>
      <c r="H1409">
        <f>VLOOKUP(C1409,'TB Apr 24'!$B$13:$Z$103,25,0)</f>
        <v>43488.571733333316</v>
      </c>
    </row>
    <row r="1410" spans="1:8" x14ac:dyDescent="0.35">
      <c r="A1410" s="77">
        <v>45383</v>
      </c>
      <c r="B1410" s="3" t="s">
        <v>205</v>
      </c>
      <c r="C1410" s="6" t="s">
        <v>206</v>
      </c>
      <c r="D1410" s="4" t="s">
        <v>314</v>
      </c>
      <c r="E1410" s="6" t="s">
        <v>322</v>
      </c>
      <c r="F1410" s="79" t="s">
        <v>213</v>
      </c>
      <c r="G1410" s="79" t="s">
        <v>216</v>
      </c>
      <c r="H1410" s="79">
        <f>VLOOKUP(C1410,'TB Apr 24'!$B$13:$Z$103,25,0)</f>
        <v>0</v>
      </c>
    </row>
    <row r="1411" spans="1:8" x14ac:dyDescent="0.35">
      <c r="A1411" s="77">
        <v>45383</v>
      </c>
      <c r="B1411" s="3" t="s">
        <v>57</v>
      </c>
      <c r="C1411" s="4" t="s">
        <v>58</v>
      </c>
      <c r="D1411" s="4" t="s">
        <v>314</v>
      </c>
      <c r="E1411" s="4" t="s">
        <v>253</v>
      </c>
      <c r="F1411" t="s">
        <v>213</v>
      </c>
      <c r="G1411" t="s">
        <v>217</v>
      </c>
      <c r="H1411">
        <f>VLOOKUP(C1411,'TB Apr 24'!$B$13:$AA$103,26,0)</f>
        <v>0</v>
      </c>
    </row>
    <row r="1412" spans="1:8" x14ac:dyDescent="0.35">
      <c r="A1412" s="77">
        <v>45383</v>
      </c>
      <c r="B1412" s="3" t="s">
        <v>307</v>
      </c>
      <c r="C1412" s="4" t="s">
        <v>308</v>
      </c>
      <c r="D1412" s="4" t="s">
        <v>314</v>
      </c>
      <c r="E1412" s="4" t="s">
        <v>253</v>
      </c>
      <c r="F1412" t="s">
        <v>213</v>
      </c>
      <c r="G1412" t="s">
        <v>217</v>
      </c>
      <c r="H1412">
        <f>VLOOKUP(C1412,'TB Apr 24'!$B$13:$AA$103,26,0)</f>
        <v>2341</v>
      </c>
    </row>
    <row r="1413" spans="1:8" x14ac:dyDescent="0.35">
      <c r="A1413" s="77">
        <v>45383</v>
      </c>
      <c r="B1413" s="3" t="s">
        <v>59</v>
      </c>
      <c r="C1413" s="4" t="s">
        <v>60</v>
      </c>
      <c r="D1413" s="4" t="s">
        <v>314</v>
      </c>
      <c r="E1413" s="4" t="s">
        <v>253</v>
      </c>
      <c r="F1413" t="s">
        <v>213</v>
      </c>
      <c r="G1413" t="s">
        <v>217</v>
      </c>
      <c r="H1413">
        <f>VLOOKUP(C1413,'TB Apr 24'!$B$13:$AA$103,26,0)</f>
        <v>-61.61</v>
      </c>
    </row>
    <row r="1414" spans="1:8" x14ac:dyDescent="0.35">
      <c r="A1414" s="77">
        <v>45383</v>
      </c>
      <c r="B1414" s="3" t="s">
        <v>61</v>
      </c>
      <c r="C1414" s="4" t="s">
        <v>62</v>
      </c>
      <c r="D1414" s="4" t="s">
        <v>314</v>
      </c>
      <c r="E1414" s="4" t="s">
        <v>66</v>
      </c>
      <c r="F1414" t="s">
        <v>213</v>
      </c>
      <c r="G1414" t="s">
        <v>217</v>
      </c>
      <c r="H1414">
        <f>VLOOKUP(C1414,'TB Apr 24'!$B$13:$AA$103,26,0)</f>
        <v>-146149.63</v>
      </c>
    </row>
    <row r="1415" spans="1:8" x14ac:dyDescent="0.35">
      <c r="A1415" s="77">
        <v>45383</v>
      </c>
      <c r="B1415" s="3" t="s">
        <v>63</v>
      </c>
      <c r="C1415" s="4" t="s">
        <v>64</v>
      </c>
      <c r="D1415" s="4" t="s">
        <v>314</v>
      </c>
      <c r="E1415" s="4" t="s">
        <v>252</v>
      </c>
      <c r="F1415" t="s">
        <v>213</v>
      </c>
      <c r="G1415" t="s">
        <v>217</v>
      </c>
      <c r="H1415">
        <f>VLOOKUP(C1415,'TB Apr 24'!$B$13:$AA$103,26,0)</f>
        <v>0</v>
      </c>
    </row>
    <row r="1416" spans="1:8" x14ac:dyDescent="0.35">
      <c r="A1416" s="77">
        <v>45383</v>
      </c>
      <c r="B1416" s="3" t="s">
        <v>65</v>
      </c>
      <c r="C1416" s="4" t="s">
        <v>66</v>
      </c>
      <c r="D1416" s="4" t="s">
        <v>314</v>
      </c>
      <c r="E1416" s="4" t="s">
        <v>66</v>
      </c>
      <c r="F1416" t="s">
        <v>213</v>
      </c>
      <c r="G1416" t="s">
        <v>217</v>
      </c>
      <c r="H1416">
        <f>VLOOKUP(C1416,'TB Apr 24'!$B$13:$AA$103,26,0)</f>
        <v>-1365880.45</v>
      </c>
    </row>
    <row r="1417" spans="1:8" x14ac:dyDescent="0.35">
      <c r="A1417" s="77">
        <v>45383</v>
      </c>
      <c r="B1417" s="3" t="s">
        <v>67</v>
      </c>
      <c r="C1417" s="4" t="s">
        <v>68</v>
      </c>
      <c r="D1417" s="4" t="s">
        <v>314</v>
      </c>
      <c r="E1417" s="4" t="s">
        <v>252</v>
      </c>
      <c r="F1417" t="s">
        <v>213</v>
      </c>
      <c r="G1417" t="s">
        <v>217</v>
      </c>
      <c r="H1417">
        <f>VLOOKUP(C1417,'TB Apr 24'!$B$13:$AA$103,26,0)</f>
        <v>-213208.67</v>
      </c>
    </row>
    <row r="1418" spans="1:8" x14ac:dyDescent="0.35">
      <c r="A1418" s="77">
        <v>45383</v>
      </c>
      <c r="B1418" s="3" t="s">
        <v>69</v>
      </c>
      <c r="C1418" s="4" t="s">
        <v>70</v>
      </c>
      <c r="D1418" s="4" t="s">
        <v>314</v>
      </c>
      <c r="E1418" s="4" t="s">
        <v>70</v>
      </c>
      <c r="F1418" t="s">
        <v>213</v>
      </c>
      <c r="G1418" t="s">
        <v>217</v>
      </c>
      <c r="H1418">
        <f>VLOOKUP(C1418,'TB Apr 24'!$B$13:$AA$103,26,0)</f>
        <v>0</v>
      </c>
    </row>
    <row r="1419" spans="1:8" x14ac:dyDescent="0.35">
      <c r="A1419" s="77">
        <v>45383</v>
      </c>
      <c r="B1419" s="3" t="s">
        <v>71</v>
      </c>
      <c r="C1419" s="4" t="s">
        <v>72</v>
      </c>
      <c r="D1419" s="4" t="s">
        <v>314</v>
      </c>
      <c r="E1419" s="4" t="s">
        <v>253</v>
      </c>
      <c r="F1419" t="s">
        <v>213</v>
      </c>
      <c r="G1419" t="s">
        <v>217</v>
      </c>
      <c r="H1419">
        <f>VLOOKUP(C1419,'TB Apr 24'!$B$13:$AA$103,26,0)</f>
        <v>0</v>
      </c>
    </row>
    <row r="1420" spans="1:8" x14ac:dyDescent="0.35">
      <c r="A1420" s="77">
        <v>45383</v>
      </c>
      <c r="B1420" s="3" t="s">
        <v>73</v>
      </c>
      <c r="C1420" s="4" t="s">
        <v>74</v>
      </c>
      <c r="D1420" s="4" t="s">
        <v>314</v>
      </c>
      <c r="E1420" s="4" t="s">
        <v>253</v>
      </c>
      <c r="F1420" t="s">
        <v>213</v>
      </c>
      <c r="G1420" t="s">
        <v>217</v>
      </c>
      <c r="H1420">
        <f>VLOOKUP(C1420,'TB Apr 24'!$B$13:$AA$103,26,0)</f>
        <v>-6446.16</v>
      </c>
    </row>
    <row r="1421" spans="1:8" x14ac:dyDescent="0.35">
      <c r="A1421" s="77">
        <v>45383</v>
      </c>
      <c r="B1421" s="3" t="s">
        <v>75</v>
      </c>
      <c r="C1421" s="4" t="s">
        <v>76</v>
      </c>
      <c r="D1421" s="4" t="s">
        <v>314</v>
      </c>
      <c r="E1421" s="4" t="s">
        <v>253</v>
      </c>
      <c r="F1421" t="s">
        <v>213</v>
      </c>
      <c r="G1421" t="s">
        <v>217</v>
      </c>
      <c r="H1421">
        <f>VLOOKUP(C1421,'TB Apr 24'!$B$13:$AA$103,26,0)</f>
        <v>0</v>
      </c>
    </row>
    <row r="1422" spans="1:8" x14ac:dyDescent="0.35">
      <c r="A1422" s="77">
        <v>45383</v>
      </c>
      <c r="B1422" s="3" t="s">
        <v>77</v>
      </c>
      <c r="C1422" s="4" t="s">
        <v>78</v>
      </c>
      <c r="D1422" s="4" t="s">
        <v>314</v>
      </c>
      <c r="E1422" s="4" t="s">
        <v>253</v>
      </c>
      <c r="F1422" t="s">
        <v>213</v>
      </c>
      <c r="G1422" t="s">
        <v>217</v>
      </c>
      <c r="H1422">
        <f>VLOOKUP(C1422,'TB Apr 24'!$B$13:$AA$103,26,0)</f>
        <v>-41099.99</v>
      </c>
    </row>
    <row r="1423" spans="1:8" x14ac:dyDescent="0.35">
      <c r="A1423" s="77">
        <v>45383</v>
      </c>
      <c r="B1423" s="3" t="s">
        <v>79</v>
      </c>
      <c r="C1423" s="4" t="s">
        <v>80</v>
      </c>
      <c r="D1423" s="4" t="s">
        <v>314</v>
      </c>
      <c r="E1423" s="4" t="s">
        <v>253</v>
      </c>
      <c r="F1423" t="s">
        <v>213</v>
      </c>
      <c r="G1423" t="s">
        <v>217</v>
      </c>
      <c r="H1423">
        <f>VLOOKUP(C1423,'TB Apr 24'!$B$13:$AA$103,26,0)</f>
        <v>0</v>
      </c>
    </row>
    <row r="1424" spans="1:8" x14ac:dyDescent="0.35">
      <c r="A1424" s="77">
        <v>45383</v>
      </c>
      <c r="B1424" s="3" t="s">
        <v>81</v>
      </c>
      <c r="C1424" s="4" t="s">
        <v>82</v>
      </c>
      <c r="D1424" s="4" t="s">
        <v>314</v>
      </c>
      <c r="E1424" s="4" t="s">
        <v>319</v>
      </c>
      <c r="F1424" t="s">
        <v>213</v>
      </c>
      <c r="G1424" t="s">
        <v>217</v>
      </c>
      <c r="H1424">
        <f>VLOOKUP(C1424,'TB Apr 24'!$B$13:$AA$103,26,0)</f>
        <v>0</v>
      </c>
    </row>
    <row r="1425" spans="1:8" x14ac:dyDescent="0.35">
      <c r="A1425" s="77">
        <v>45383</v>
      </c>
      <c r="B1425" s="3" t="s">
        <v>83</v>
      </c>
      <c r="C1425" s="4" t="s">
        <v>84</v>
      </c>
      <c r="D1425" s="4" t="s">
        <v>314</v>
      </c>
      <c r="E1425" s="4" t="s">
        <v>319</v>
      </c>
      <c r="F1425" t="s">
        <v>213</v>
      </c>
      <c r="G1425" t="s">
        <v>217</v>
      </c>
      <c r="H1425">
        <f>VLOOKUP(C1425,'TB Apr 24'!$B$13:$AA$103,26,0)</f>
        <v>0</v>
      </c>
    </row>
    <row r="1426" spans="1:8" x14ac:dyDescent="0.35">
      <c r="A1426" s="77">
        <v>45383</v>
      </c>
      <c r="B1426" s="3" t="s">
        <v>85</v>
      </c>
      <c r="C1426" s="4" t="s">
        <v>86</v>
      </c>
      <c r="D1426" s="4" t="s">
        <v>314</v>
      </c>
      <c r="E1426" s="4" t="s">
        <v>291</v>
      </c>
      <c r="F1426" t="s">
        <v>213</v>
      </c>
      <c r="G1426" t="s">
        <v>217</v>
      </c>
      <c r="H1426">
        <f>VLOOKUP(C1426,'TB Apr 24'!$B$13:$AA$103,26,0)</f>
        <v>0</v>
      </c>
    </row>
    <row r="1427" spans="1:8" x14ac:dyDescent="0.35">
      <c r="A1427" s="77">
        <v>45383</v>
      </c>
      <c r="B1427" s="3" t="s">
        <v>88</v>
      </c>
      <c r="C1427" s="4" t="s">
        <v>89</v>
      </c>
      <c r="D1427" s="4" t="s">
        <v>314</v>
      </c>
      <c r="E1427" s="4" t="s">
        <v>300</v>
      </c>
      <c r="F1427" t="s">
        <v>213</v>
      </c>
      <c r="G1427" t="s">
        <v>217</v>
      </c>
      <c r="H1427">
        <f>VLOOKUP(C1427,'TB Apr 24'!$B$13:$AA$103,26,0)</f>
        <v>0</v>
      </c>
    </row>
    <row r="1428" spans="1:8" x14ac:dyDescent="0.35">
      <c r="A1428" s="77">
        <v>45383</v>
      </c>
      <c r="B1428" s="3" t="s">
        <v>90</v>
      </c>
      <c r="C1428" s="4" t="s">
        <v>91</v>
      </c>
      <c r="D1428" s="4" t="s">
        <v>314</v>
      </c>
      <c r="E1428" s="4" t="s">
        <v>300</v>
      </c>
      <c r="F1428" t="s">
        <v>213</v>
      </c>
      <c r="G1428" t="s">
        <v>217</v>
      </c>
      <c r="H1428">
        <f>VLOOKUP(C1428,'TB Apr 24'!$B$13:$AA$103,26,0)</f>
        <v>50470</v>
      </c>
    </row>
    <row r="1429" spans="1:8" x14ac:dyDescent="0.35">
      <c r="A1429" s="77">
        <v>45383</v>
      </c>
      <c r="B1429" s="3" t="s">
        <v>92</v>
      </c>
      <c r="C1429" s="4" t="s">
        <v>93</v>
      </c>
      <c r="D1429" s="4" t="s">
        <v>314</v>
      </c>
      <c r="E1429" s="4" t="s">
        <v>300</v>
      </c>
      <c r="F1429" t="s">
        <v>213</v>
      </c>
      <c r="G1429" t="s">
        <v>217</v>
      </c>
      <c r="H1429">
        <f>VLOOKUP(C1429,'TB Apr 24'!$B$13:$AA$103,26,0)</f>
        <v>0</v>
      </c>
    </row>
    <row r="1430" spans="1:8" x14ac:dyDescent="0.35">
      <c r="A1430" s="77">
        <v>45383</v>
      </c>
      <c r="B1430" s="3" t="s">
        <v>94</v>
      </c>
      <c r="C1430" s="4" t="s">
        <v>95</v>
      </c>
      <c r="D1430" s="4" t="s">
        <v>314</v>
      </c>
      <c r="E1430" s="4" t="s">
        <v>289</v>
      </c>
      <c r="F1430" t="s">
        <v>213</v>
      </c>
      <c r="G1430" t="s">
        <v>217</v>
      </c>
      <c r="H1430">
        <f>VLOOKUP(C1430,'TB Apr 24'!$B$13:$AA$103,26,0)</f>
        <v>477942.5</v>
      </c>
    </row>
    <row r="1431" spans="1:8" x14ac:dyDescent="0.35">
      <c r="A1431" s="77">
        <v>45383</v>
      </c>
      <c r="B1431" s="3" t="s">
        <v>96</v>
      </c>
      <c r="C1431" s="4" t="s">
        <v>97</v>
      </c>
      <c r="D1431" s="4" t="s">
        <v>314</v>
      </c>
      <c r="E1431" s="4" t="s">
        <v>289</v>
      </c>
      <c r="F1431" t="s">
        <v>213</v>
      </c>
      <c r="G1431" t="s">
        <v>217</v>
      </c>
      <c r="H1431">
        <f>VLOOKUP(C1431,'TB Apr 24'!$B$13:$AA$103,26,0)</f>
        <v>0</v>
      </c>
    </row>
    <row r="1432" spans="1:8" x14ac:dyDescent="0.35">
      <c r="A1432" s="77">
        <v>45383</v>
      </c>
      <c r="B1432" s="3" t="s">
        <v>309</v>
      </c>
      <c r="C1432" s="4" t="s">
        <v>310</v>
      </c>
      <c r="D1432" s="4" t="s">
        <v>314</v>
      </c>
      <c r="E1432" s="4" t="s">
        <v>289</v>
      </c>
      <c r="F1432" t="s">
        <v>213</v>
      </c>
      <c r="G1432" t="s">
        <v>217</v>
      </c>
      <c r="H1432">
        <f>VLOOKUP(C1432,'TB Apr 24'!$B$13:$AA$103,26,0)</f>
        <v>0</v>
      </c>
    </row>
    <row r="1433" spans="1:8" x14ac:dyDescent="0.35">
      <c r="A1433" s="77">
        <v>45383</v>
      </c>
      <c r="B1433" s="3" t="s">
        <v>98</v>
      </c>
      <c r="C1433" s="4" t="s">
        <v>99</v>
      </c>
      <c r="D1433" s="4" t="s">
        <v>314</v>
      </c>
      <c r="E1433" s="4" t="s">
        <v>289</v>
      </c>
      <c r="F1433" t="s">
        <v>213</v>
      </c>
      <c r="G1433" t="s">
        <v>217</v>
      </c>
      <c r="H1433">
        <f>VLOOKUP(C1433,'TB Apr 24'!$B$13:$AA$103,26,0)</f>
        <v>0</v>
      </c>
    </row>
    <row r="1434" spans="1:8" x14ac:dyDescent="0.35">
      <c r="A1434" s="77">
        <v>45383</v>
      </c>
      <c r="B1434" s="3" t="s">
        <v>100</v>
      </c>
      <c r="C1434" s="4" t="s">
        <v>101</v>
      </c>
      <c r="D1434" s="4" t="s">
        <v>314</v>
      </c>
      <c r="E1434" s="4" t="s">
        <v>291</v>
      </c>
      <c r="F1434" t="s">
        <v>213</v>
      </c>
      <c r="G1434" t="s">
        <v>217</v>
      </c>
      <c r="H1434">
        <f>VLOOKUP(C1434,'TB Apr 24'!$B$13:$AA$103,26,0)</f>
        <v>0</v>
      </c>
    </row>
    <row r="1435" spans="1:8" x14ac:dyDescent="0.35">
      <c r="A1435" s="77">
        <v>45383</v>
      </c>
      <c r="B1435" s="3" t="s">
        <v>102</v>
      </c>
      <c r="C1435" s="4" t="s">
        <v>103</v>
      </c>
      <c r="D1435" s="4" t="s">
        <v>314</v>
      </c>
      <c r="E1435" s="4" t="s">
        <v>291</v>
      </c>
      <c r="F1435" t="s">
        <v>213</v>
      </c>
      <c r="G1435" t="s">
        <v>217</v>
      </c>
      <c r="H1435">
        <f>VLOOKUP(C1435,'TB Apr 24'!$B$13:$AA$103,26,0)</f>
        <v>0</v>
      </c>
    </row>
    <row r="1436" spans="1:8" x14ac:dyDescent="0.35">
      <c r="A1436" s="77">
        <v>45383</v>
      </c>
      <c r="B1436" s="3" t="s">
        <v>104</v>
      </c>
      <c r="C1436" s="4" t="s">
        <v>105</v>
      </c>
      <c r="D1436" s="4" t="s">
        <v>314</v>
      </c>
      <c r="E1436" s="4" t="s">
        <v>291</v>
      </c>
      <c r="F1436" t="s">
        <v>213</v>
      </c>
      <c r="G1436" t="s">
        <v>217</v>
      </c>
      <c r="H1436">
        <f>VLOOKUP(C1436,'TB Apr 24'!$B$13:$AA$103,26,0)</f>
        <v>568.75</v>
      </c>
    </row>
    <row r="1437" spans="1:8" x14ac:dyDescent="0.35">
      <c r="A1437" s="77">
        <v>45383</v>
      </c>
      <c r="B1437" s="3" t="s">
        <v>106</v>
      </c>
      <c r="C1437" s="4" t="s">
        <v>107</v>
      </c>
      <c r="D1437" s="4" t="s">
        <v>314</v>
      </c>
      <c r="E1437" s="4" t="s">
        <v>321</v>
      </c>
      <c r="F1437" t="s">
        <v>213</v>
      </c>
      <c r="G1437" t="s">
        <v>217</v>
      </c>
      <c r="H1437">
        <f>VLOOKUP(C1437,'TB Apr 24'!$B$13:$AA$103,26,0)</f>
        <v>0</v>
      </c>
    </row>
    <row r="1438" spans="1:8" x14ac:dyDescent="0.35">
      <c r="A1438" s="77">
        <v>45383</v>
      </c>
      <c r="B1438" s="3" t="s">
        <v>108</v>
      </c>
      <c r="C1438" s="4" t="s">
        <v>109</v>
      </c>
      <c r="D1438" s="4" t="s">
        <v>314</v>
      </c>
      <c r="E1438" s="4" t="s">
        <v>321</v>
      </c>
      <c r="F1438" t="s">
        <v>213</v>
      </c>
      <c r="G1438" t="s">
        <v>217</v>
      </c>
      <c r="H1438">
        <f>VLOOKUP(C1438,'TB Apr 24'!$B$13:$AA$103,26,0)</f>
        <v>0</v>
      </c>
    </row>
    <row r="1439" spans="1:8" x14ac:dyDescent="0.35">
      <c r="A1439" s="77">
        <v>45383</v>
      </c>
      <c r="B1439" s="3" t="s">
        <v>110</v>
      </c>
      <c r="C1439" s="4" t="s">
        <v>111</v>
      </c>
      <c r="D1439" s="4" t="s">
        <v>314</v>
      </c>
      <c r="E1439" s="4" t="s">
        <v>320</v>
      </c>
      <c r="F1439" t="s">
        <v>213</v>
      </c>
      <c r="G1439" t="s">
        <v>217</v>
      </c>
      <c r="H1439">
        <f>VLOOKUP(C1439,'TB Apr 24'!$B$13:$AA$103,26,0)</f>
        <v>0</v>
      </c>
    </row>
    <row r="1440" spans="1:8" x14ac:dyDescent="0.35">
      <c r="A1440" s="77">
        <v>45383</v>
      </c>
      <c r="B1440" s="3" t="s">
        <v>112</v>
      </c>
      <c r="C1440" s="4" t="s">
        <v>113</v>
      </c>
      <c r="D1440" s="4" t="s">
        <v>314</v>
      </c>
      <c r="E1440" s="4" t="s">
        <v>321</v>
      </c>
      <c r="F1440" t="s">
        <v>213</v>
      </c>
      <c r="G1440" t="s">
        <v>217</v>
      </c>
      <c r="H1440">
        <f>VLOOKUP(C1440,'TB Apr 24'!$B$13:$AA$103,26,0)</f>
        <v>0</v>
      </c>
    </row>
    <row r="1441" spans="1:8" x14ac:dyDescent="0.35">
      <c r="A1441" s="77">
        <v>45383</v>
      </c>
      <c r="B1441" s="3" t="s">
        <v>311</v>
      </c>
      <c r="C1441" s="4" t="s">
        <v>312</v>
      </c>
      <c r="D1441" s="4" t="s">
        <v>314</v>
      </c>
      <c r="E1441" s="4" t="s">
        <v>288</v>
      </c>
      <c r="F1441" t="s">
        <v>213</v>
      </c>
      <c r="G1441" t="s">
        <v>217</v>
      </c>
      <c r="H1441">
        <f>VLOOKUP(C1441,'TB Apr 24'!$B$13:$AA$103,26,0)</f>
        <v>0</v>
      </c>
    </row>
    <row r="1442" spans="1:8" x14ac:dyDescent="0.35">
      <c r="A1442" s="77">
        <v>45383</v>
      </c>
      <c r="B1442" s="3" t="s">
        <v>114</v>
      </c>
      <c r="C1442" s="4" t="s">
        <v>115</v>
      </c>
      <c r="D1442" s="4" t="s">
        <v>314</v>
      </c>
      <c r="E1442" s="4" t="s">
        <v>294</v>
      </c>
      <c r="F1442" t="s">
        <v>213</v>
      </c>
      <c r="G1442" t="s">
        <v>217</v>
      </c>
      <c r="H1442">
        <f>VLOOKUP(C1442,'TB Apr 24'!$B$13:$AA$103,26,0)</f>
        <v>0</v>
      </c>
    </row>
    <row r="1443" spans="1:8" x14ac:dyDescent="0.35">
      <c r="A1443" s="77">
        <v>45383</v>
      </c>
      <c r="B1443" s="3" t="s">
        <v>116</v>
      </c>
      <c r="C1443" s="4" t="s">
        <v>117</v>
      </c>
      <c r="D1443" s="4" t="s">
        <v>314</v>
      </c>
      <c r="E1443" s="4" t="s">
        <v>296</v>
      </c>
      <c r="F1443" t="s">
        <v>213</v>
      </c>
      <c r="G1443" t="s">
        <v>217</v>
      </c>
      <c r="H1443">
        <f>VLOOKUP(C1443,'TB Apr 24'!$B$13:$AA$103,26,0)</f>
        <v>0</v>
      </c>
    </row>
    <row r="1444" spans="1:8" x14ac:dyDescent="0.35">
      <c r="A1444" s="77">
        <v>45383</v>
      </c>
      <c r="B1444" s="3" t="s">
        <v>118</v>
      </c>
      <c r="C1444" s="4" t="s">
        <v>119</v>
      </c>
      <c r="D1444" s="4" t="s">
        <v>314</v>
      </c>
      <c r="E1444" s="4" t="s">
        <v>296</v>
      </c>
      <c r="F1444" t="s">
        <v>213</v>
      </c>
      <c r="G1444" t="s">
        <v>217</v>
      </c>
      <c r="H1444">
        <f>VLOOKUP(C1444,'TB Apr 24'!$B$13:$AA$103,26,0)</f>
        <v>0</v>
      </c>
    </row>
    <row r="1445" spans="1:8" x14ac:dyDescent="0.35">
      <c r="A1445" s="77">
        <v>45383</v>
      </c>
      <c r="B1445" s="3" t="s">
        <v>120</v>
      </c>
      <c r="C1445" s="4" t="s">
        <v>121</v>
      </c>
      <c r="D1445" s="4" t="s">
        <v>314</v>
      </c>
      <c r="E1445" s="4" t="s">
        <v>322</v>
      </c>
      <c r="F1445" t="s">
        <v>213</v>
      </c>
      <c r="G1445" t="s">
        <v>217</v>
      </c>
      <c r="H1445">
        <f>VLOOKUP(C1445,'TB Apr 24'!$B$13:$AA$103,26,0)</f>
        <v>735</v>
      </c>
    </row>
    <row r="1446" spans="1:8" x14ac:dyDescent="0.35">
      <c r="A1446" s="77">
        <v>45383</v>
      </c>
      <c r="B1446" s="3" t="s">
        <v>122</v>
      </c>
      <c r="C1446" s="4" t="s">
        <v>123</v>
      </c>
      <c r="D1446" s="4" t="s">
        <v>314</v>
      </c>
      <c r="E1446" s="4" t="s">
        <v>322</v>
      </c>
      <c r="F1446" t="s">
        <v>213</v>
      </c>
      <c r="G1446" t="s">
        <v>217</v>
      </c>
      <c r="H1446">
        <f>VLOOKUP(C1446,'TB Apr 24'!$B$13:$AA$103,26,0)</f>
        <v>0</v>
      </c>
    </row>
    <row r="1447" spans="1:8" x14ac:dyDescent="0.35">
      <c r="A1447" s="77">
        <v>45383</v>
      </c>
      <c r="B1447" s="3" t="s">
        <v>124</v>
      </c>
      <c r="C1447" s="4" t="s">
        <v>125</v>
      </c>
      <c r="D1447" s="4" t="s">
        <v>314</v>
      </c>
      <c r="E1447" s="4" t="s">
        <v>322</v>
      </c>
      <c r="F1447" t="s">
        <v>213</v>
      </c>
      <c r="G1447" t="s">
        <v>217</v>
      </c>
      <c r="H1447">
        <f>VLOOKUP(C1447,'TB Apr 24'!$B$13:$AA$103,26,0)</f>
        <v>0</v>
      </c>
    </row>
    <row r="1448" spans="1:8" x14ac:dyDescent="0.35">
      <c r="A1448" s="77">
        <v>45383</v>
      </c>
      <c r="B1448" s="3" t="s">
        <v>126</v>
      </c>
      <c r="C1448" s="4" t="s">
        <v>127</v>
      </c>
      <c r="D1448" s="4" t="s">
        <v>314</v>
      </c>
      <c r="E1448" s="4" t="s">
        <v>291</v>
      </c>
      <c r="F1448" t="s">
        <v>213</v>
      </c>
      <c r="G1448" t="s">
        <v>217</v>
      </c>
      <c r="H1448">
        <f>VLOOKUP(C1448,'TB Apr 24'!$B$13:$AA$103,26,0)</f>
        <v>0</v>
      </c>
    </row>
    <row r="1449" spans="1:8" x14ac:dyDescent="0.35">
      <c r="A1449" s="77">
        <v>45383</v>
      </c>
      <c r="B1449" s="3" t="s">
        <v>128</v>
      </c>
      <c r="C1449" s="4" t="s">
        <v>129</v>
      </c>
      <c r="D1449" s="4" t="s">
        <v>314</v>
      </c>
      <c r="E1449" s="4" t="s">
        <v>322</v>
      </c>
      <c r="F1449" t="s">
        <v>213</v>
      </c>
      <c r="G1449" t="s">
        <v>217</v>
      </c>
      <c r="H1449">
        <f>VLOOKUP(C1449,'TB Apr 24'!$B$13:$AA$103,26,0)</f>
        <v>22476.875</v>
      </c>
    </row>
    <row r="1450" spans="1:8" x14ac:dyDescent="0.35">
      <c r="A1450" s="77">
        <v>45383</v>
      </c>
      <c r="B1450" s="3" t="s">
        <v>130</v>
      </c>
      <c r="C1450" s="4" t="s">
        <v>131</v>
      </c>
      <c r="D1450" s="4" t="s">
        <v>314</v>
      </c>
      <c r="E1450" s="4" t="s">
        <v>322</v>
      </c>
      <c r="F1450" t="s">
        <v>213</v>
      </c>
      <c r="G1450" t="s">
        <v>217</v>
      </c>
      <c r="H1450">
        <f>VLOOKUP(C1450,'TB Apr 24'!$B$13:$AA$103,26,0)</f>
        <v>300</v>
      </c>
    </row>
    <row r="1451" spans="1:8" x14ac:dyDescent="0.35">
      <c r="A1451" s="77">
        <v>45383</v>
      </c>
      <c r="B1451" s="3" t="s">
        <v>132</v>
      </c>
      <c r="C1451" s="4" t="s">
        <v>133</v>
      </c>
      <c r="D1451" s="4" t="s">
        <v>314</v>
      </c>
      <c r="E1451" s="4" t="s">
        <v>320</v>
      </c>
      <c r="F1451" t="s">
        <v>213</v>
      </c>
      <c r="G1451" t="s">
        <v>217</v>
      </c>
      <c r="H1451">
        <f>VLOOKUP(C1451,'TB Apr 24'!$B$13:$AA$103,26,0)</f>
        <v>10291</v>
      </c>
    </row>
    <row r="1452" spans="1:8" x14ac:dyDescent="0.35">
      <c r="A1452" s="77">
        <v>45383</v>
      </c>
      <c r="B1452" s="3" t="s">
        <v>134</v>
      </c>
      <c r="C1452" s="4" t="s">
        <v>135</v>
      </c>
      <c r="D1452" s="4" t="s">
        <v>314</v>
      </c>
      <c r="E1452" s="4" t="s">
        <v>299</v>
      </c>
      <c r="F1452" t="s">
        <v>213</v>
      </c>
      <c r="G1452" t="s">
        <v>217</v>
      </c>
      <c r="H1452">
        <f>VLOOKUP(C1452,'TB Apr 24'!$B$13:$AA$103,26,0)</f>
        <v>0</v>
      </c>
    </row>
    <row r="1453" spans="1:8" x14ac:dyDescent="0.35">
      <c r="A1453" s="77">
        <v>45383</v>
      </c>
      <c r="B1453" s="3" t="s">
        <v>136</v>
      </c>
      <c r="C1453" s="4" t="s">
        <v>137</v>
      </c>
      <c r="D1453" s="4" t="s">
        <v>314</v>
      </c>
      <c r="E1453" s="4" t="s">
        <v>322</v>
      </c>
      <c r="F1453" t="s">
        <v>213</v>
      </c>
      <c r="G1453" t="s">
        <v>217</v>
      </c>
      <c r="H1453">
        <f>VLOOKUP(C1453,'TB Apr 24'!$B$13:$AA$103,26,0)</f>
        <v>0</v>
      </c>
    </row>
    <row r="1454" spans="1:8" x14ac:dyDescent="0.35">
      <c r="A1454" s="77">
        <v>45383</v>
      </c>
      <c r="B1454" s="3" t="s">
        <v>138</v>
      </c>
      <c r="C1454" s="4" t="s">
        <v>139</v>
      </c>
      <c r="D1454" s="4" t="s">
        <v>314</v>
      </c>
      <c r="E1454" s="4" t="s">
        <v>294</v>
      </c>
      <c r="F1454" t="s">
        <v>213</v>
      </c>
      <c r="G1454" t="s">
        <v>217</v>
      </c>
      <c r="H1454">
        <f>VLOOKUP(C1454,'TB Apr 24'!$B$13:$AA$103,26,0)</f>
        <v>1016</v>
      </c>
    </row>
    <row r="1455" spans="1:8" x14ac:dyDescent="0.35">
      <c r="A1455" s="77">
        <v>45383</v>
      </c>
      <c r="B1455" s="3" t="s">
        <v>140</v>
      </c>
      <c r="C1455" s="4" t="s">
        <v>141</v>
      </c>
      <c r="D1455" s="4" t="s">
        <v>314</v>
      </c>
      <c r="E1455" s="4" t="s">
        <v>268</v>
      </c>
      <c r="F1455" t="s">
        <v>213</v>
      </c>
      <c r="G1455" t="s">
        <v>217</v>
      </c>
      <c r="H1455">
        <f>VLOOKUP(C1455,'TB Apr 24'!$B$13:$AA$103,26,0)</f>
        <v>159345.49590000001</v>
      </c>
    </row>
    <row r="1456" spans="1:8" x14ac:dyDescent="0.35">
      <c r="A1456" s="77">
        <v>45383</v>
      </c>
      <c r="B1456" s="3" t="s">
        <v>142</v>
      </c>
      <c r="C1456" s="4" t="s">
        <v>143</v>
      </c>
      <c r="D1456" s="4" t="s">
        <v>314</v>
      </c>
      <c r="E1456" s="4" t="s">
        <v>269</v>
      </c>
      <c r="F1456" t="s">
        <v>213</v>
      </c>
      <c r="G1456" t="s">
        <v>217</v>
      </c>
      <c r="H1456">
        <f>VLOOKUP(C1456,'TB Apr 24'!$B$13:$AA$103,26,0)</f>
        <v>45942</v>
      </c>
    </row>
    <row r="1457" spans="1:8" x14ac:dyDescent="0.35">
      <c r="A1457" s="77">
        <v>45383</v>
      </c>
      <c r="B1457" s="3" t="s">
        <v>144</v>
      </c>
      <c r="C1457" s="4" t="s">
        <v>145</v>
      </c>
      <c r="D1457" s="4" t="s">
        <v>314</v>
      </c>
      <c r="E1457" s="4" t="s">
        <v>288</v>
      </c>
      <c r="F1457" t="s">
        <v>213</v>
      </c>
      <c r="G1457" t="s">
        <v>217</v>
      </c>
      <c r="H1457">
        <f>VLOOKUP(C1457,'TB Apr 24'!$B$13:$AA$103,26,0)</f>
        <v>28440</v>
      </c>
    </row>
    <row r="1458" spans="1:8" x14ac:dyDescent="0.35">
      <c r="A1458" s="77">
        <v>45383</v>
      </c>
      <c r="B1458" s="3" t="s">
        <v>146</v>
      </c>
      <c r="C1458" s="4" t="s">
        <v>147</v>
      </c>
      <c r="D1458" s="4" t="s">
        <v>314</v>
      </c>
      <c r="E1458" s="4" t="s">
        <v>288</v>
      </c>
      <c r="F1458" t="s">
        <v>213</v>
      </c>
      <c r="G1458" t="s">
        <v>217</v>
      </c>
      <c r="H1458">
        <f>VLOOKUP(C1458,'TB Apr 24'!$B$13:$AA$103,26,0)</f>
        <v>13570.083333333334</v>
      </c>
    </row>
    <row r="1459" spans="1:8" x14ac:dyDescent="0.35">
      <c r="A1459" s="77">
        <v>45383</v>
      </c>
      <c r="B1459" s="3" t="s">
        <v>148</v>
      </c>
      <c r="C1459" s="4" t="s">
        <v>149</v>
      </c>
      <c r="D1459" s="4" t="s">
        <v>314</v>
      </c>
      <c r="E1459" s="4" t="s">
        <v>287</v>
      </c>
      <c r="F1459" t="s">
        <v>213</v>
      </c>
      <c r="G1459" t="s">
        <v>217</v>
      </c>
      <c r="H1459">
        <f>VLOOKUP(C1459,'TB Apr 24'!$B$13:$AA$103,26,0)</f>
        <v>175956</v>
      </c>
    </row>
    <row r="1460" spans="1:8" x14ac:dyDescent="0.35">
      <c r="A1460" s="77">
        <v>45383</v>
      </c>
      <c r="B1460" s="3" t="s">
        <v>150</v>
      </c>
      <c r="C1460" s="4" t="s">
        <v>87</v>
      </c>
      <c r="D1460" s="4" t="s">
        <v>314</v>
      </c>
      <c r="E1460" s="4" t="s">
        <v>288</v>
      </c>
      <c r="F1460" t="s">
        <v>213</v>
      </c>
      <c r="G1460" t="s">
        <v>217</v>
      </c>
      <c r="H1460">
        <f>VLOOKUP(C1460,'TB Apr 24'!$B$13:$AA$103,26,0)</f>
        <v>0</v>
      </c>
    </row>
    <row r="1461" spans="1:8" x14ac:dyDescent="0.35">
      <c r="A1461" s="77">
        <v>45383</v>
      </c>
      <c r="B1461" s="3" t="s">
        <v>151</v>
      </c>
      <c r="C1461" s="4" t="s">
        <v>152</v>
      </c>
      <c r="D1461" s="4" t="s">
        <v>314</v>
      </c>
      <c r="E1461" s="4" t="s">
        <v>288</v>
      </c>
      <c r="F1461" t="s">
        <v>213</v>
      </c>
      <c r="G1461" t="s">
        <v>217</v>
      </c>
      <c r="H1461">
        <f>VLOOKUP(C1461,'TB Apr 24'!$B$13:$AA$103,26,0)</f>
        <v>0</v>
      </c>
    </row>
    <row r="1462" spans="1:8" x14ac:dyDescent="0.35">
      <c r="A1462" s="77">
        <v>45383</v>
      </c>
      <c r="B1462" s="3" t="s">
        <v>153</v>
      </c>
      <c r="C1462" s="4" t="s">
        <v>154</v>
      </c>
      <c r="D1462" s="4" t="s">
        <v>314</v>
      </c>
      <c r="E1462" s="4" t="s">
        <v>288</v>
      </c>
      <c r="F1462" t="s">
        <v>213</v>
      </c>
      <c r="G1462" t="s">
        <v>217</v>
      </c>
      <c r="H1462">
        <f>VLOOKUP(C1462,'TB Apr 24'!$B$13:$AA$103,26,0)</f>
        <v>13960</v>
      </c>
    </row>
    <row r="1463" spans="1:8" x14ac:dyDescent="0.35">
      <c r="A1463" s="77">
        <v>45383</v>
      </c>
      <c r="B1463" s="3" t="s">
        <v>155</v>
      </c>
      <c r="C1463" s="4" t="s">
        <v>156</v>
      </c>
      <c r="D1463" s="4" t="s">
        <v>314</v>
      </c>
      <c r="E1463" s="4" t="s">
        <v>288</v>
      </c>
      <c r="F1463" t="s">
        <v>213</v>
      </c>
      <c r="G1463" t="s">
        <v>217</v>
      </c>
      <c r="H1463">
        <f>VLOOKUP(C1463,'TB Apr 24'!$B$13:$AA$103,26,0)</f>
        <v>0</v>
      </c>
    </row>
    <row r="1464" spans="1:8" x14ac:dyDescent="0.35">
      <c r="A1464" s="77">
        <v>45383</v>
      </c>
      <c r="B1464" s="3" t="s">
        <v>157</v>
      </c>
      <c r="C1464" s="4" t="s">
        <v>158</v>
      </c>
      <c r="D1464" s="4" t="s">
        <v>314</v>
      </c>
      <c r="E1464" s="4" t="s">
        <v>292</v>
      </c>
      <c r="F1464" t="s">
        <v>213</v>
      </c>
      <c r="G1464" t="s">
        <v>217</v>
      </c>
      <c r="H1464">
        <f>VLOOKUP(C1464,'TB Apr 24'!$B$13:$AA$103,26,0)</f>
        <v>0</v>
      </c>
    </row>
    <row r="1465" spans="1:8" x14ac:dyDescent="0.35">
      <c r="A1465" s="77">
        <v>45383</v>
      </c>
      <c r="B1465" s="3" t="s">
        <v>159</v>
      </c>
      <c r="C1465" s="4" t="s">
        <v>160</v>
      </c>
      <c r="D1465" s="4" t="s">
        <v>314</v>
      </c>
      <c r="E1465" s="4" t="s">
        <v>323</v>
      </c>
      <c r="F1465" t="s">
        <v>213</v>
      </c>
      <c r="G1465" t="s">
        <v>217</v>
      </c>
      <c r="H1465">
        <f>VLOOKUP(C1465,'TB Apr 24'!$B$13:$AA$103,26,0)</f>
        <v>0</v>
      </c>
    </row>
    <row r="1466" spans="1:8" x14ac:dyDescent="0.35">
      <c r="A1466" s="77">
        <v>45383</v>
      </c>
      <c r="B1466" s="3" t="s">
        <v>161</v>
      </c>
      <c r="C1466" s="4" t="s">
        <v>162</v>
      </c>
      <c r="D1466" s="4" t="s">
        <v>314</v>
      </c>
      <c r="E1466" s="4" t="s">
        <v>323</v>
      </c>
      <c r="F1466" t="s">
        <v>213</v>
      </c>
      <c r="G1466" t="s">
        <v>217</v>
      </c>
      <c r="H1466">
        <f>VLOOKUP(C1466,'TB Apr 24'!$B$13:$AA$103,26,0)</f>
        <v>0</v>
      </c>
    </row>
    <row r="1467" spans="1:8" x14ac:dyDescent="0.35">
      <c r="A1467" s="77">
        <v>45383</v>
      </c>
      <c r="B1467" s="3" t="s">
        <v>163</v>
      </c>
      <c r="C1467" s="4" t="s">
        <v>164</v>
      </c>
      <c r="D1467" s="4" t="s">
        <v>314</v>
      </c>
      <c r="E1467" s="4" t="s">
        <v>319</v>
      </c>
      <c r="F1467" t="s">
        <v>213</v>
      </c>
      <c r="G1467" t="s">
        <v>217</v>
      </c>
      <c r="H1467">
        <f>VLOOKUP(C1467,'TB Apr 24'!$B$13:$AA$103,26,0)</f>
        <v>0</v>
      </c>
    </row>
    <row r="1468" spans="1:8" x14ac:dyDescent="0.35">
      <c r="A1468" s="77">
        <v>45383</v>
      </c>
      <c r="B1468" s="3" t="s">
        <v>165</v>
      </c>
      <c r="C1468" s="4" t="s">
        <v>166</v>
      </c>
      <c r="D1468" s="4" t="s">
        <v>314</v>
      </c>
      <c r="E1468" s="4" t="s">
        <v>304</v>
      </c>
      <c r="F1468" t="s">
        <v>213</v>
      </c>
      <c r="G1468" t="s">
        <v>217</v>
      </c>
      <c r="H1468">
        <f>VLOOKUP(C1468,'TB Apr 24'!$B$13:$AA$103,26,0)</f>
        <v>10747</v>
      </c>
    </row>
    <row r="1469" spans="1:8" x14ac:dyDescent="0.35">
      <c r="A1469" s="77">
        <v>45383</v>
      </c>
      <c r="B1469" s="3" t="s">
        <v>167</v>
      </c>
      <c r="C1469" s="4" t="s">
        <v>168</v>
      </c>
      <c r="D1469" s="4" t="s">
        <v>314</v>
      </c>
      <c r="E1469" s="4" t="s">
        <v>322</v>
      </c>
      <c r="F1469" t="s">
        <v>213</v>
      </c>
      <c r="G1469" t="s">
        <v>217</v>
      </c>
      <c r="H1469">
        <f>VLOOKUP(C1469,'TB Apr 24'!$B$13:$AA$103,26,0)</f>
        <v>0</v>
      </c>
    </row>
    <row r="1470" spans="1:8" x14ac:dyDescent="0.35">
      <c r="A1470" s="77">
        <v>45383</v>
      </c>
      <c r="B1470" s="3" t="s">
        <v>169</v>
      </c>
      <c r="C1470" s="4" t="s">
        <v>170</v>
      </c>
      <c r="D1470" s="4" t="s">
        <v>314</v>
      </c>
      <c r="E1470" s="4" t="s">
        <v>304</v>
      </c>
      <c r="F1470" t="s">
        <v>213</v>
      </c>
      <c r="G1470" t="s">
        <v>217</v>
      </c>
      <c r="H1470">
        <f>VLOOKUP(C1470,'TB Apr 24'!$B$13:$AA$103,26,0)</f>
        <v>9150</v>
      </c>
    </row>
    <row r="1471" spans="1:8" x14ac:dyDescent="0.35">
      <c r="A1471" s="77">
        <v>45383</v>
      </c>
      <c r="B1471" s="3" t="s">
        <v>171</v>
      </c>
      <c r="C1471" s="4" t="s">
        <v>172</v>
      </c>
      <c r="D1471" s="4" t="s">
        <v>314</v>
      </c>
      <c r="E1471" s="4" t="s">
        <v>303</v>
      </c>
      <c r="F1471" t="s">
        <v>213</v>
      </c>
      <c r="G1471" t="s">
        <v>217</v>
      </c>
      <c r="H1471">
        <f>VLOOKUP(C1471,'TB Apr 24'!$B$13:$AA$103,26,0)</f>
        <v>0</v>
      </c>
    </row>
    <row r="1472" spans="1:8" x14ac:dyDescent="0.35">
      <c r="A1472" s="77">
        <v>45383</v>
      </c>
      <c r="B1472" s="3" t="s">
        <v>173</v>
      </c>
      <c r="C1472" s="4" t="s">
        <v>174</v>
      </c>
      <c r="D1472" s="4" t="s">
        <v>314</v>
      </c>
      <c r="E1472" s="4" t="s">
        <v>257</v>
      </c>
      <c r="F1472" t="s">
        <v>213</v>
      </c>
      <c r="G1472" t="s">
        <v>217</v>
      </c>
      <c r="H1472">
        <f>VLOOKUP(C1472,'TB Apr 24'!$B$13:$AA$103,26,0)</f>
        <v>0</v>
      </c>
    </row>
    <row r="1473" spans="1:8" x14ac:dyDescent="0.35">
      <c r="A1473" s="77">
        <v>45383</v>
      </c>
      <c r="B1473" s="3" t="s">
        <v>175</v>
      </c>
      <c r="C1473" s="4" t="s">
        <v>176</v>
      </c>
      <c r="D1473" s="4" t="s">
        <v>314</v>
      </c>
      <c r="E1473" s="4" t="s">
        <v>257</v>
      </c>
      <c r="F1473" t="s">
        <v>213</v>
      </c>
      <c r="G1473" t="s">
        <v>217</v>
      </c>
      <c r="H1473">
        <f>VLOOKUP(C1473,'TB Apr 24'!$B$13:$AA$103,26,0)</f>
        <v>0</v>
      </c>
    </row>
    <row r="1474" spans="1:8" x14ac:dyDescent="0.35">
      <c r="A1474" s="77">
        <v>45383</v>
      </c>
      <c r="B1474" s="3" t="s">
        <v>177</v>
      </c>
      <c r="C1474" s="4" t="s">
        <v>178</v>
      </c>
      <c r="D1474" s="4" t="s">
        <v>314</v>
      </c>
      <c r="E1474" s="4" t="s">
        <v>257</v>
      </c>
      <c r="F1474" t="s">
        <v>213</v>
      </c>
      <c r="G1474" t="s">
        <v>217</v>
      </c>
      <c r="H1474">
        <f>VLOOKUP(C1474,'TB Apr 24'!$B$13:$AA$103,26,0)</f>
        <v>0</v>
      </c>
    </row>
    <row r="1475" spans="1:8" x14ac:dyDescent="0.35">
      <c r="A1475" s="77">
        <v>45383</v>
      </c>
      <c r="B1475" s="3" t="s">
        <v>179</v>
      </c>
      <c r="C1475" s="4" t="s">
        <v>180</v>
      </c>
      <c r="D1475" s="4" t="s">
        <v>314</v>
      </c>
      <c r="E1475" s="4" t="s">
        <v>322</v>
      </c>
      <c r="F1475" t="s">
        <v>213</v>
      </c>
      <c r="G1475" t="s">
        <v>217</v>
      </c>
      <c r="H1475">
        <f>VLOOKUP(C1475,'TB Apr 24'!$B$13:$AA$103,26,0)</f>
        <v>0</v>
      </c>
    </row>
    <row r="1476" spans="1:8" x14ac:dyDescent="0.35">
      <c r="A1476" s="77">
        <v>45383</v>
      </c>
      <c r="B1476" s="3" t="s">
        <v>181</v>
      </c>
      <c r="C1476" s="4" t="s">
        <v>182</v>
      </c>
      <c r="D1476" s="4" t="s">
        <v>314</v>
      </c>
      <c r="E1476" s="4" t="s">
        <v>290</v>
      </c>
      <c r="F1476" t="s">
        <v>213</v>
      </c>
      <c r="G1476" t="s">
        <v>217</v>
      </c>
      <c r="H1476">
        <f>VLOOKUP(C1476,'TB Apr 24'!$B$13:$AA$103,26,0)</f>
        <v>3910</v>
      </c>
    </row>
    <row r="1477" spans="1:8" x14ac:dyDescent="0.35">
      <c r="A1477" s="77">
        <v>45383</v>
      </c>
      <c r="B1477" s="3" t="s">
        <v>183</v>
      </c>
      <c r="C1477" s="4" t="s">
        <v>184</v>
      </c>
      <c r="D1477" s="4" t="s">
        <v>314</v>
      </c>
      <c r="E1477" s="4" t="s">
        <v>290</v>
      </c>
      <c r="F1477" t="s">
        <v>213</v>
      </c>
      <c r="G1477" t="s">
        <v>217</v>
      </c>
      <c r="H1477">
        <f>VLOOKUP(C1477,'TB Apr 24'!$B$13:$AA$103,26,0)</f>
        <v>0</v>
      </c>
    </row>
    <row r="1478" spans="1:8" x14ac:dyDescent="0.35">
      <c r="A1478" s="77">
        <v>45383</v>
      </c>
      <c r="B1478" s="3" t="s">
        <v>185</v>
      </c>
      <c r="C1478" s="4" t="s">
        <v>186</v>
      </c>
      <c r="D1478" s="4" t="s">
        <v>314</v>
      </c>
      <c r="E1478" s="4" t="s">
        <v>290</v>
      </c>
      <c r="F1478" t="s">
        <v>213</v>
      </c>
      <c r="G1478" t="s">
        <v>217</v>
      </c>
      <c r="H1478">
        <f>VLOOKUP(C1478,'TB Apr 24'!$B$13:$AA$103,26,0)</f>
        <v>2500</v>
      </c>
    </row>
    <row r="1479" spans="1:8" x14ac:dyDescent="0.35">
      <c r="A1479" s="77">
        <v>45383</v>
      </c>
      <c r="B1479" s="3" t="s">
        <v>187</v>
      </c>
      <c r="C1479" s="4" t="s">
        <v>188</v>
      </c>
      <c r="D1479" s="4" t="s">
        <v>314</v>
      </c>
      <c r="E1479" s="4" t="s">
        <v>291</v>
      </c>
      <c r="F1479" t="s">
        <v>213</v>
      </c>
      <c r="G1479" t="s">
        <v>217</v>
      </c>
      <c r="H1479">
        <f>VLOOKUP(C1479,'TB Apr 24'!$B$13:$AA$103,26,0)</f>
        <v>33415</v>
      </c>
    </row>
    <row r="1480" spans="1:8" x14ac:dyDescent="0.35">
      <c r="A1480" s="77">
        <v>45383</v>
      </c>
      <c r="B1480" s="3" t="s">
        <v>189</v>
      </c>
      <c r="C1480" s="4" t="s">
        <v>190</v>
      </c>
      <c r="D1480" s="4" t="s">
        <v>314</v>
      </c>
      <c r="E1480" s="4" t="s">
        <v>254</v>
      </c>
      <c r="F1480" t="s">
        <v>213</v>
      </c>
      <c r="G1480" t="s">
        <v>217</v>
      </c>
      <c r="H1480">
        <f>VLOOKUP(C1480,'TB Apr 24'!$B$13:$AA$103,26,0)</f>
        <v>0</v>
      </c>
    </row>
    <row r="1481" spans="1:8" x14ac:dyDescent="0.35">
      <c r="A1481" s="77">
        <v>45383</v>
      </c>
      <c r="B1481" s="3" t="s">
        <v>191</v>
      </c>
      <c r="C1481" s="4" t="s">
        <v>192</v>
      </c>
      <c r="D1481" s="4" t="s">
        <v>314</v>
      </c>
      <c r="E1481" s="4" t="s">
        <v>254</v>
      </c>
      <c r="F1481" t="s">
        <v>213</v>
      </c>
      <c r="G1481" t="s">
        <v>217</v>
      </c>
      <c r="H1481">
        <f>VLOOKUP(C1481,'TB Apr 24'!$B$13:$AA$103,26,0)</f>
        <v>0</v>
      </c>
    </row>
    <row r="1482" spans="1:8" x14ac:dyDescent="0.35">
      <c r="A1482" s="77">
        <v>45383</v>
      </c>
      <c r="B1482" s="3" t="s">
        <v>193</v>
      </c>
      <c r="C1482" s="4" t="s">
        <v>194</v>
      </c>
      <c r="D1482" s="4" t="s">
        <v>314</v>
      </c>
      <c r="E1482" s="4" t="s">
        <v>254</v>
      </c>
      <c r="F1482" t="s">
        <v>213</v>
      </c>
      <c r="G1482" t="s">
        <v>217</v>
      </c>
      <c r="H1482">
        <f>VLOOKUP(C1482,'TB Apr 24'!$B$13:$AA$103,26,0)</f>
        <v>509269.27145419095</v>
      </c>
    </row>
    <row r="1483" spans="1:8" x14ac:dyDescent="0.35">
      <c r="A1483" s="77">
        <v>45383</v>
      </c>
      <c r="B1483" s="3" t="s">
        <v>195</v>
      </c>
      <c r="C1483" s="4" t="s">
        <v>196</v>
      </c>
      <c r="D1483" s="4" t="s">
        <v>314</v>
      </c>
      <c r="E1483" s="4" t="s">
        <v>255</v>
      </c>
      <c r="F1483" t="s">
        <v>213</v>
      </c>
      <c r="G1483" t="s">
        <v>217</v>
      </c>
      <c r="H1483">
        <f>VLOOKUP(C1483,'TB Apr 24'!$B$13:$AA$103,26,0)</f>
        <v>0</v>
      </c>
    </row>
    <row r="1484" spans="1:8" x14ac:dyDescent="0.35">
      <c r="A1484" s="77">
        <v>45383</v>
      </c>
      <c r="B1484" s="3" t="s">
        <v>197</v>
      </c>
      <c r="C1484" s="4" t="s">
        <v>198</v>
      </c>
      <c r="D1484" s="4" t="s">
        <v>314</v>
      </c>
      <c r="E1484" s="4" t="s">
        <v>255</v>
      </c>
      <c r="F1484" t="s">
        <v>213</v>
      </c>
      <c r="G1484" t="s">
        <v>217</v>
      </c>
      <c r="H1484">
        <f>VLOOKUP(C1484,'TB Apr 24'!$B$13:$AA$103,26,0)</f>
        <v>0</v>
      </c>
    </row>
    <row r="1485" spans="1:8" x14ac:dyDescent="0.35">
      <c r="A1485" s="77">
        <v>45383</v>
      </c>
      <c r="B1485" s="3" t="s">
        <v>199</v>
      </c>
      <c r="C1485" s="4" t="s">
        <v>200</v>
      </c>
      <c r="D1485" s="4" t="s">
        <v>314</v>
      </c>
      <c r="E1485" s="4" t="s">
        <v>254</v>
      </c>
      <c r="F1485" t="s">
        <v>213</v>
      </c>
      <c r="G1485" t="s">
        <v>217</v>
      </c>
      <c r="H1485">
        <f>VLOOKUP(C1485,'TB Apr 24'!$B$13:$AA$103,26,0)</f>
        <v>0</v>
      </c>
    </row>
    <row r="1486" spans="1:8" x14ac:dyDescent="0.35">
      <c r="A1486" s="77">
        <v>45383</v>
      </c>
      <c r="B1486" s="3" t="s">
        <v>201</v>
      </c>
      <c r="C1486" s="4" t="s">
        <v>202</v>
      </c>
      <c r="D1486" s="4" t="s">
        <v>314</v>
      </c>
      <c r="E1486" s="4" t="s">
        <v>254</v>
      </c>
      <c r="F1486" t="s">
        <v>213</v>
      </c>
      <c r="G1486" t="s">
        <v>217</v>
      </c>
      <c r="H1486">
        <f>VLOOKUP(C1486,'TB Apr 24'!$B$13:$AA$103,26,0)</f>
        <v>0</v>
      </c>
    </row>
    <row r="1487" spans="1:8" x14ac:dyDescent="0.35">
      <c r="A1487" s="77">
        <v>45383</v>
      </c>
      <c r="B1487" s="3" t="s">
        <v>203</v>
      </c>
      <c r="C1487" s="4" t="s">
        <v>204</v>
      </c>
      <c r="D1487" s="4" t="s">
        <v>314</v>
      </c>
      <c r="E1487" s="4" t="s">
        <v>256</v>
      </c>
      <c r="F1487" t="s">
        <v>213</v>
      </c>
      <c r="G1487" t="s">
        <v>217</v>
      </c>
      <c r="H1487">
        <f>VLOOKUP(C1487,'TB Apr 24'!$B$13:$AA$103,26,0)</f>
        <v>0</v>
      </c>
    </row>
    <row r="1488" spans="1:8" x14ac:dyDescent="0.35">
      <c r="A1488" s="77">
        <v>45383</v>
      </c>
      <c r="B1488" s="3" t="s">
        <v>205</v>
      </c>
      <c r="C1488" s="6" t="s">
        <v>206</v>
      </c>
      <c r="D1488" s="4" t="s">
        <v>314</v>
      </c>
      <c r="E1488" s="6" t="s">
        <v>322</v>
      </c>
      <c r="F1488" s="79" t="s">
        <v>213</v>
      </c>
      <c r="G1488" s="79" t="s">
        <v>217</v>
      </c>
      <c r="H1488" s="79">
        <f>VLOOKUP(C1488,'TB Apr 24'!$B$13:$AA$103,26,0)</f>
        <v>0</v>
      </c>
    </row>
    <row r="1489" spans="1:8" x14ac:dyDescent="0.35">
      <c r="A1489" s="77">
        <v>45383</v>
      </c>
      <c r="B1489" s="3" t="s">
        <v>57</v>
      </c>
      <c r="C1489" s="4" t="s">
        <v>58</v>
      </c>
      <c r="D1489" s="4" t="s">
        <v>314</v>
      </c>
      <c r="E1489" s="4" t="s">
        <v>253</v>
      </c>
      <c r="F1489" t="s">
        <v>213</v>
      </c>
      <c r="G1489" t="s">
        <v>221</v>
      </c>
      <c r="H1489">
        <f>VLOOKUP(C1489,'TB Apr 24'!$B$13:$AC$103,28,0)</f>
        <v>0</v>
      </c>
    </row>
    <row r="1490" spans="1:8" x14ac:dyDescent="0.35">
      <c r="A1490" s="77">
        <v>45383</v>
      </c>
      <c r="B1490" s="3" t="s">
        <v>307</v>
      </c>
      <c r="C1490" s="4" t="s">
        <v>308</v>
      </c>
      <c r="D1490" s="4" t="s">
        <v>314</v>
      </c>
      <c r="E1490" s="4" t="s">
        <v>253</v>
      </c>
      <c r="F1490" t="s">
        <v>213</v>
      </c>
      <c r="G1490" t="s">
        <v>221</v>
      </c>
      <c r="H1490">
        <f>VLOOKUP(C1490,'TB Apr 24'!$B$13:$AC$103,28,0)</f>
        <v>0</v>
      </c>
    </row>
    <row r="1491" spans="1:8" x14ac:dyDescent="0.35">
      <c r="A1491" s="77">
        <v>45383</v>
      </c>
      <c r="B1491" s="3" t="s">
        <v>59</v>
      </c>
      <c r="C1491" s="4" t="s">
        <v>60</v>
      </c>
      <c r="D1491" s="4" t="s">
        <v>314</v>
      </c>
      <c r="E1491" s="4" t="s">
        <v>253</v>
      </c>
      <c r="F1491" t="s">
        <v>213</v>
      </c>
      <c r="G1491" t="s">
        <v>221</v>
      </c>
      <c r="H1491">
        <f>VLOOKUP(C1491,'TB Apr 24'!$B$13:$AC$103,28,0)</f>
        <v>-15.03</v>
      </c>
    </row>
    <row r="1492" spans="1:8" x14ac:dyDescent="0.35">
      <c r="A1492" s="77">
        <v>45383</v>
      </c>
      <c r="B1492" s="3" t="s">
        <v>61</v>
      </c>
      <c r="C1492" s="4" t="s">
        <v>62</v>
      </c>
      <c r="D1492" s="4" t="s">
        <v>314</v>
      </c>
      <c r="E1492" s="4" t="s">
        <v>66</v>
      </c>
      <c r="F1492" t="s">
        <v>213</v>
      </c>
      <c r="G1492" t="s">
        <v>221</v>
      </c>
      <c r="H1492">
        <f>VLOOKUP(C1492,'TB Apr 24'!$B$13:$AC$103,28,0)</f>
        <v>-43298.54</v>
      </c>
    </row>
    <row r="1493" spans="1:8" x14ac:dyDescent="0.35">
      <c r="A1493" s="77">
        <v>45383</v>
      </c>
      <c r="B1493" s="3" t="s">
        <v>63</v>
      </c>
      <c r="C1493" s="4" t="s">
        <v>64</v>
      </c>
      <c r="D1493" s="4" t="s">
        <v>314</v>
      </c>
      <c r="E1493" s="4" t="s">
        <v>252</v>
      </c>
      <c r="F1493" t="s">
        <v>213</v>
      </c>
      <c r="G1493" t="s">
        <v>221</v>
      </c>
      <c r="H1493">
        <f>VLOOKUP(C1493,'TB Apr 24'!$B$13:$AC$103,28,0)</f>
        <v>0</v>
      </c>
    </row>
    <row r="1494" spans="1:8" x14ac:dyDescent="0.35">
      <c r="A1494" s="77">
        <v>45383</v>
      </c>
      <c r="B1494" s="3" t="s">
        <v>65</v>
      </c>
      <c r="C1494" s="4" t="s">
        <v>66</v>
      </c>
      <c r="D1494" s="4" t="s">
        <v>314</v>
      </c>
      <c r="E1494" s="4" t="s">
        <v>66</v>
      </c>
      <c r="F1494" t="s">
        <v>213</v>
      </c>
      <c r="G1494" t="s">
        <v>221</v>
      </c>
      <c r="H1494">
        <f>VLOOKUP(C1494,'TB Apr 24'!$B$13:$AC$103,28,0)</f>
        <v>-1882010.36</v>
      </c>
    </row>
    <row r="1495" spans="1:8" x14ac:dyDescent="0.35">
      <c r="A1495" s="77">
        <v>45383</v>
      </c>
      <c r="B1495" s="3" t="s">
        <v>67</v>
      </c>
      <c r="C1495" s="4" t="s">
        <v>68</v>
      </c>
      <c r="D1495" s="4" t="s">
        <v>314</v>
      </c>
      <c r="E1495" s="4" t="s">
        <v>252</v>
      </c>
      <c r="F1495" t="s">
        <v>213</v>
      </c>
      <c r="G1495" t="s">
        <v>221</v>
      </c>
      <c r="H1495">
        <f>VLOOKUP(C1495,'TB Apr 24'!$B$13:$AC$103,28,0)</f>
        <v>-314557.96999999997</v>
      </c>
    </row>
    <row r="1496" spans="1:8" x14ac:dyDescent="0.35">
      <c r="A1496" s="77">
        <v>45383</v>
      </c>
      <c r="B1496" s="3" t="s">
        <v>69</v>
      </c>
      <c r="C1496" s="4" t="s">
        <v>70</v>
      </c>
      <c r="D1496" s="4" t="s">
        <v>314</v>
      </c>
      <c r="E1496" s="4" t="s">
        <v>70</v>
      </c>
      <c r="F1496" t="s">
        <v>213</v>
      </c>
      <c r="G1496" t="s">
        <v>221</v>
      </c>
      <c r="H1496">
        <f>VLOOKUP(C1496,'TB Apr 24'!$B$13:$AC$103,28,0)</f>
        <v>-1158234.0900000001</v>
      </c>
    </row>
    <row r="1497" spans="1:8" x14ac:dyDescent="0.35">
      <c r="A1497" s="77">
        <v>45383</v>
      </c>
      <c r="B1497" s="3" t="s">
        <v>71</v>
      </c>
      <c r="C1497" s="4" t="s">
        <v>72</v>
      </c>
      <c r="D1497" s="4" t="s">
        <v>314</v>
      </c>
      <c r="E1497" s="4" t="s">
        <v>253</v>
      </c>
      <c r="F1497" t="s">
        <v>213</v>
      </c>
      <c r="G1497" t="s">
        <v>221</v>
      </c>
      <c r="H1497">
        <f>VLOOKUP(C1497,'TB Apr 24'!$B$13:$AC$103,28,0)</f>
        <v>-4657.5</v>
      </c>
    </row>
    <row r="1498" spans="1:8" x14ac:dyDescent="0.35">
      <c r="A1498" s="77">
        <v>45383</v>
      </c>
      <c r="B1498" s="3" t="s">
        <v>73</v>
      </c>
      <c r="C1498" s="4" t="s">
        <v>74</v>
      </c>
      <c r="D1498" s="4" t="s">
        <v>314</v>
      </c>
      <c r="E1498" s="4" t="s">
        <v>253</v>
      </c>
      <c r="F1498" t="s">
        <v>213</v>
      </c>
      <c r="G1498" t="s">
        <v>221</v>
      </c>
      <c r="H1498">
        <f>VLOOKUP(C1498,'TB Apr 24'!$B$13:$AC$103,28,0)</f>
        <v>-1756.19</v>
      </c>
    </row>
    <row r="1499" spans="1:8" x14ac:dyDescent="0.35">
      <c r="A1499" s="77">
        <v>45383</v>
      </c>
      <c r="B1499" s="3" t="s">
        <v>75</v>
      </c>
      <c r="C1499" s="4" t="s">
        <v>76</v>
      </c>
      <c r="D1499" s="4" t="s">
        <v>314</v>
      </c>
      <c r="E1499" s="4" t="s">
        <v>253</v>
      </c>
      <c r="F1499" t="s">
        <v>213</v>
      </c>
      <c r="G1499" t="s">
        <v>221</v>
      </c>
      <c r="H1499">
        <f>VLOOKUP(C1499,'TB Apr 24'!$B$13:$AC$103,28,0)</f>
        <v>0</v>
      </c>
    </row>
    <row r="1500" spans="1:8" x14ac:dyDescent="0.35">
      <c r="A1500" s="77">
        <v>45383</v>
      </c>
      <c r="B1500" s="3" t="s">
        <v>77</v>
      </c>
      <c r="C1500" s="4" t="s">
        <v>78</v>
      </c>
      <c r="D1500" s="4" t="s">
        <v>314</v>
      </c>
      <c r="E1500" s="4" t="s">
        <v>253</v>
      </c>
      <c r="F1500" t="s">
        <v>213</v>
      </c>
      <c r="G1500" t="s">
        <v>221</v>
      </c>
      <c r="H1500">
        <f>VLOOKUP(C1500,'TB Apr 24'!$B$13:$AC$103,28,0)</f>
        <v>11841.1</v>
      </c>
    </row>
    <row r="1501" spans="1:8" x14ac:dyDescent="0.35">
      <c r="A1501" s="77">
        <v>45383</v>
      </c>
      <c r="B1501" s="3" t="s">
        <v>79</v>
      </c>
      <c r="C1501" s="4" t="s">
        <v>80</v>
      </c>
      <c r="D1501" s="4" t="s">
        <v>314</v>
      </c>
      <c r="E1501" s="4" t="s">
        <v>253</v>
      </c>
      <c r="F1501" t="s">
        <v>213</v>
      </c>
      <c r="G1501" t="s">
        <v>221</v>
      </c>
      <c r="H1501">
        <f>VLOOKUP(C1501,'TB Apr 24'!$B$13:$AC$103,28,0)</f>
        <v>-102134.18</v>
      </c>
    </row>
    <row r="1502" spans="1:8" x14ac:dyDescent="0.35">
      <c r="A1502" s="77">
        <v>45383</v>
      </c>
      <c r="B1502" s="3" t="s">
        <v>81</v>
      </c>
      <c r="C1502" s="4" t="s">
        <v>82</v>
      </c>
      <c r="D1502" s="4" t="s">
        <v>314</v>
      </c>
      <c r="E1502" s="4" t="s">
        <v>319</v>
      </c>
      <c r="F1502" t="s">
        <v>213</v>
      </c>
      <c r="G1502" t="s">
        <v>221</v>
      </c>
      <c r="H1502">
        <f>VLOOKUP(C1502,'TB Apr 24'!$B$13:$AC$103,28,0)</f>
        <v>52864</v>
      </c>
    </row>
    <row r="1503" spans="1:8" x14ac:dyDescent="0.35">
      <c r="A1503" s="77">
        <v>45383</v>
      </c>
      <c r="B1503" s="3" t="s">
        <v>83</v>
      </c>
      <c r="C1503" s="4" t="s">
        <v>84</v>
      </c>
      <c r="D1503" s="4" t="s">
        <v>314</v>
      </c>
      <c r="E1503" s="4" t="s">
        <v>319</v>
      </c>
      <c r="F1503" t="s">
        <v>213</v>
      </c>
      <c r="G1503" t="s">
        <v>221</v>
      </c>
      <c r="H1503">
        <f>VLOOKUP(C1503,'TB Apr 24'!$B$13:$AC$103,28,0)</f>
        <v>0</v>
      </c>
    </row>
    <row r="1504" spans="1:8" x14ac:dyDescent="0.35">
      <c r="A1504" s="77">
        <v>45383</v>
      </c>
      <c r="B1504" s="3" t="s">
        <v>85</v>
      </c>
      <c r="C1504" s="4" t="s">
        <v>86</v>
      </c>
      <c r="D1504" s="4" t="s">
        <v>314</v>
      </c>
      <c r="E1504" s="4" t="s">
        <v>291</v>
      </c>
      <c r="F1504" t="s">
        <v>213</v>
      </c>
      <c r="G1504" t="s">
        <v>221</v>
      </c>
      <c r="H1504">
        <f>VLOOKUP(C1504,'TB Apr 24'!$B$13:$AC$103,28,0)</f>
        <v>0</v>
      </c>
    </row>
    <row r="1505" spans="1:8" x14ac:dyDescent="0.35">
      <c r="A1505" s="77">
        <v>45383</v>
      </c>
      <c r="B1505" s="3" t="s">
        <v>88</v>
      </c>
      <c r="C1505" s="4" t="s">
        <v>89</v>
      </c>
      <c r="D1505" s="4" t="s">
        <v>314</v>
      </c>
      <c r="E1505" s="4" t="s">
        <v>300</v>
      </c>
      <c r="F1505" t="s">
        <v>213</v>
      </c>
      <c r="G1505" t="s">
        <v>221</v>
      </c>
      <c r="H1505">
        <f>VLOOKUP(C1505,'TB Apr 24'!$B$13:$AC$103,28,0)</f>
        <v>0</v>
      </c>
    </row>
    <row r="1506" spans="1:8" x14ac:dyDescent="0.35">
      <c r="A1506" s="77">
        <v>45383</v>
      </c>
      <c r="B1506" s="3" t="s">
        <v>90</v>
      </c>
      <c r="C1506" s="4" t="s">
        <v>91</v>
      </c>
      <c r="D1506" s="4" t="s">
        <v>314</v>
      </c>
      <c r="E1506" s="4" t="s">
        <v>300</v>
      </c>
      <c r="F1506" t="s">
        <v>213</v>
      </c>
      <c r="G1506" t="s">
        <v>221</v>
      </c>
      <c r="H1506">
        <f>VLOOKUP(C1506,'TB Apr 24'!$B$13:$AC$103,28,0)</f>
        <v>111861</v>
      </c>
    </row>
    <row r="1507" spans="1:8" x14ac:dyDescent="0.35">
      <c r="A1507" s="77">
        <v>45383</v>
      </c>
      <c r="B1507" s="3" t="s">
        <v>92</v>
      </c>
      <c r="C1507" s="4" t="s">
        <v>93</v>
      </c>
      <c r="D1507" s="4" t="s">
        <v>314</v>
      </c>
      <c r="E1507" s="4" t="s">
        <v>300</v>
      </c>
      <c r="F1507" t="s">
        <v>213</v>
      </c>
      <c r="G1507" t="s">
        <v>221</v>
      </c>
      <c r="H1507">
        <f>VLOOKUP(C1507,'TB Apr 24'!$B$13:$AC$103,28,0)</f>
        <v>5625</v>
      </c>
    </row>
    <row r="1508" spans="1:8" x14ac:dyDescent="0.35">
      <c r="A1508" s="77">
        <v>45383</v>
      </c>
      <c r="B1508" s="3" t="s">
        <v>94</v>
      </c>
      <c r="C1508" s="4" t="s">
        <v>95</v>
      </c>
      <c r="D1508" s="4" t="s">
        <v>314</v>
      </c>
      <c r="E1508" s="4" t="s">
        <v>289</v>
      </c>
      <c r="F1508" t="s">
        <v>213</v>
      </c>
      <c r="G1508" t="s">
        <v>221</v>
      </c>
      <c r="H1508">
        <f>VLOOKUP(C1508,'TB Apr 24'!$B$13:$AC$103,28,0)</f>
        <v>752810.5</v>
      </c>
    </row>
    <row r="1509" spans="1:8" x14ac:dyDescent="0.35">
      <c r="A1509" s="77">
        <v>45383</v>
      </c>
      <c r="B1509" s="3" t="s">
        <v>96</v>
      </c>
      <c r="C1509" s="4" t="s">
        <v>97</v>
      </c>
      <c r="D1509" s="4" t="s">
        <v>314</v>
      </c>
      <c r="E1509" s="4" t="s">
        <v>289</v>
      </c>
      <c r="F1509" t="s">
        <v>213</v>
      </c>
      <c r="G1509" t="s">
        <v>221</v>
      </c>
      <c r="H1509">
        <f>VLOOKUP(C1509,'TB Apr 24'!$B$13:$AC$103,28,0)</f>
        <v>0</v>
      </c>
    </row>
    <row r="1510" spans="1:8" x14ac:dyDescent="0.35">
      <c r="A1510" s="77">
        <v>45383</v>
      </c>
      <c r="B1510" s="3" t="s">
        <v>309</v>
      </c>
      <c r="C1510" s="4" t="s">
        <v>310</v>
      </c>
      <c r="D1510" s="4" t="s">
        <v>314</v>
      </c>
      <c r="E1510" s="4" t="s">
        <v>289</v>
      </c>
      <c r="F1510" t="s">
        <v>213</v>
      </c>
      <c r="G1510" t="s">
        <v>221</v>
      </c>
      <c r="H1510">
        <f>VLOOKUP(C1510,'TB Apr 24'!$B$13:$AC$103,28,0)</f>
        <v>0</v>
      </c>
    </row>
    <row r="1511" spans="1:8" x14ac:dyDescent="0.35">
      <c r="A1511" s="77">
        <v>45383</v>
      </c>
      <c r="B1511" s="3" t="s">
        <v>98</v>
      </c>
      <c r="C1511" s="4" t="s">
        <v>99</v>
      </c>
      <c r="D1511" s="4" t="s">
        <v>314</v>
      </c>
      <c r="E1511" s="4" t="s">
        <v>289</v>
      </c>
      <c r="F1511" t="s">
        <v>213</v>
      </c>
      <c r="G1511" t="s">
        <v>221</v>
      </c>
      <c r="H1511">
        <f>VLOOKUP(C1511,'TB Apr 24'!$B$13:$AC$103,28,0)</f>
        <v>0</v>
      </c>
    </row>
    <row r="1512" spans="1:8" x14ac:dyDescent="0.35">
      <c r="A1512" s="77">
        <v>45383</v>
      </c>
      <c r="B1512" s="3" t="s">
        <v>100</v>
      </c>
      <c r="C1512" s="4" t="s">
        <v>101</v>
      </c>
      <c r="D1512" s="4" t="s">
        <v>314</v>
      </c>
      <c r="E1512" s="4" t="s">
        <v>291</v>
      </c>
      <c r="F1512" t="s">
        <v>213</v>
      </c>
      <c r="G1512" t="s">
        <v>221</v>
      </c>
      <c r="H1512">
        <f>VLOOKUP(C1512,'TB Apr 24'!$B$13:$AC$103,28,0)</f>
        <v>0</v>
      </c>
    </row>
    <row r="1513" spans="1:8" x14ac:dyDescent="0.35">
      <c r="A1513" s="77">
        <v>45383</v>
      </c>
      <c r="B1513" s="3" t="s">
        <v>102</v>
      </c>
      <c r="C1513" s="4" t="s">
        <v>103</v>
      </c>
      <c r="D1513" s="4" t="s">
        <v>314</v>
      </c>
      <c r="E1513" s="4" t="s">
        <v>291</v>
      </c>
      <c r="F1513" t="s">
        <v>213</v>
      </c>
      <c r="G1513" t="s">
        <v>221</v>
      </c>
      <c r="H1513">
        <f>VLOOKUP(C1513,'TB Apr 24'!$B$13:$AC$103,28,0)</f>
        <v>0</v>
      </c>
    </row>
    <row r="1514" spans="1:8" x14ac:dyDescent="0.35">
      <c r="A1514" s="77">
        <v>45383</v>
      </c>
      <c r="B1514" s="3" t="s">
        <v>104</v>
      </c>
      <c r="C1514" s="4" t="s">
        <v>105</v>
      </c>
      <c r="D1514" s="4" t="s">
        <v>314</v>
      </c>
      <c r="E1514" s="4" t="s">
        <v>291</v>
      </c>
      <c r="F1514" t="s">
        <v>213</v>
      </c>
      <c r="G1514" t="s">
        <v>221</v>
      </c>
      <c r="H1514">
        <f>VLOOKUP(C1514,'TB Apr 24'!$B$13:$AC$103,28,0)</f>
        <v>568.75</v>
      </c>
    </row>
    <row r="1515" spans="1:8" x14ac:dyDescent="0.35">
      <c r="A1515" s="77">
        <v>45383</v>
      </c>
      <c r="B1515" s="3" t="s">
        <v>106</v>
      </c>
      <c r="C1515" s="4" t="s">
        <v>107</v>
      </c>
      <c r="D1515" s="4" t="s">
        <v>314</v>
      </c>
      <c r="E1515" s="4" t="s">
        <v>321</v>
      </c>
      <c r="F1515" t="s">
        <v>213</v>
      </c>
      <c r="G1515" t="s">
        <v>221</v>
      </c>
      <c r="H1515">
        <f>VLOOKUP(C1515,'TB Apr 24'!$B$13:$AC$103,28,0)</f>
        <v>0</v>
      </c>
    </row>
    <row r="1516" spans="1:8" x14ac:dyDescent="0.35">
      <c r="A1516" s="77">
        <v>45383</v>
      </c>
      <c r="B1516" s="3" t="s">
        <v>108</v>
      </c>
      <c r="C1516" s="4" t="s">
        <v>109</v>
      </c>
      <c r="D1516" s="4" t="s">
        <v>314</v>
      </c>
      <c r="E1516" s="4" t="s">
        <v>321</v>
      </c>
      <c r="F1516" t="s">
        <v>213</v>
      </c>
      <c r="G1516" t="s">
        <v>221</v>
      </c>
      <c r="H1516">
        <f>VLOOKUP(C1516,'TB Apr 24'!$B$13:$AC$103,28,0)</f>
        <v>0</v>
      </c>
    </row>
    <row r="1517" spans="1:8" x14ac:dyDescent="0.35">
      <c r="A1517" s="77">
        <v>45383</v>
      </c>
      <c r="B1517" s="3" t="s">
        <v>110</v>
      </c>
      <c r="C1517" s="4" t="s">
        <v>111</v>
      </c>
      <c r="D1517" s="4" t="s">
        <v>314</v>
      </c>
      <c r="E1517" s="4" t="s">
        <v>320</v>
      </c>
      <c r="F1517" t="s">
        <v>213</v>
      </c>
      <c r="G1517" t="s">
        <v>221</v>
      </c>
      <c r="H1517">
        <f>VLOOKUP(C1517,'TB Apr 24'!$B$13:$AC$103,28,0)</f>
        <v>0</v>
      </c>
    </row>
    <row r="1518" spans="1:8" x14ac:dyDescent="0.35">
      <c r="A1518" s="77">
        <v>45383</v>
      </c>
      <c r="B1518" s="3" t="s">
        <v>112</v>
      </c>
      <c r="C1518" s="4" t="s">
        <v>113</v>
      </c>
      <c r="D1518" s="4" t="s">
        <v>314</v>
      </c>
      <c r="E1518" s="4" t="s">
        <v>321</v>
      </c>
      <c r="F1518" t="s">
        <v>213</v>
      </c>
      <c r="G1518" t="s">
        <v>221</v>
      </c>
      <c r="H1518">
        <f>VLOOKUP(C1518,'TB Apr 24'!$B$13:$AC$103,28,0)</f>
        <v>1300</v>
      </c>
    </row>
    <row r="1519" spans="1:8" x14ac:dyDescent="0.35">
      <c r="A1519" s="77">
        <v>45383</v>
      </c>
      <c r="B1519" s="3" t="s">
        <v>311</v>
      </c>
      <c r="C1519" s="4" t="s">
        <v>312</v>
      </c>
      <c r="D1519" s="4" t="s">
        <v>314</v>
      </c>
      <c r="E1519" s="4" t="s">
        <v>288</v>
      </c>
      <c r="F1519" t="s">
        <v>213</v>
      </c>
      <c r="G1519" t="s">
        <v>221</v>
      </c>
      <c r="H1519">
        <f>VLOOKUP(C1519,'TB Apr 24'!$B$13:$AC$103,28,0)</f>
        <v>0</v>
      </c>
    </row>
    <row r="1520" spans="1:8" x14ac:dyDescent="0.35">
      <c r="A1520" s="77">
        <v>45383</v>
      </c>
      <c r="B1520" s="3" t="s">
        <v>114</v>
      </c>
      <c r="C1520" s="4" t="s">
        <v>115</v>
      </c>
      <c r="D1520" s="4" t="s">
        <v>314</v>
      </c>
      <c r="E1520" s="4" t="s">
        <v>294</v>
      </c>
      <c r="F1520" t="s">
        <v>213</v>
      </c>
      <c r="G1520" t="s">
        <v>221</v>
      </c>
      <c r="H1520">
        <f>VLOOKUP(C1520,'TB Apr 24'!$B$13:$AC$103,28,0)</f>
        <v>0</v>
      </c>
    </row>
    <row r="1521" spans="1:8" x14ac:dyDescent="0.35">
      <c r="A1521" s="77">
        <v>45383</v>
      </c>
      <c r="B1521" s="3" t="s">
        <v>116</v>
      </c>
      <c r="C1521" s="4" t="s">
        <v>117</v>
      </c>
      <c r="D1521" s="4" t="s">
        <v>314</v>
      </c>
      <c r="E1521" s="4" t="s">
        <v>296</v>
      </c>
      <c r="F1521" t="s">
        <v>213</v>
      </c>
      <c r="G1521" t="s">
        <v>221</v>
      </c>
      <c r="H1521">
        <f>VLOOKUP(C1521,'TB Apr 24'!$B$13:$AC$103,28,0)</f>
        <v>0</v>
      </c>
    </row>
    <row r="1522" spans="1:8" x14ac:dyDescent="0.35">
      <c r="A1522" s="77">
        <v>45383</v>
      </c>
      <c r="B1522" s="3" t="s">
        <v>118</v>
      </c>
      <c r="C1522" s="4" t="s">
        <v>119</v>
      </c>
      <c r="D1522" s="4" t="s">
        <v>314</v>
      </c>
      <c r="E1522" s="4" t="s">
        <v>296</v>
      </c>
      <c r="F1522" t="s">
        <v>213</v>
      </c>
      <c r="G1522" t="s">
        <v>221</v>
      </c>
      <c r="H1522">
        <f>VLOOKUP(C1522,'TB Apr 24'!$B$13:$AC$103,28,0)</f>
        <v>2200</v>
      </c>
    </row>
    <row r="1523" spans="1:8" x14ac:dyDescent="0.35">
      <c r="A1523" s="77">
        <v>45383</v>
      </c>
      <c r="B1523" s="3" t="s">
        <v>120</v>
      </c>
      <c r="C1523" s="4" t="s">
        <v>121</v>
      </c>
      <c r="D1523" s="4" t="s">
        <v>314</v>
      </c>
      <c r="E1523" s="4" t="s">
        <v>322</v>
      </c>
      <c r="F1523" t="s">
        <v>213</v>
      </c>
      <c r="G1523" t="s">
        <v>221</v>
      </c>
      <c r="H1523">
        <f>VLOOKUP(C1523,'TB Apr 24'!$B$13:$AC$103,28,0)</f>
        <v>822</v>
      </c>
    </row>
    <row r="1524" spans="1:8" x14ac:dyDescent="0.35">
      <c r="A1524" s="77">
        <v>45383</v>
      </c>
      <c r="B1524" s="3" t="s">
        <v>122</v>
      </c>
      <c r="C1524" s="4" t="s">
        <v>123</v>
      </c>
      <c r="D1524" s="4" t="s">
        <v>314</v>
      </c>
      <c r="E1524" s="4" t="s">
        <v>322</v>
      </c>
      <c r="F1524" t="s">
        <v>213</v>
      </c>
      <c r="G1524" t="s">
        <v>221</v>
      </c>
      <c r="H1524">
        <f>VLOOKUP(C1524,'TB Apr 24'!$B$13:$AC$103,28,0)</f>
        <v>0</v>
      </c>
    </row>
    <row r="1525" spans="1:8" x14ac:dyDescent="0.35">
      <c r="A1525" s="77">
        <v>45383</v>
      </c>
      <c r="B1525" s="3" t="s">
        <v>124</v>
      </c>
      <c r="C1525" s="4" t="s">
        <v>125</v>
      </c>
      <c r="D1525" s="4" t="s">
        <v>314</v>
      </c>
      <c r="E1525" s="4" t="s">
        <v>322</v>
      </c>
      <c r="F1525" t="s">
        <v>213</v>
      </c>
      <c r="G1525" t="s">
        <v>221</v>
      </c>
      <c r="H1525">
        <f>VLOOKUP(C1525,'TB Apr 24'!$B$13:$AC$103,28,0)</f>
        <v>0</v>
      </c>
    </row>
    <row r="1526" spans="1:8" x14ac:dyDescent="0.35">
      <c r="A1526" s="77">
        <v>45383</v>
      </c>
      <c r="B1526" s="3" t="s">
        <v>126</v>
      </c>
      <c r="C1526" s="4" t="s">
        <v>127</v>
      </c>
      <c r="D1526" s="4" t="s">
        <v>314</v>
      </c>
      <c r="E1526" s="4" t="s">
        <v>291</v>
      </c>
      <c r="F1526" t="s">
        <v>213</v>
      </c>
      <c r="G1526" t="s">
        <v>221</v>
      </c>
      <c r="H1526">
        <f>VLOOKUP(C1526,'TB Apr 24'!$B$13:$AC$103,28,0)</f>
        <v>0</v>
      </c>
    </row>
    <row r="1527" spans="1:8" x14ac:dyDescent="0.35">
      <c r="A1527" s="77">
        <v>45383</v>
      </c>
      <c r="B1527" s="3" t="s">
        <v>128</v>
      </c>
      <c r="C1527" s="4" t="s">
        <v>129</v>
      </c>
      <c r="D1527" s="4" t="s">
        <v>314</v>
      </c>
      <c r="E1527" s="4" t="s">
        <v>322</v>
      </c>
      <c r="F1527" t="s">
        <v>213</v>
      </c>
      <c r="G1527" t="s">
        <v>221</v>
      </c>
      <c r="H1527">
        <f>VLOOKUP(C1527,'TB Apr 24'!$B$13:$AC$103,28,0)</f>
        <v>14681.875</v>
      </c>
    </row>
    <row r="1528" spans="1:8" x14ac:dyDescent="0.35">
      <c r="A1528" s="77">
        <v>45383</v>
      </c>
      <c r="B1528" s="3" t="s">
        <v>130</v>
      </c>
      <c r="C1528" s="4" t="s">
        <v>131</v>
      </c>
      <c r="D1528" s="4" t="s">
        <v>314</v>
      </c>
      <c r="E1528" s="4" t="s">
        <v>322</v>
      </c>
      <c r="F1528" t="s">
        <v>213</v>
      </c>
      <c r="G1528" t="s">
        <v>221</v>
      </c>
      <c r="H1528">
        <f>VLOOKUP(C1528,'TB Apr 24'!$B$13:$AC$103,28,0)</f>
        <v>350</v>
      </c>
    </row>
    <row r="1529" spans="1:8" x14ac:dyDescent="0.35">
      <c r="A1529" s="77">
        <v>45383</v>
      </c>
      <c r="B1529" s="3" t="s">
        <v>132</v>
      </c>
      <c r="C1529" s="4" t="s">
        <v>133</v>
      </c>
      <c r="D1529" s="4" t="s">
        <v>314</v>
      </c>
      <c r="E1529" s="4" t="s">
        <v>320</v>
      </c>
      <c r="F1529" t="s">
        <v>213</v>
      </c>
      <c r="G1529" t="s">
        <v>221</v>
      </c>
      <c r="H1529">
        <f>VLOOKUP(C1529,'TB Apr 24'!$B$13:$AC$103,28,0)</f>
        <v>25871</v>
      </c>
    </row>
    <row r="1530" spans="1:8" x14ac:dyDescent="0.35">
      <c r="A1530" s="77">
        <v>45383</v>
      </c>
      <c r="B1530" s="3" t="s">
        <v>134</v>
      </c>
      <c r="C1530" s="4" t="s">
        <v>135</v>
      </c>
      <c r="D1530" s="4" t="s">
        <v>314</v>
      </c>
      <c r="E1530" s="4" t="s">
        <v>299</v>
      </c>
      <c r="F1530" t="s">
        <v>213</v>
      </c>
      <c r="G1530" t="s">
        <v>221</v>
      </c>
      <c r="H1530">
        <f>VLOOKUP(C1530,'TB Apr 24'!$B$13:$AC$103,28,0)</f>
        <v>0</v>
      </c>
    </row>
    <row r="1531" spans="1:8" x14ac:dyDescent="0.35">
      <c r="A1531" s="77">
        <v>45383</v>
      </c>
      <c r="B1531" s="3" t="s">
        <v>136</v>
      </c>
      <c r="C1531" s="4" t="s">
        <v>137</v>
      </c>
      <c r="D1531" s="4" t="s">
        <v>314</v>
      </c>
      <c r="E1531" s="4" t="s">
        <v>322</v>
      </c>
      <c r="F1531" t="s">
        <v>213</v>
      </c>
      <c r="G1531" t="s">
        <v>221</v>
      </c>
      <c r="H1531">
        <f>VLOOKUP(C1531,'TB Apr 24'!$B$13:$AC$103,28,0)</f>
        <v>0</v>
      </c>
    </row>
    <row r="1532" spans="1:8" x14ac:dyDescent="0.35">
      <c r="A1532" s="77">
        <v>45383</v>
      </c>
      <c r="B1532" s="3" t="s">
        <v>138</v>
      </c>
      <c r="C1532" s="4" t="s">
        <v>139</v>
      </c>
      <c r="D1532" s="4" t="s">
        <v>314</v>
      </c>
      <c r="E1532" s="4" t="s">
        <v>294</v>
      </c>
      <c r="F1532" t="s">
        <v>213</v>
      </c>
      <c r="G1532" t="s">
        <v>221</v>
      </c>
      <c r="H1532">
        <f>VLOOKUP(C1532,'TB Apr 24'!$B$13:$AC$103,28,0)</f>
        <v>1023</v>
      </c>
    </row>
    <row r="1533" spans="1:8" x14ac:dyDescent="0.35">
      <c r="A1533" s="77">
        <v>45383</v>
      </c>
      <c r="B1533" s="3" t="s">
        <v>140</v>
      </c>
      <c r="C1533" s="4" t="s">
        <v>141</v>
      </c>
      <c r="D1533" s="4" t="s">
        <v>314</v>
      </c>
      <c r="E1533" s="4" t="s">
        <v>268</v>
      </c>
      <c r="F1533" t="s">
        <v>213</v>
      </c>
      <c r="G1533" t="s">
        <v>221</v>
      </c>
      <c r="H1533">
        <f>VLOOKUP(C1533,'TB Apr 24'!$B$13:$AC$103,28,0)</f>
        <v>314534.04839999997</v>
      </c>
    </row>
    <row r="1534" spans="1:8" x14ac:dyDescent="0.35">
      <c r="A1534" s="77">
        <v>45383</v>
      </c>
      <c r="B1534" s="3" t="s">
        <v>142</v>
      </c>
      <c r="C1534" s="4" t="s">
        <v>143</v>
      </c>
      <c r="D1534" s="4" t="s">
        <v>314</v>
      </c>
      <c r="E1534" s="4" t="s">
        <v>269</v>
      </c>
      <c r="F1534" t="s">
        <v>213</v>
      </c>
      <c r="G1534" t="s">
        <v>221</v>
      </c>
      <c r="H1534">
        <f>VLOOKUP(C1534,'TB Apr 24'!$B$13:$AC$103,28,0)</f>
        <v>112062.10092261345</v>
      </c>
    </row>
    <row r="1535" spans="1:8" x14ac:dyDescent="0.35">
      <c r="A1535" s="77">
        <v>45383</v>
      </c>
      <c r="B1535" s="3" t="s">
        <v>144</v>
      </c>
      <c r="C1535" s="4" t="s">
        <v>145</v>
      </c>
      <c r="D1535" s="4" t="s">
        <v>314</v>
      </c>
      <c r="E1535" s="4" t="s">
        <v>288</v>
      </c>
      <c r="F1535" t="s">
        <v>213</v>
      </c>
      <c r="G1535" t="s">
        <v>221</v>
      </c>
      <c r="H1535">
        <f>VLOOKUP(C1535,'TB Apr 24'!$B$13:$AC$103,28,0)</f>
        <v>72840.53944643194</v>
      </c>
    </row>
    <row r="1536" spans="1:8" x14ac:dyDescent="0.35">
      <c r="A1536" s="77">
        <v>45383</v>
      </c>
      <c r="B1536" s="3" t="s">
        <v>146</v>
      </c>
      <c r="C1536" s="4" t="s">
        <v>147</v>
      </c>
      <c r="D1536" s="4" t="s">
        <v>314</v>
      </c>
      <c r="E1536" s="4" t="s">
        <v>288</v>
      </c>
      <c r="F1536" t="s">
        <v>213</v>
      </c>
      <c r="G1536" t="s">
        <v>221</v>
      </c>
      <c r="H1536">
        <f>VLOOKUP(C1536,'TB Apr 24'!$B$13:$AC$103,28,0)</f>
        <v>33967.70623862424</v>
      </c>
    </row>
    <row r="1537" spans="1:8" x14ac:dyDescent="0.35">
      <c r="A1537" s="77">
        <v>45383</v>
      </c>
      <c r="B1537" s="3" t="s">
        <v>148</v>
      </c>
      <c r="C1537" s="4" t="s">
        <v>149</v>
      </c>
      <c r="D1537" s="4" t="s">
        <v>314</v>
      </c>
      <c r="E1537" s="4" t="s">
        <v>287</v>
      </c>
      <c r="F1537" t="s">
        <v>213</v>
      </c>
      <c r="G1537" t="s">
        <v>221</v>
      </c>
      <c r="H1537">
        <f>VLOOKUP(C1537,'TB Apr 24'!$B$13:$AC$103,28,0)</f>
        <v>115178.67614385238</v>
      </c>
    </row>
    <row r="1538" spans="1:8" x14ac:dyDescent="0.35">
      <c r="A1538" s="77">
        <v>45383</v>
      </c>
      <c r="B1538" s="3" t="s">
        <v>150</v>
      </c>
      <c r="C1538" s="4" t="s">
        <v>87</v>
      </c>
      <c r="D1538" s="4" t="s">
        <v>314</v>
      </c>
      <c r="E1538" s="4" t="s">
        <v>288</v>
      </c>
      <c r="F1538" t="s">
        <v>213</v>
      </c>
      <c r="G1538" t="s">
        <v>221</v>
      </c>
      <c r="H1538">
        <f>VLOOKUP(C1538,'TB Apr 24'!$B$13:$AC$103,28,0)</f>
        <v>54665.360195820002</v>
      </c>
    </row>
    <row r="1539" spans="1:8" x14ac:dyDescent="0.35">
      <c r="A1539" s="77">
        <v>45383</v>
      </c>
      <c r="B1539" s="3" t="s">
        <v>151</v>
      </c>
      <c r="C1539" s="4" t="s">
        <v>152</v>
      </c>
      <c r="D1539" s="4" t="s">
        <v>314</v>
      </c>
      <c r="E1539" s="4" t="s">
        <v>288</v>
      </c>
      <c r="F1539" t="s">
        <v>213</v>
      </c>
      <c r="G1539" t="s">
        <v>221</v>
      </c>
      <c r="H1539">
        <f>VLOOKUP(C1539,'TB Apr 24'!$B$13:$AC$103,28,0)</f>
        <v>12240.300131801921</v>
      </c>
    </row>
    <row r="1540" spans="1:8" x14ac:dyDescent="0.35">
      <c r="A1540" s="77">
        <v>45383</v>
      </c>
      <c r="B1540" s="3" t="s">
        <v>153</v>
      </c>
      <c r="C1540" s="4" t="s">
        <v>154</v>
      </c>
      <c r="D1540" s="4" t="s">
        <v>314</v>
      </c>
      <c r="E1540" s="4" t="s">
        <v>288</v>
      </c>
      <c r="F1540" t="s">
        <v>213</v>
      </c>
      <c r="G1540" t="s">
        <v>221</v>
      </c>
      <c r="H1540">
        <f>VLOOKUP(C1540,'TB Apr 24'!$B$13:$AC$103,28,0)</f>
        <v>9302.5386932781021</v>
      </c>
    </row>
    <row r="1541" spans="1:8" x14ac:dyDescent="0.35">
      <c r="A1541" s="77">
        <v>45383</v>
      </c>
      <c r="B1541" s="3" t="s">
        <v>155</v>
      </c>
      <c r="C1541" s="4" t="s">
        <v>156</v>
      </c>
      <c r="D1541" s="4" t="s">
        <v>314</v>
      </c>
      <c r="E1541" s="4" t="s">
        <v>288</v>
      </c>
      <c r="F1541" t="s">
        <v>213</v>
      </c>
      <c r="G1541" t="s">
        <v>221</v>
      </c>
      <c r="H1541">
        <f>VLOOKUP(C1541,'TB Apr 24'!$B$13:$AC$103,28,0)</f>
        <v>0</v>
      </c>
    </row>
    <row r="1542" spans="1:8" x14ac:dyDescent="0.35">
      <c r="A1542" s="77">
        <v>45383</v>
      </c>
      <c r="B1542" s="3" t="s">
        <v>157</v>
      </c>
      <c r="C1542" s="4" t="s">
        <v>158</v>
      </c>
      <c r="D1542" s="4" t="s">
        <v>314</v>
      </c>
      <c r="E1542" s="4" t="s">
        <v>292</v>
      </c>
      <c r="F1542" t="s">
        <v>213</v>
      </c>
      <c r="G1542" t="s">
        <v>221</v>
      </c>
      <c r="H1542">
        <f>VLOOKUP(C1542,'TB Apr 24'!$B$13:$AC$103,28,0)</f>
        <v>35000</v>
      </c>
    </row>
    <row r="1543" spans="1:8" x14ac:dyDescent="0.35">
      <c r="A1543" s="77">
        <v>45383</v>
      </c>
      <c r="B1543" s="3" t="s">
        <v>159</v>
      </c>
      <c r="C1543" s="4" t="s">
        <v>160</v>
      </c>
      <c r="D1543" s="4" t="s">
        <v>314</v>
      </c>
      <c r="E1543" s="4" t="s">
        <v>323</v>
      </c>
      <c r="F1543" t="s">
        <v>213</v>
      </c>
      <c r="G1543" t="s">
        <v>221</v>
      </c>
      <c r="H1543">
        <f>VLOOKUP(C1543,'TB Apr 24'!$B$13:$AC$103,28,0)</f>
        <v>1400</v>
      </c>
    </row>
    <row r="1544" spans="1:8" x14ac:dyDescent="0.35">
      <c r="A1544" s="77">
        <v>45383</v>
      </c>
      <c r="B1544" s="3" t="s">
        <v>161</v>
      </c>
      <c r="C1544" s="4" t="s">
        <v>162</v>
      </c>
      <c r="D1544" s="4" t="s">
        <v>314</v>
      </c>
      <c r="E1544" s="4" t="s">
        <v>323</v>
      </c>
      <c r="F1544" t="s">
        <v>213</v>
      </c>
      <c r="G1544" t="s">
        <v>221</v>
      </c>
      <c r="H1544">
        <f>VLOOKUP(C1544,'TB Apr 24'!$B$13:$AC$103,28,0)</f>
        <v>195</v>
      </c>
    </row>
    <row r="1545" spans="1:8" x14ac:dyDescent="0.35">
      <c r="A1545" s="77">
        <v>45383</v>
      </c>
      <c r="B1545" s="3" t="s">
        <v>163</v>
      </c>
      <c r="C1545" s="4" t="s">
        <v>164</v>
      </c>
      <c r="D1545" s="4" t="s">
        <v>314</v>
      </c>
      <c r="E1545" s="4" t="s">
        <v>319</v>
      </c>
      <c r="F1545" t="s">
        <v>213</v>
      </c>
      <c r="G1545" t="s">
        <v>221</v>
      </c>
      <c r="H1545">
        <f>VLOOKUP(C1545,'TB Apr 24'!$B$13:$AC$103,28,0)</f>
        <v>0</v>
      </c>
    </row>
    <row r="1546" spans="1:8" x14ac:dyDescent="0.35">
      <c r="A1546" s="77">
        <v>45383</v>
      </c>
      <c r="B1546" s="3" t="s">
        <v>165</v>
      </c>
      <c r="C1546" s="4" t="s">
        <v>166</v>
      </c>
      <c r="D1546" s="4" t="s">
        <v>314</v>
      </c>
      <c r="E1546" s="4" t="s">
        <v>304</v>
      </c>
      <c r="F1546" t="s">
        <v>213</v>
      </c>
      <c r="G1546" t="s">
        <v>221</v>
      </c>
      <c r="H1546">
        <f>VLOOKUP(C1546,'TB Apr 24'!$B$13:$AC$103,28,0)</f>
        <v>3130</v>
      </c>
    </row>
    <row r="1547" spans="1:8" x14ac:dyDescent="0.35">
      <c r="A1547" s="77">
        <v>45383</v>
      </c>
      <c r="B1547" s="3" t="s">
        <v>167</v>
      </c>
      <c r="C1547" s="4" t="s">
        <v>168</v>
      </c>
      <c r="D1547" s="4" t="s">
        <v>314</v>
      </c>
      <c r="E1547" s="4" t="s">
        <v>322</v>
      </c>
      <c r="F1547" t="s">
        <v>213</v>
      </c>
      <c r="G1547" t="s">
        <v>221</v>
      </c>
      <c r="H1547">
        <f>VLOOKUP(C1547,'TB Apr 24'!$B$13:$AC$103,28,0)</f>
        <v>6488</v>
      </c>
    </row>
    <row r="1548" spans="1:8" x14ac:dyDescent="0.35">
      <c r="A1548" s="77">
        <v>45383</v>
      </c>
      <c r="B1548" s="3" t="s">
        <v>169</v>
      </c>
      <c r="C1548" s="4" t="s">
        <v>170</v>
      </c>
      <c r="D1548" s="4" t="s">
        <v>314</v>
      </c>
      <c r="E1548" s="4" t="s">
        <v>304</v>
      </c>
      <c r="F1548" t="s">
        <v>213</v>
      </c>
      <c r="G1548" t="s">
        <v>221</v>
      </c>
      <c r="H1548">
        <f>VLOOKUP(C1548,'TB Apr 24'!$B$13:$AC$103,28,0)</f>
        <v>7520</v>
      </c>
    </row>
    <row r="1549" spans="1:8" x14ac:dyDescent="0.35">
      <c r="A1549" s="77">
        <v>45383</v>
      </c>
      <c r="B1549" s="3" t="s">
        <v>171</v>
      </c>
      <c r="C1549" s="4" t="s">
        <v>172</v>
      </c>
      <c r="D1549" s="4" t="s">
        <v>314</v>
      </c>
      <c r="E1549" s="4" t="s">
        <v>303</v>
      </c>
      <c r="F1549" t="s">
        <v>213</v>
      </c>
      <c r="G1549" t="s">
        <v>221</v>
      </c>
      <c r="H1549">
        <f>VLOOKUP(C1549,'TB Apr 24'!$B$13:$AC$103,28,0)</f>
        <v>0</v>
      </c>
    </row>
    <row r="1550" spans="1:8" x14ac:dyDescent="0.35">
      <c r="A1550" s="77">
        <v>45383</v>
      </c>
      <c r="B1550" s="3" t="s">
        <v>173</v>
      </c>
      <c r="C1550" s="4" t="s">
        <v>174</v>
      </c>
      <c r="D1550" s="4" t="s">
        <v>314</v>
      </c>
      <c r="E1550" s="4" t="s">
        <v>257</v>
      </c>
      <c r="F1550" t="s">
        <v>213</v>
      </c>
      <c r="G1550" t="s">
        <v>221</v>
      </c>
      <c r="H1550">
        <f>VLOOKUP(C1550,'TB Apr 24'!$B$13:$AC$103,28,0)</f>
        <v>0</v>
      </c>
    </row>
    <row r="1551" spans="1:8" x14ac:dyDescent="0.35">
      <c r="A1551" s="77">
        <v>45383</v>
      </c>
      <c r="B1551" s="3" t="s">
        <v>175</v>
      </c>
      <c r="C1551" s="4" t="s">
        <v>176</v>
      </c>
      <c r="D1551" s="4" t="s">
        <v>314</v>
      </c>
      <c r="E1551" s="4" t="s">
        <v>257</v>
      </c>
      <c r="F1551" t="s">
        <v>213</v>
      </c>
      <c r="G1551" t="s">
        <v>221</v>
      </c>
      <c r="H1551">
        <f>VLOOKUP(C1551,'TB Apr 24'!$B$13:$AC$103,28,0)</f>
        <v>0</v>
      </c>
    </row>
    <row r="1552" spans="1:8" x14ac:dyDescent="0.35">
      <c r="A1552" s="77">
        <v>45383</v>
      </c>
      <c r="B1552" s="3" t="s">
        <v>177</v>
      </c>
      <c r="C1552" s="4" t="s">
        <v>178</v>
      </c>
      <c r="D1552" s="4" t="s">
        <v>314</v>
      </c>
      <c r="E1552" s="4" t="s">
        <v>257</v>
      </c>
      <c r="F1552" t="s">
        <v>213</v>
      </c>
      <c r="G1552" t="s">
        <v>221</v>
      </c>
      <c r="H1552">
        <f>VLOOKUP(C1552,'TB Apr 24'!$B$13:$AC$103,28,0)</f>
        <v>0</v>
      </c>
    </row>
    <row r="1553" spans="1:8" x14ac:dyDescent="0.35">
      <c r="A1553" s="77">
        <v>45383</v>
      </c>
      <c r="B1553" s="3" t="s">
        <v>179</v>
      </c>
      <c r="C1553" s="4" t="s">
        <v>180</v>
      </c>
      <c r="D1553" s="4" t="s">
        <v>314</v>
      </c>
      <c r="E1553" s="4" t="s">
        <v>322</v>
      </c>
      <c r="F1553" t="s">
        <v>213</v>
      </c>
      <c r="G1553" t="s">
        <v>221</v>
      </c>
      <c r="H1553">
        <f>VLOOKUP(C1553,'TB Apr 24'!$B$13:$AC$103,28,0)</f>
        <v>0</v>
      </c>
    </row>
    <row r="1554" spans="1:8" x14ac:dyDescent="0.35">
      <c r="A1554" s="77">
        <v>45383</v>
      </c>
      <c r="B1554" s="3" t="s">
        <v>181</v>
      </c>
      <c r="C1554" s="4" t="s">
        <v>182</v>
      </c>
      <c r="D1554" s="4" t="s">
        <v>314</v>
      </c>
      <c r="E1554" s="4" t="s">
        <v>290</v>
      </c>
      <c r="F1554" t="s">
        <v>213</v>
      </c>
      <c r="G1554" t="s">
        <v>221</v>
      </c>
      <c r="H1554">
        <f>VLOOKUP(C1554,'TB Apr 24'!$B$13:$AC$103,28,0)</f>
        <v>0</v>
      </c>
    </row>
    <row r="1555" spans="1:8" x14ac:dyDescent="0.35">
      <c r="A1555" s="77">
        <v>45383</v>
      </c>
      <c r="B1555" s="3" t="s">
        <v>183</v>
      </c>
      <c r="C1555" s="4" t="s">
        <v>184</v>
      </c>
      <c r="D1555" s="4" t="s">
        <v>314</v>
      </c>
      <c r="E1555" s="4" t="s">
        <v>290</v>
      </c>
      <c r="F1555" t="s">
        <v>213</v>
      </c>
      <c r="G1555" t="s">
        <v>221</v>
      </c>
      <c r="H1555">
        <f>VLOOKUP(C1555,'TB Apr 24'!$B$13:$AC$103,28,0)</f>
        <v>0</v>
      </c>
    </row>
    <row r="1556" spans="1:8" x14ac:dyDescent="0.35">
      <c r="A1556" s="77">
        <v>45383</v>
      </c>
      <c r="B1556" s="3" t="s">
        <v>185</v>
      </c>
      <c r="C1556" s="4" t="s">
        <v>186</v>
      </c>
      <c r="D1556" s="4" t="s">
        <v>314</v>
      </c>
      <c r="E1556" s="4" t="s">
        <v>290</v>
      </c>
      <c r="F1556" t="s">
        <v>213</v>
      </c>
      <c r="G1556" t="s">
        <v>221</v>
      </c>
      <c r="H1556">
        <f>VLOOKUP(C1556,'TB Apr 24'!$B$13:$AC$103,28,0)</f>
        <v>2500</v>
      </c>
    </row>
    <row r="1557" spans="1:8" x14ac:dyDescent="0.35">
      <c r="A1557" s="77">
        <v>45383</v>
      </c>
      <c r="B1557" s="3" t="s">
        <v>187</v>
      </c>
      <c r="C1557" s="4" t="s">
        <v>188</v>
      </c>
      <c r="D1557" s="4" t="s">
        <v>314</v>
      </c>
      <c r="E1557" s="4" t="s">
        <v>291</v>
      </c>
      <c r="F1557" t="s">
        <v>213</v>
      </c>
      <c r="G1557" t="s">
        <v>221</v>
      </c>
      <c r="H1557">
        <f>VLOOKUP(C1557,'TB Apr 24'!$B$13:$AC$103,28,0)</f>
        <v>68047</v>
      </c>
    </row>
    <row r="1558" spans="1:8" x14ac:dyDescent="0.35">
      <c r="A1558" s="77">
        <v>45383</v>
      </c>
      <c r="B1558" s="3" t="s">
        <v>189</v>
      </c>
      <c r="C1558" s="4" t="s">
        <v>190</v>
      </c>
      <c r="D1558" s="4" t="s">
        <v>314</v>
      </c>
      <c r="E1558" s="4" t="s">
        <v>254</v>
      </c>
      <c r="F1558" t="s">
        <v>213</v>
      </c>
      <c r="G1558" t="s">
        <v>221</v>
      </c>
      <c r="H1558">
        <f>VLOOKUP(C1558,'TB Apr 24'!$B$13:$AC$103,28,0)</f>
        <v>0</v>
      </c>
    </row>
    <row r="1559" spans="1:8" x14ac:dyDescent="0.35">
      <c r="A1559" s="77">
        <v>45383</v>
      </c>
      <c r="B1559" s="3" t="s">
        <v>191</v>
      </c>
      <c r="C1559" s="4" t="s">
        <v>192</v>
      </c>
      <c r="D1559" s="4" t="s">
        <v>314</v>
      </c>
      <c r="E1559" s="4" t="s">
        <v>254</v>
      </c>
      <c r="F1559" t="s">
        <v>213</v>
      </c>
      <c r="G1559" t="s">
        <v>221</v>
      </c>
      <c r="H1559">
        <f>VLOOKUP(C1559,'TB Apr 24'!$B$13:$AC$103,28,0)</f>
        <v>0</v>
      </c>
    </row>
    <row r="1560" spans="1:8" x14ac:dyDescent="0.35">
      <c r="A1560" s="77">
        <v>45383</v>
      </c>
      <c r="B1560" s="3" t="s">
        <v>193</v>
      </c>
      <c r="C1560" s="4" t="s">
        <v>194</v>
      </c>
      <c r="D1560" s="4" t="s">
        <v>314</v>
      </c>
      <c r="E1560" s="4" t="s">
        <v>254</v>
      </c>
      <c r="F1560" t="s">
        <v>213</v>
      </c>
      <c r="G1560" t="s">
        <v>221</v>
      </c>
      <c r="H1560">
        <f>VLOOKUP(C1560,'TB Apr 24'!$B$13:$AC$103,28,0)</f>
        <v>736269.55999999994</v>
      </c>
    </row>
    <row r="1561" spans="1:8" x14ac:dyDescent="0.35">
      <c r="A1561" s="77">
        <v>45383</v>
      </c>
      <c r="B1561" s="3" t="s">
        <v>195</v>
      </c>
      <c r="C1561" s="4" t="s">
        <v>196</v>
      </c>
      <c r="D1561" s="4" t="s">
        <v>314</v>
      </c>
      <c r="E1561" s="4" t="s">
        <v>255</v>
      </c>
      <c r="F1561" t="s">
        <v>213</v>
      </c>
      <c r="G1561" t="s">
        <v>221</v>
      </c>
      <c r="H1561">
        <f>VLOOKUP(C1561,'TB Apr 24'!$B$13:$AC$103,28,0)</f>
        <v>0</v>
      </c>
    </row>
    <row r="1562" spans="1:8" x14ac:dyDescent="0.35">
      <c r="A1562" s="77">
        <v>45383</v>
      </c>
      <c r="B1562" s="3" t="s">
        <v>197</v>
      </c>
      <c r="C1562" s="4" t="s">
        <v>198</v>
      </c>
      <c r="D1562" s="4" t="s">
        <v>314</v>
      </c>
      <c r="E1562" s="4" t="s">
        <v>255</v>
      </c>
      <c r="F1562" t="s">
        <v>213</v>
      </c>
      <c r="G1562" t="s">
        <v>221</v>
      </c>
      <c r="H1562">
        <f>VLOOKUP(C1562,'TB Apr 24'!$B$13:$AC$103,28,0)</f>
        <v>0</v>
      </c>
    </row>
    <row r="1563" spans="1:8" x14ac:dyDescent="0.35">
      <c r="A1563" s="77">
        <v>45383</v>
      </c>
      <c r="B1563" s="3" t="s">
        <v>199</v>
      </c>
      <c r="C1563" s="4" t="s">
        <v>200</v>
      </c>
      <c r="D1563" s="4" t="s">
        <v>314</v>
      </c>
      <c r="E1563" s="4" t="s">
        <v>254</v>
      </c>
      <c r="F1563" t="s">
        <v>213</v>
      </c>
      <c r="G1563" t="s">
        <v>221</v>
      </c>
      <c r="H1563">
        <f>VLOOKUP(C1563,'TB Apr 24'!$B$13:$AC$103,28,0)</f>
        <v>0</v>
      </c>
    </row>
    <row r="1564" spans="1:8" x14ac:dyDescent="0.35">
      <c r="A1564" s="77">
        <v>45383</v>
      </c>
      <c r="B1564" s="3" t="s">
        <v>201</v>
      </c>
      <c r="C1564" s="4" t="s">
        <v>202</v>
      </c>
      <c r="D1564" s="4" t="s">
        <v>314</v>
      </c>
      <c r="E1564" s="4" t="s">
        <v>254</v>
      </c>
      <c r="F1564" t="s">
        <v>213</v>
      </c>
      <c r="G1564" t="s">
        <v>221</v>
      </c>
      <c r="H1564">
        <f>VLOOKUP(C1564,'TB Apr 24'!$B$13:$AC$103,28,0)</f>
        <v>0</v>
      </c>
    </row>
    <row r="1565" spans="1:8" x14ac:dyDescent="0.35">
      <c r="A1565" s="77">
        <v>45383</v>
      </c>
      <c r="B1565" s="3" t="s">
        <v>203</v>
      </c>
      <c r="C1565" s="4" t="s">
        <v>204</v>
      </c>
      <c r="D1565" s="4" t="s">
        <v>314</v>
      </c>
      <c r="E1565" s="4" t="s">
        <v>256</v>
      </c>
      <c r="F1565" t="s">
        <v>213</v>
      </c>
      <c r="G1565" t="s">
        <v>221</v>
      </c>
      <c r="H1565">
        <f>VLOOKUP(C1565,'TB Apr 24'!$B$13:$AC$103,28,0)</f>
        <v>259713.79324991349</v>
      </c>
    </row>
    <row r="1566" spans="1:8" x14ac:dyDescent="0.35">
      <c r="A1566" s="77">
        <v>45383</v>
      </c>
      <c r="B1566" s="3" t="s">
        <v>205</v>
      </c>
      <c r="C1566" s="6" t="s">
        <v>206</v>
      </c>
      <c r="D1566" s="4" t="s">
        <v>314</v>
      </c>
      <c r="E1566" s="6" t="s">
        <v>322</v>
      </c>
      <c r="F1566" s="79" t="s">
        <v>213</v>
      </c>
      <c r="G1566" s="79" t="s">
        <v>221</v>
      </c>
      <c r="H1566" s="79">
        <f>VLOOKUP(C1566,'TB Apr 24'!$B$13:$AC$103,28,0)</f>
        <v>0</v>
      </c>
    </row>
    <row r="1567" spans="1:8" x14ac:dyDescent="0.35">
      <c r="A1567" s="77">
        <v>45383</v>
      </c>
      <c r="B1567" s="3" t="s">
        <v>57</v>
      </c>
      <c r="C1567" s="4" t="s">
        <v>58</v>
      </c>
      <c r="D1567" s="4" t="s">
        <v>314</v>
      </c>
      <c r="E1567" s="4" t="s">
        <v>253</v>
      </c>
      <c r="F1567" t="s">
        <v>213</v>
      </c>
      <c r="G1567" t="s">
        <v>225</v>
      </c>
      <c r="H1567">
        <f>VLOOKUP(C1567,'TB Apr 24'!$B$13:$AD$103,29,0)</f>
        <v>0</v>
      </c>
    </row>
    <row r="1568" spans="1:8" x14ac:dyDescent="0.35">
      <c r="A1568" s="77">
        <v>45383</v>
      </c>
      <c r="B1568" s="3" t="s">
        <v>307</v>
      </c>
      <c r="C1568" s="4" t="s">
        <v>308</v>
      </c>
      <c r="D1568" s="4" t="s">
        <v>314</v>
      </c>
      <c r="E1568" s="4" t="s">
        <v>253</v>
      </c>
      <c r="F1568" t="s">
        <v>213</v>
      </c>
      <c r="G1568" t="s">
        <v>225</v>
      </c>
      <c r="H1568">
        <f>VLOOKUP(C1568,'TB Apr 24'!$B$13:$AD$103,29,0)</f>
        <v>0</v>
      </c>
    </row>
    <row r="1569" spans="1:8" x14ac:dyDescent="0.35">
      <c r="A1569" s="77">
        <v>45383</v>
      </c>
      <c r="B1569" s="3" t="s">
        <v>59</v>
      </c>
      <c r="C1569" s="4" t="s">
        <v>60</v>
      </c>
      <c r="D1569" s="4" t="s">
        <v>314</v>
      </c>
      <c r="E1569" s="4" t="s">
        <v>253</v>
      </c>
      <c r="F1569" t="s">
        <v>213</v>
      </c>
      <c r="G1569" t="s">
        <v>225</v>
      </c>
      <c r="H1569">
        <f>VLOOKUP(C1569,'TB Apr 24'!$B$13:$AD$103,29,0)</f>
        <v>-57.44</v>
      </c>
    </row>
    <row r="1570" spans="1:8" x14ac:dyDescent="0.35">
      <c r="A1570" s="77">
        <v>45383</v>
      </c>
      <c r="B1570" s="3" t="s">
        <v>61</v>
      </c>
      <c r="C1570" s="4" t="s">
        <v>62</v>
      </c>
      <c r="D1570" s="4" t="s">
        <v>314</v>
      </c>
      <c r="E1570" s="4" t="s">
        <v>66</v>
      </c>
      <c r="F1570" t="s">
        <v>213</v>
      </c>
      <c r="G1570" t="s">
        <v>225</v>
      </c>
      <c r="H1570">
        <f>VLOOKUP(C1570,'TB Apr 24'!$B$13:$AD$103,29,0)</f>
        <v>-370749.76</v>
      </c>
    </row>
    <row r="1571" spans="1:8" x14ac:dyDescent="0.35">
      <c r="A1571" s="77">
        <v>45383</v>
      </c>
      <c r="B1571" s="3" t="s">
        <v>63</v>
      </c>
      <c r="C1571" s="4" t="s">
        <v>64</v>
      </c>
      <c r="D1571" s="4" t="s">
        <v>314</v>
      </c>
      <c r="E1571" s="4" t="s">
        <v>252</v>
      </c>
      <c r="F1571" t="s">
        <v>213</v>
      </c>
      <c r="G1571" t="s">
        <v>225</v>
      </c>
      <c r="H1571">
        <f>VLOOKUP(C1571,'TB Apr 24'!$B$13:$AD$103,29,0)</f>
        <v>0</v>
      </c>
    </row>
    <row r="1572" spans="1:8" x14ac:dyDescent="0.35">
      <c r="A1572" s="77">
        <v>45383</v>
      </c>
      <c r="B1572" s="3" t="s">
        <v>65</v>
      </c>
      <c r="C1572" s="4" t="s">
        <v>66</v>
      </c>
      <c r="D1572" s="4" t="s">
        <v>314</v>
      </c>
      <c r="E1572" s="4" t="s">
        <v>66</v>
      </c>
      <c r="F1572" t="s">
        <v>213</v>
      </c>
      <c r="G1572" t="s">
        <v>225</v>
      </c>
      <c r="H1572">
        <f>VLOOKUP(C1572,'TB Apr 24'!$B$13:$AD$103,29,0)</f>
        <v>-2874874.73</v>
      </c>
    </row>
    <row r="1573" spans="1:8" x14ac:dyDescent="0.35">
      <c r="A1573" s="77">
        <v>45383</v>
      </c>
      <c r="B1573" s="3" t="s">
        <v>67</v>
      </c>
      <c r="C1573" s="4" t="s">
        <v>68</v>
      </c>
      <c r="D1573" s="4" t="s">
        <v>314</v>
      </c>
      <c r="E1573" s="4" t="s">
        <v>252</v>
      </c>
      <c r="F1573" t="s">
        <v>213</v>
      </c>
      <c r="G1573" t="s">
        <v>225</v>
      </c>
      <c r="H1573">
        <f>VLOOKUP(C1573,'TB Apr 24'!$B$13:$AD$103,29,0)</f>
        <v>-224420.77</v>
      </c>
    </row>
    <row r="1574" spans="1:8" x14ac:dyDescent="0.35">
      <c r="A1574" s="77">
        <v>45383</v>
      </c>
      <c r="B1574" s="3" t="s">
        <v>69</v>
      </c>
      <c r="C1574" s="4" t="s">
        <v>70</v>
      </c>
      <c r="D1574" s="4" t="s">
        <v>314</v>
      </c>
      <c r="E1574" s="4" t="s">
        <v>70</v>
      </c>
      <c r="F1574" t="s">
        <v>213</v>
      </c>
      <c r="G1574" t="s">
        <v>225</v>
      </c>
      <c r="H1574">
        <f>VLOOKUP(C1574,'TB Apr 24'!$B$13:$AD$103,29,0)</f>
        <v>-389327.25</v>
      </c>
    </row>
    <row r="1575" spans="1:8" x14ac:dyDescent="0.35">
      <c r="A1575" s="77">
        <v>45383</v>
      </c>
      <c r="B1575" s="3" t="s">
        <v>71</v>
      </c>
      <c r="C1575" s="4" t="s">
        <v>72</v>
      </c>
      <c r="D1575" s="4" t="s">
        <v>314</v>
      </c>
      <c r="E1575" s="4" t="s">
        <v>253</v>
      </c>
      <c r="F1575" t="s">
        <v>213</v>
      </c>
      <c r="G1575" t="s">
        <v>225</v>
      </c>
      <c r="H1575">
        <f>VLOOKUP(C1575,'TB Apr 24'!$B$13:$AD$103,29,0)</f>
        <v>0</v>
      </c>
    </row>
    <row r="1576" spans="1:8" x14ac:dyDescent="0.35">
      <c r="A1576" s="77">
        <v>45383</v>
      </c>
      <c r="B1576" s="3" t="s">
        <v>73</v>
      </c>
      <c r="C1576" s="4" t="s">
        <v>74</v>
      </c>
      <c r="D1576" s="4" t="s">
        <v>314</v>
      </c>
      <c r="E1576" s="4" t="s">
        <v>253</v>
      </c>
      <c r="F1576" t="s">
        <v>213</v>
      </c>
      <c r="G1576" t="s">
        <v>225</v>
      </c>
      <c r="H1576">
        <f>VLOOKUP(C1576,'TB Apr 24'!$B$13:$AD$103,29,0)</f>
        <v>-18601.84</v>
      </c>
    </row>
    <row r="1577" spans="1:8" x14ac:dyDescent="0.35">
      <c r="A1577" s="77">
        <v>45383</v>
      </c>
      <c r="B1577" s="3" t="s">
        <v>75</v>
      </c>
      <c r="C1577" s="4" t="s">
        <v>76</v>
      </c>
      <c r="D1577" s="4" t="s">
        <v>314</v>
      </c>
      <c r="E1577" s="4" t="s">
        <v>253</v>
      </c>
      <c r="F1577" t="s">
        <v>213</v>
      </c>
      <c r="G1577" t="s">
        <v>225</v>
      </c>
      <c r="H1577">
        <f>VLOOKUP(C1577,'TB Apr 24'!$B$13:$AD$103,29,0)</f>
        <v>0</v>
      </c>
    </row>
    <row r="1578" spans="1:8" x14ac:dyDescent="0.35">
      <c r="A1578" s="77">
        <v>45383</v>
      </c>
      <c r="B1578" s="3" t="s">
        <v>77</v>
      </c>
      <c r="C1578" s="4" t="s">
        <v>78</v>
      </c>
      <c r="D1578" s="4" t="s">
        <v>314</v>
      </c>
      <c r="E1578" s="4" t="s">
        <v>253</v>
      </c>
      <c r="F1578" t="s">
        <v>213</v>
      </c>
      <c r="G1578" t="s">
        <v>225</v>
      </c>
      <c r="H1578">
        <f>VLOOKUP(C1578,'TB Apr 24'!$B$13:$AD$103,29,0)</f>
        <v>-53521.97</v>
      </c>
    </row>
    <row r="1579" spans="1:8" x14ac:dyDescent="0.35">
      <c r="A1579" s="77">
        <v>45383</v>
      </c>
      <c r="B1579" s="3" t="s">
        <v>79</v>
      </c>
      <c r="C1579" s="4" t="s">
        <v>80</v>
      </c>
      <c r="D1579" s="4" t="s">
        <v>314</v>
      </c>
      <c r="E1579" s="4" t="s">
        <v>253</v>
      </c>
      <c r="F1579" t="s">
        <v>213</v>
      </c>
      <c r="G1579" t="s">
        <v>225</v>
      </c>
      <c r="H1579">
        <f>VLOOKUP(C1579,'TB Apr 24'!$B$13:$AD$103,29,0)</f>
        <v>-34110.75</v>
      </c>
    </row>
    <row r="1580" spans="1:8" x14ac:dyDescent="0.35">
      <c r="A1580" s="77">
        <v>45383</v>
      </c>
      <c r="B1580" s="3" t="s">
        <v>81</v>
      </c>
      <c r="C1580" s="4" t="s">
        <v>82</v>
      </c>
      <c r="D1580" s="4" t="s">
        <v>314</v>
      </c>
      <c r="E1580" s="4" t="s">
        <v>319</v>
      </c>
      <c r="F1580" t="s">
        <v>213</v>
      </c>
      <c r="G1580" t="s">
        <v>225</v>
      </c>
      <c r="H1580">
        <f>VLOOKUP(C1580,'TB Apr 24'!$B$13:$AD$103,29,0)</f>
        <v>0</v>
      </c>
    </row>
    <row r="1581" spans="1:8" x14ac:dyDescent="0.35">
      <c r="A1581" s="77">
        <v>45383</v>
      </c>
      <c r="B1581" s="3" t="s">
        <v>83</v>
      </c>
      <c r="C1581" s="4" t="s">
        <v>84</v>
      </c>
      <c r="D1581" s="4" t="s">
        <v>314</v>
      </c>
      <c r="E1581" s="4" t="s">
        <v>319</v>
      </c>
      <c r="F1581" t="s">
        <v>213</v>
      </c>
      <c r="G1581" t="s">
        <v>225</v>
      </c>
      <c r="H1581">
        <f>VLOOKUP(C1581,'TB Apr 24'!$B$13:$AD$103,29,0)</f>
        <v>0</v>
      </c>
    </row>
    <row r="1582" spans="1:8" x14ac:dyDescent="0.35">
      <c r="A1582" s="77">
        <v>45383</v>
      </c>
      <c r="B1582" s="3" t="s">
        <v>85</v>
      </c>
      <c r="C1582" s="4" t="s">
        <v>86</v>
      </c>
      <c r="D1582" s="4" t="s">
        <v>314</v>
      </c>
      <c r="E1582" s="4" t="s">
        <v>291</v>
      </c>
      <c r="F1582" t="s">
        <v>213</v>
      </c>
      <c r="G1582" t="s">
        <v>225</v>
      </c>
      <c r="H1582">
        <f>VLOOKUP(C1582,'TB Apr 24'!$B$13:$AD$103,29,0)</f>
        <v>0</v>
      </c>
    </row>
    <row r="1583" spans="1:8" x14ac:dyDescent="0.35">
      <c r="A1583" s="77">
        <v>45383</v>
      </c>
      <c r="B1583" s="3" t="s">
        <v>88</v>
      </c>
      <c r="C1583" s="4" t="s">
        <v>89</v>
      </c>
      <c r="D1583" s="4" t="s">
        <v>314</v>
      </c>
      <c r="E1583" s="4" t="s">
        <v>300</v>
      </c>
      <c r="F1583" t="s">
        <v>213</v>
      </c>
      <c r="G1583" t="s">
        <v>225</v>
      </c>
      <c r="H1583">
        <f>VLOOKUP(C1583,'TB Apr 24'!$B$13:$AD$103,29,0)</f>
        <v>0</v>
      </c>
    </row>
    <row r="1584" spans="1:8" x14ac:dyDescent="0.35">
      <c r="A1584" s="77">
        <v>45383</v>
      </c>
      <c r="B1584" s="3" t="s">
        <v>90</v>
      </c>
      <c r="C1584" s="4" t="s">
        <v>91</v>
      </c>
      <c r="D1584" s="4" t="s">
        <v>314</v>
      </c>
      <c r="E1584" s="4" t="s">
        <v>300</v>
      </c>
      <c r="F1584" t="s">
        <v>213</v>
      </c>
      <c r="G1584" t="s">
        <v>225</v>
      </c>
      <c r="H1584">
        <f>VLOOKUP(C1584,'TB Apr 24'!$B$13:$AD$103,29,0)</f>
        <v>85970</v>
      </c>
    </row>
    <row r="1585" spans="1:8" x14ac:dyDescent="0.35">
      <c r="A1585" s="77">
        <v>45383</v>
      </c>
      <c r="B1585" s="3" t="s">
        <v>92</v>
      </c>
      <c r="C1585" s="4" t="s">
        <v>93</v>
      </c>
      <c r="D1585" s="4" t="s">
        <v>314</v>
      </c>
      <c r="E1585" s="4" t="s">
        <v>300</v>
      </c>
      <c r="F1585" t="s">
        <v>213</v>
      </c>
      <c r="G1585" t="s">
        <v>225</v>
      </c>
      <c r="H1585">
        <f>VLOOKUP(C1585,'TB Apr 24'!$B$13:$AD$103,29,0)</f>
        <v>5625</v>
      </c>
    </row>
    <row r="1586" spans="1:8" x14ac:dyDescent="0.35">
      <c r="A1586" s="77">
        <v>45383</v>
      </c>
      <c r="B1586" s="3" t="s">
        <v>94</v>
      </c>
      <c r="C1586" s="4" t="s">
        <v>95</v>
      </c>
      <c r="D1586" s="4" t="s">
        <v>314</v>
      </c>
      <c r="E1586" s="4" t="s">
        <v>289</v>
      </c>
      <c r="F1586" t="s">
        <v>213</v>
      </c>
      <c r="G1586" t="s">
        <v>225</v>
      </c>
      <c r="H1586">
        <f>VLOOKUP(C1586,'TB Apr 24'!$B$13:$AD$103,29,0)</f>
        <v>1065274.5</v>
      </c>
    </row>
    <row r="1587" spans="1:8" x14ac:dyDescent="0.35">
      <c r="A1587" s="77">
        <v>45383</v>
      </c>
      <c r="B1587" s="3" t="s">
        <v>96</v>
      </c>
      <c r="C1587" s="4" t="s">
        <v>97</v>
      </c>
      <c r="D1587" s="4" t="s">
        <v>314</v>
      </c>
      <c r="E1587" s="4" t="s">
        <v>289</v>
      </c>
      <c r="F1587" t="s">
        <v>213</v>
      </c>
      <c r="G1587" t="s">
        <v>225</v>
      </c>
      <c r="H1587">
        <f>VLOOKUP(C1587,'TB Apr 24'!$B$13:$AD$103,29,0)</f>
        <v>0</v>
      </c>
    </row>
    <row r="1588" spans="1:8" x14ac:dyDescent="0.35">
      <c r="A1588" s="77">
        <v>45383</v>
      </c>
      <c r="B1588" s="3" t="s">
        <v>309</v>
      </c>
      <c r="C1588" s="4" t="s">
        <v>310</v>
      </c>
      <c r="D1588" s="4" t="s">
        <v>314</v>
      </c>
      <c r="E1588" s="4" t="s">
        <v>289</v>
      </c>
      <c r="F1588" t="s">
        <v>213</v>
      </c>
      <c r="G1588" t="s">
        <v>225</v>
      </c>
      <c r="H1588">
        <f>VLOOKUP(C1588,'TB Apr 24'!$B$13:$AD$103,29,0)</f>
        <v>0</v>
      </c>
    </row>
    <row r="1589" spans="1:8" x14ac:dyDescent="0.35">
      <c r="A1589" s="77">
        <v>45383</v>
      </c>
      <c r="B1589" s="3" t="s">
        <v>98</v>
      </c>
      <c r="C1589" s="4" t="s">
        <v>99</v>
      </c>
      <c r="D1589" s="4" t="s">
        <v>314</v>
      </c>
      <c r="E1589" s="4" t="s">
        <v>289</v>
      </c>
      <c r="F1589" t="s">
        <v>213</v>
      </c>
      <c r="G1589" t="s">
        <v>225</v>
      </c>
      <c r="H1589">
        <f>VLOOKUP(C1589,'TB Apr 24'!$B$13:$AD$103,29,0)</f>
        <v>0</v>
      </c>
    </row>
    <row r="1590" spans="1:8" x14ac:dyDescent="0.35">
      <c r="A1590" s="77">
        <v>45383</v>
      </c>
      <c r="B1590" s="3" t="s">
        <v>100</v>
      </c>
      <c r="C1590" s="4" t="s">
        <v>101</v>
      </c>
      <c r="D1590" s="4" t="s">
        <v>314</v>
      </c>
      <c r="E1590" s="4" t="s">
        <v>291</v>
      </c>
      <c r="F1590" t="s">
        <v>213</v>
      </c>
      <c r="G1590" t="s">
        <v>225</v>
      </c>
      <c r="H1590">
        <f>VLOOKUP(C1590,'TB Apr 24'!$B$13:$AD$103,29,0)</f>
        <v>0</v>
      </c>
    </row>
    <row r="1591" spans="1:8" x14ac:dyDescent="0.35">
      <c r="A1591" s="77">
        <v>45383</v>
      </c>
      <c r="B1591" s="3" t="s">
        <v>102</v>
      </c>
      <c r="C1591" s="4" t="s">
        <v>103</v>
      </c>
      <c r="D1591" s="4" t="s">
        <v>314</v>
      </c>
      <c r="E1591" s="4" t="s">
        <v>291</v>
      </c>
      <c r="F1591" t="s">
        <v>213</v>
      </c>
      <c r="G1591" t="s">
        <v>225</v>
      </c>
      <c r="H1591">
        <f>VLOOKUP(C1591,'TB Apr 24'!$B$13:$AD$103,29,0)</f>
        <v>0</v>
      </c>
    </row>
    <row r="1592" spans="1:8" x14ac:dyDescent="0.35">
      <c r="A1592" s="77">
        <v>45383</v>
      </c>
      <c r="B1592" s="3" t="s">
        <v>104</v>
      </c>
      <c r="C1592" s="4" t="s">
        <v>105</v>
      </c>
      <c r="D1592" s="4" t="s">
        <v>314</v>
      </c>
      <c r="E1592" s="4" t="s">
        <v>291</v>
      </c>
      <c r="F1592" t="s">
        <v>213</v>
      </c>
      <c r="G1592" t="s">
        <v>225</v>
      </c>
      <c r="H1592">
        <f>VLOOKUP(C1592,'TB Apr 24'!$B$13:$AD$103,29,0)</f>
        <v>568.75</v>
      </c>
    </row>
    <row r="1593" spans="1:8" x14ac:dyDescent="0.35">
      <c r="A1593" s="77">
        <v>45383</v>
      </c>
      <c r="B1593" s="3" t="s">
        <v>106</v>
      </c>
      <c r="C1593" s="4" t="s">
        <v>107</v>
      </c>
      <c r="D1593" s="4" t="s">
        <v>314</v>
      </c>
      <c r="E1593" s="4" t="s">
        <v>321</v>
      </c>
      <c r="F1593" t="s">
        <v>213</v>
      </c>
      <c r="G1593" t="s">
        <v>225</v>
      </c>
      <c r="H1593">
        <f>VLOOKUP(C1593,'TB Apr 24'!$B$13:$AD$103,29,0)</f>
        <v>0</v>
      </c>
    </row>
    <row r="1594" spans="1:8" x14ac:dyDescent="0.35">
      <c r="A1594" s="77">
        <v>45383</v>
      </c>
      <c r="B1594" s="3" t="s">
        <v>108</v>
      </c>
      <c r="C1594" s="4" t="s">
        <v>109</v>
      </c>
      <c r="D1594" s="4" t="s">
        <v>314</v>
      </c>
      <c r="E1594" s="4" t="s">
        <v>321</v>
      </c>
      <c r="F1594" t="s">
        <v>213</v>
      </c>
      <c r="G1594" t="s">
        <v>225</v>
      </c>
      <c r="H1594">
        <f>VLOOKUP(C1594,'TB Apr 24'!$B$13:$AD$103,29,0)</f>
        <v>0</v>
      </c>
    </row>
    <row r="1595" spans="1:8" x14ac:dyDescent="0.35">
      <c r="A1595" s="77">
        <v>45383</v>
      </c>
      <c r="B1595" s="3" t="s">
        <v>110</v>
      </c>
      <c r="C1595" s="4" t="s">
        <v>111</v>
      </c>
      <c r="D1595" s="4" t="s">
        <v>314</v>
      </c>
      <c r="E1595" s="4" t="s">
        <v>320</v>
      </c>
      <c r="F1595" t="s">
        <v>213</v>
      </c>
      <c r="G1595" t="s">
        <v>225</v>
      </c>
      <c r="H1595">
        <f>VLOOKUP(C1595,'TB Apr 24'!$B$13:$AD$103,29,0)</f>
        <v>0</v>
      </c>
    </row>
    <row r="1596" spans="1:8" x14ac:dyDescent="0.35">
      <c r="A1596" s="77">
        <v>45383</v>
      </c>
      <c r="B1596" s="3" t="s">
        <v>112</v>
      </c>
      <c r="C1596" s="4" t="s">
        <v>113</v>
      </c>
      <c r="D1596" s="4" t="s">
        <v>314</v>
      </c>
      <c r="E1596" s="4" t="s">
        <v>321</v>
      </c>
      <c r="F1596" t="s">
        <v>213</v>
      </c>
      <c r="G1596" t="s">
        <v>225</v>
      </c>
      <c r="H1596">
        <f>VLOOKUP(C1596,'TB Apr 24'!$B$13:$AD$103,29,0)</f>
        <v>1768</v>
      </c>
    </row>
    <row r="1597" spans="1:8" x14ac:dyDescent="0.35">
      <c r="A1597" s="77">
        <v>45383</v>
      </c>
      <c r="B1597" s="3" t="s">
        <v>311</v>
      </c>
      <c r="C1597" s="4" t="s">
        <v>312</v>
      </c>
      <c r="D1597" s="4" t="s">
        <v>314</v>
      </c>
      <c r="E1597" s="4" t="s">
        <v>288</v>
      </c>
      <c r="F1597" t="s">
        <v>213</v>
      </c>
      <c r="G1597" t="s">
        <v>225</v>
      </c>
      <c r="H1597">
        <f>VLOOKUP(C1597,'TB Apr 24'!$B$13:$AD$103,29,0)</f>
        <v>0</v>
      </c>
    </row>
    <row r="1598" spans="1:8" x14ac:dyDescent="0.35">
      <c r="A1598" s="77">
        <v>45383</v>
      </c>
      <c r="B1598" s="3" t="s">
        <v>114</v>
      </c>
      <c r="C1598" s="4" t="s">
        <v>115</v>
      </c>
      <c r="D1598" s="4" t="s">
        <v>314</v>
      </c>
      <c r="E1598" s="4" t="s">
        <v>294</v>
      </c>
      <c r="F1598" t="s">
        <v>213</v>
      </c>
      <c r="G1598" t="s">
        <v>225</v>
      </c>
      <c r="H1598">
        <f>VLOOKUP(C1598,'TB Apr 24'!$B$13:$AD$103,29,0)</f>
        <v>0</v>
      </c>
    </row>
    <row r="1599" spans="1:8" x14ac:dyDescent="0.35">
      <c r="A1599" s="77">
        <v>45383</v>
      </c>
      <c r="B1599" s="3" t="s">
        <v>116</v>
      </c>
      <c r="C1599" s="4" t="s">
        <v>117</v>
      </c>
      <c r="D1599" s="4" t="s">
        <v>314</v>
      </c>
      <c r="E1599" s="4" t="s">
        <v>296</v>
      </c>
      <c r="F1599" t="s">
        <v>213</v>
      </c>
      <c r="G1599" t="s">
        <v>225</v>
      </c>
      <c r="H1599">
        <f>VLOOKUP(C1599,'TB Apr 24'!$B$13:$AD$103,29,0)</f>
        <v>0</v>
      </c>
    </row>
    <row r="1600" spans="1:8" x14ac:dyDescent="0.35">
      <c r="A1600" s="77">
        <v>45383</v>
      </c>
      <c r="B1600" s="3" t="s">
        <v>118</v>
      </c>
      <c r="C1600" s="4" t="s">
        <v>119</v>
      </c>
      <c r="D1600" s="4" t="s">
        <v>314</v>
      </c>
      <c r="E1600" s="4" t="s">
        <v>296</v>
      </c>
      <c r="F1600" t="s">
        <v>213</v>
      </c>
      <c r="G1600" t="s">
        <v>225</v>
      </c>
      <c r="H1600">
        <f>VLOOKUP(C1600,'TB Apr 24'!$B$13:$AD$103,29,0)</f>
        <v>2200</v>
      </c>
    </row>
    <row r="1601" spans="1:8" x14ac:dyDescent="0.35">
      <c r="A1601" s="77">
        <v>45383</v>
      </c>
      <c r="B1601" s="3" t="s">
        <v>120</v>
      </c>
      <c r="C1601" s="4" t="s">
        <v>121</v>
      </c>
      <c r="D1601" s="4" t="s">
        <v>314</v>
      </c>
      <c r="E1601" s="4" t="s">
        <v>322</v>
      </c>
      <c r="F1601" t="s">
        <v>213</v>
      </c>
      <c r="G1601" t="s">
        <v>225</v>
      </c>
      <c r="H1601">
        <f>VLOOKUP(C1601,'TB Apr 24'!$B$13:$AD$103,29,0)</f>
        <v>2589</v>
      </c>
    </row>
    <row r="1602" spans="1:8" x14ac:dyDescent="0.35">
      <c r="A1602" s="77">
        <v>45383</v>
      </c>
      <c r="B1602" s="3" t="s">
        <v>122</v>
      </c>
      <c r="C1602" s="4" t="s">
        <v>123</v>
      </c>
      <c r="D1602" s="4" t="s">
        <v>314</v>
      </c>
      <c r="E1602" s="4" t="s">
        <v>322</v>
      </c>
      <c r="F1602" t="s">
        <v>213</v>
      </c>
      <c r="G1602" t="s">
        <v>225</v>
      </c>
      <c r="H1602">
        <f>VLOOKUP(C1602,'TB Apr 24'!$B$13:$AD$103,29,0)</f>
        <v>0</v>
      </c>
    </row>
    <row r="1603" spans="1:8" x14ac:dyDescent="0.35">
      <c r="A1603" s="77">
        <v>45383</v>
      </c>
      <c r="B1603" s="3" t="s">
        <v>124</v>
      </c>
      <c r="C1603" s="4" t="s">
        <v>125</v>
      </c>
      <c r="D1603" s="4" t="s">
        <v>314</v>
      </c>
      <c r="E1603" s="4" t="s">
        <v>322</v>
      </c>
      <c r="F1603" t="s">
        <v>213</v>
      </c>
      <c r="G1603" t="s">
        <v>225</v>
      </c>
      <c r="H1603">
        <f>VLOOKUP(C1603,'TB Apr 24'!$B$13:$AD$103,29,0)</f>
        <v>0</v>
      </c>
    </row>
    <row r="1604" spans="1:8" x14ac:dyDescent="0.35">
      <c r="A1604" s="77">
        <v>45383</v>
      </c>
      <c r="B1604" s="3" t="s">
        <v>126</v>
      </c>
      <c r="C1604" s="4" t="s">
        <v>127</v>
      </c>
      <c r="D1604" s="4" t="s">
        <v>314</v>
      </c>
      <c r="E1604" s="4" t="s">
        <v>291</v>
      </c>
      <c r="F1604" t="s">
        <v>213</v>
      </c>
      <c r="G1604" t="s">
        <v>225</v>
      </c>
      <c r="H1604">
        <f>VLOOKUP(C1604,'TB Apr 24'!$B$13:$AD$103,29,0)</f>
        <v>0</v>
      </c>
    </row>
    <row r="1605" spans="1:8" x14ac:dyDescent="0.35">
      <c r="A1605" s="77">
        <v>45383</v>
      </c>
      <c r="B1605" s="3" t="s">
        <v>128</v>
      </c>
      <c r="C1605" s="4" t="s">
        <v>129</v>
      </c>
      <c r="D1605" s="4" t="s">
        <v>314</v>
      </c>
      <c r="E1605" s="4" t="s">
        <v>322</v>
      </c>
      <c r="F1605" t="s">
        <v>213</v>
      </c>
      <c r="G1605" t="s">
        <v>225</v>
      </c>
      <c r="H1605">
        <f>VLOOKUP(C1605,'TB Apr 24'!$B$13:$AD$103,29,0)</f>
        <v>73281.875</v>
      </c>
    </row>
    <row r="1606" spans="1:8" x14ac:dyDescent="0.35">
      <c r="A1606" s="77">
        <v>45383</v>
      </c>
      <c r="B1606" s="3" t="s">
        <v>130</v>
      </c>
      <c r="C1606" s="4" t="s">
        <v>131</v>
      </c>
      <c r="D1606" s="4" t="s">
        <v>314</v>
      </c>
      <c r="E1606" s="4" t="s">
        <v>322</v>
      </c>
      <c r="F1606" t="s">
        <v>213</v>
      </c>
      <c r="G1606" t="s">
        <v>225</v>
      </c>
      <c r="H1606">
        <f>VLOOKUP(C1606,'TB Apr 24'!$B$13:$AD$103,29,0)</f>
        <v>300</v>
      </c>
    </row>
    <row r="1607" spans="1:8" x14ac:dyDescent="0.35">
      <c r="A1607" s="77">
        <v>45383</v>
      </c>
      <c r="B1607" s="3" t="s">
        <v>132</v>
      </c>
      <c r="C1607" s="4" t="s">
        <v>133</v>
      </c>
      <c r="D1607" s="4" t="s">
        <v>314</v>
      </c>
      <c r="E1607" s="4" t="s">
        <v>320</v>
      </c>
      <c r="F1607" t="s">
        <v>213</v>
      </c>
      <c r="G1607" t="s">
        <v>225</v>
      </c>
      <c r="H1607">
        <f>VLOOKUP(C1607,'TB Apr 24'!$B$13:$AD$103,29,0)</f>
        <v>6872</v>
      </c>
    </row>
    <row r="1608" spans="1:8" x14ac:dyDescent="0.35">
      <c r="A1608" s="77">
        <v>45383</v>
      </c>
      <c r="B1608" s="3" t="s">
        <v>134</v>
      </c>
      <c r="C1608" s="4" t="s">
        <v>135</v>
      </c>
      <c r="D1608" s="4" t="s">
        <v>314</v>
      </c>
      <c r="E1608" s="4" t="s">
        <v>299</v>
      </c>
      <c r="F1608" t="s">
        <v>213</v>
      </c>
      <c r="G1608" t="s">
        <v>225</v>
      </c>
      <c r="H1608">
        <f>VLOOKUP(C1608,'TB Apr 24'!$B$13:$AD$103,29,0)</f>
        <v>0</v>
      </c>
    </row>
    <row r="1609" spans="1:8" x14ac:dyDescent="0.35">
      <c r="A1609" s="77">
        <v>45383</v>
      </c>
      <c r="B1609" s="3" t="s">
        <v>136</v>
      </c>
      <c r="C1609" s="4" t="s">
        <v>137</v>
      </c>
      <c r="D1609" s="4" t="s">
        <v>314</v>
      </c>
      <c r="E1609" s="4" t="s">
        <v>322</v>
      </c>
      <c r="F1609" t="s">
        <v>213</v>
      </c>
      <c r="G1609" t="s">
        <v>225</v>
      </c>
      <c r="H1609">
        <f>VLOOKUP(C1609,'TB Apr 24'!$B$13:$AD$103,29,0)</f>
        <v>0</v>
      </c>
    </row>
    <row r="1610" spans="1:8" x14ac:dyDescent="0.35">
      <c r="A1610" s="77">
        <v>45383</v>
      </c>
      <c r="B1610" s="3" t="s">
        <v>138</v>
      </c>
      <c r="C1610" s="4" t="s">
        <v>139</v>
      </c>
      <c r="D1610" s="4" t="s">
        <v>314</v>
      </c>
      <c r="E1610" s="4" t="s">
        <v>294</v>
      </c>
      <c r="F1610" t="s">
        <v>213</v>
      </c>
      <c r="G1610" t="s">
        <v>225</v>
      </c>
      <c r="H1610">
        <f>VLOOKUP(C1610,'TB Apr 24'!$B$13:$AD$103,29,0)</f>
        <v>3016</v>
      </c>
    </row>
    <row r="1611" spans="1:8" x14ac:dyDescent="0.35">
      <c r="A1611" s="77">
        <v>45383</v>
      </c>
      <c r="B1611" s="3" t="s">
        <v>140</v>
      </c>
      <c r="C1611" s="4" t="s">
        <v>141</v>
      </c>
      <c r="D1611" s="4" t="s">
        <v>314</v>
      </c>
      <c r="E1611" s="4" t="s">
        <v>268</v>
      </c>
      <c r="F1611" t="s">
        <v>213</v>
      </c>
      <c r="G1611" t="s">
        <v>225</v>
      </c>
      <c r="H1611">
        <f>VLOOKUP(C1611,'TB Apr 24'!$B$13:$AD$103,29,0)</f>
        <v>356909.80590000004</v>
      </c>
    </row>
    <row r="1612" spans="1:8" x14ac:dyDescent="0.35">
      <c r="A1612" s="77">
        <v>45383</v>
      </c>
      <c r="B1612" s="3" t="s">
        <v>142</v>
      </c>
      <c r="C1612" s="4" t="s">
        <v>143</v>
      </c>
      <c r="D1612" s="4" t="s">
        <v>314</v>
      </c>
      <c r="E1612" s="4" t="s">
        <v>269</v>
      </c>
      <c r="F1612" t="s">
        <v>213</v>
      </c>
      <c r="G1612" t="s">
        <v>225</v>
      </c>
      <c r="H1612">
        <f>VLOOKUP(C1612,'TB Apr 24'!$B$13:$AD$103,29,0)</f>
        <v>127864.64131048767</v>
      </c>
    </row>
    <row r="1613" spans="1:8" x14ac:dyDescent="0.35">
      <c r="A1613" s="77">
        <v>45383</v>
      </c>
      <c r="B1613" s="3" t="s">
        <v>144</v>
      </c>
      <c r="C1613" s="4" t="s">
        <v>145</v>
      </c>
      <c r="D1613" s="4" t="s">
        <v>314</v>
      </c>
      <c r="E1613" s="4" t="s">
        <v>288</v>
      </c>
      <c r="F1613" t="s">
        <v>213</v>
      </c>
      <c r="G1613" t="s">
        <v>225</v>
      </c>
      <c r="H1613">
        <f>VLOOKUP(C1613,'TB Apr 24'!$B$13:$AD$103,29,0)</f>
        <v>83112.215213707401</v>
      </c>
    </row>
    <row r="1614" spans="1:8" x14ac:dyDescent="0.35">
      <c r="A1614" s="77">
        <v>45383</v>
      </c>
      <c r="B1614" s="3" t="s">
        <v>146</v>
      </c>
      <c r="C1614" s="4" t="s">
        <v>147</v>
      </c>
      <c r="D1614" s="4" t="s">
        <v>314</v>
      </c>
      <c r="E1614" s="4" t="s">
        <v>288</v>
      </c>
      <c r="F1614" t="s">
        <v>213</v>
      </c>
      <c r="G1614" t="s">
        <v>225</v>
      </c>
      <c r="H1614">
        <f>VLOOKUP(C1614,'TB Apr 24'!$B$13:$AD$103,29,0)</f>
        <v>38757.693623297564</v>
      </c>
    </row>
    <row r="1615" spans="1:8" x14ac:dyDescent="0.35">
      <c r="A1615" s="77">
        <v>45383</v>
      </c>
      <c r="B1615" s="3" t="s">
        <v>148</v>
      </c>
      <c r="C1615" s="4" t="s">
        <v>149</v>
      </c>
      <c r="D1615" s="4" t="s">
        <v>314</v>
      </c>
      <c r="E1615" s="4" t="s">
        <v>287</v>
      </c>
      <c r="F1615" t="s">
        <v>213</v>
      </c>
      <c r="G1615" t="s">
        <v>225</v>
      </c>
      <c r="H1615">
        <f>VLOOKUP(C1615,'TB Apr 24'!$B$13:$AD$103,29,0)</f>
        <v>131420.70325739033</v>
      </c>
    </row>
    <row r="1616" spans="1:8" x14ac:dyDescent="0.35">
      <c r="A1616" s="77">
        <v>45383</v>
      </c>
      <c r="B1616" s="3" t="s">
        <v>150</v>
      </c>
      <c r="C1616" s="4" t="s">
        <v>87</v>
      </c>
      <c r="D1616" s="4" t="s">
        <v>314</v>
      </c>
      <c r="E1616" s="4" t="s">
        <v>288</v>
      </c>
      <c r="F1616" t="s">
        <v>213</v>
      </c>
      <c r="G1616" t="s">
        <v>225</v>
      </c>
      <c r="H1616">
        <f>VLOOKUP(C1616,'TB Apr 24'!$B$13:$AD$103,29,0)</f>
        <v>62374.046318960653</v>
      </c>
    </row>
    <row r="1617" spans="1:8" x14ac:dyDescent="0.35">
      <c r="A1617" s="77">
        <v>45383</v>
      </c>
      <c r="B1617" s="3" t="s">
        <v>151</v>
      </c>
      <c r="C1617" s="4" t="s">
        <v>152</v>
      </c>
      <c r="D1617" s="4" t="s">
        <v>314</v>
      </c>
      <c r="E1617" s="4" t="s">
        <v>288</v>
      </c>
      <c r="F1617" t="s">
        <v>213</v>
      </c>
      <c r="G1617" t="s">
        <v>225</v>
      </c>
      <c r="H1617">
        <f>VLOOKUP(C1617,'TB Apr 24'!$B$13:$AD$103,29,0)</f>
        <v>13966.377330069667</v>
      </c>
    </row>
    <row r="1618" spans="1:8" x14ac:dyDescent="0.35">
      <c r="A1618" s="77">
        <v>45383</v>
      </c>
      <c r="B1618" s="3" t="s">
        <v>153</v>
      </c>
      <c r="C1618" s="4" t="s">
        <v>154</v>
      </c>
      <c r="D1618" s="4" t="s">
        <v>314</v>
      </c>
      <c r="E1618" s="4" t="s">
        <v>288</v>
      </c>
      <c r="F1618" t="s">
        <v>213</v>
      </c>
      <c r="G1618" t="s">
        <v>225</v>
      </c>
      <c r="H1618">
        <f>VLOOKUP(C1618,'TB Apr 24'!$B$13:$AD$103,29,0)</f>
        <v>10614.344756166447</v>
      </c>
    </row>
    <row r="1619" spans="1:8" x14ac:dyDescent="0.35">
      <c r="A1619" s="77">
        <v>45383</v>
      </c>
      <c r="B1619" s="3" t="s">
        <v>155</v>
      </c>
      <c r="C1619" s="4" t="s">
        <v>156</v>
      </c>
      <c r="D1619" s="4" t="s">
        <v>314</v>
      </c>
      <c r="E1619" s="4" t="s">
        <v>288</v>
      </c>
      <c r="F1619" t="s">
        <v>213</v>
      </c>
      <c r="G1619" t="s">
        <v>225</v>
      </c>
      <c r="H1619">
        <f>VLOOKUP(C1619,'TB Apr 24'!$B$13:$AD$103,29,0)</f>
        <v>0</v>
      </c>
    </row>
    <row r="1620" spans="1:8" x14ac:dyDescent="0.35">
      <c r="A1620" s="77">
        <v>45383</v>
      </c>
      <c r="B1620" s="3" t="s">
        <v>157</v>
      </c>
      <c r="C1620" s="4" t="s">
        <v>158</v>
      </c>
      <c r="D1620" s="4" t="s">
        <v>314</v>
      </c>
      <c r="E1620" s="4" t="s">
        <v>292</v>
      </c>
      <c r="F1620" t="s">
        <v>213</v>
      </c>
      <c r="G1620" t="s">
        <v>225</v>
      </c>
      <c r="H1620">
        <f>VLOOKUP(C1620,'TB Apr 24'!$B$13:$AD$103,29,0)</f>
        <v>0</v>
      </c>
    </row>
    <row r="1621" spans="1:8" x14ac:dyDescent="0.35">
      <c r="A1621" s="77">
        <v>45383</v>
      </c>
      <c r="B1621" s="3" t="s">
        <v>159</v>
      </c>
      <c r="C1621" s="4" t="s">
        <v>160</v>
      </c>
      <c r="D1621" s="4" t="s">
        <v>314</v>
      </c>
      <c r="E1621" s="4" t="s">
        <v>323</v>
      </c>
      <c r="F1621" t="s">
        <v>213</v>
      </c>
      <c r="G1621" t="s">
        <v>225</v>
      </c>
      <c r="H1621">
        <f>VLOOKUP(C1621,'TB Apr 24'!$B$13:$AD$103,29,0)</f>
        <v>0</v>
      </c>
    </row>
    <row r="1622" spans="1:8" x14ac:dyDescent="0.35">
      <c r="A1622" s="77">
        <v>45383</v>
      </c>
      <c r="B1622" s="3" t="s">
        <v>161</v>
      </c>
      <c r="C1622" s="4" t="s">
        <v>162</v>
      </c>
      <c r="D1622" s="4" t="s">
        <v>314</v>
      </c>
      <c r="E1622" s="4" t="s">
        <v>323</v>
      </c>
      <c r="F1622" t="s">
        <v>213</v>
      </c>
      <c r="G1622" t="s">
        <v>225</v>
      </c>
      <c r="H1622">
        <f>VLOOKUP(C1622,'TB Apr 24'!$B$13:$AD$103,29,0)</f>
        <v>0</v>
      </c>
    </row>
    <row r="1623" spans="1:8" x14ac:dyDescent="0.35">
      <c r="A1623" s="77">
        <v>45383</v>
      </c>
      <c r="B1623" s="3" t="s">
        <v>163</v>
      </c>
      <c r="C1623" s="4" t="s">
        <v>164</v>
      </c>
      <c r="D1623" s="4" t="s">
        <v>314</v>
      </c>
      <c r="E1623" s="4" t="s">
        <v>319</v>
      </c>
      <c r="F1623" t="s">
        <v>213</v>
      </c>
      <c r="G1623" t="s">
        <v>225</v>
      </c>
      <c r="H1623">
        <f>VLOOKUP(C1623,'TB Apr 24'!$B$13:$AD$103,29,0)</f>
        <v>0</v>
      </c>
    </row>
    <row r="1624" spans="1:8" x14ac:dyDescent="0.35">
      <c r="A1624" s="77">
        <v>45383</v>
      </c>
      <c r="B1624" s="3" t="s">
        <v>165</v>
      </c>
      <c r="C1624" s="4" t="s">
        <v>166</v>
      </c>
      <c r="D1624" s="4" t="s">
        <v>314</v>
      </c>
      <c r="E1624" s="4" t="s">
        <v>304</v>
      </c>
      <c r="F1624" t="s">
        <v>213</v>
      </c>
      <c r="G1624" t="s">
        <v>225</v>
      </c>
      <c r="H1624">
        <f>VLOOKUP(C1624,'TB Apr 24'!$B$13:$AD$103,29,0)</f>
        <v>26745</v>
      </c>
    </row>
    <row r="1625" spans="1:8" x14ac:dyDescent="0.35">
      <c r="A1625" s="77">
        <v>45383</v>
      </c>
      <c r="B1625" s="3" t="s">
        <v>167</v>
      </c>
      <c r="C1625" s="4" t="s">
        <v>168</v>
      </c>
      <c r="D1625" s="4" t="s">
        <v>314</v>
      </c>
      <c r="E1625" s="4" t="s">
        <v>322</v>
      </c>
      <c r="F1625" t="s">
        <v>213</v>
      </c>
      <c r="G1625" t="s">
        <v>225</v>
      </c>
      <c r="H1625">
        <f>VLOOKUP(C1625,'TB Apr 24'!$B$13:$AD$103,29,0)</f>
        <v>6806</v>
      </c>
    </row>
    <row r="1626" spans="1:8" x14ac:dyDescent="0.35">
      <c r="A1626" s="77">
        <v>45383</v>
      </c>
      <c r="B1626" s="3" t="s">
        <v>169</v>
      </c>
      <c r="C1626" s="4" t="s">
        <v>170</v>
      </c>
      <c r="D1626" s="4" t="s">
        <v>314</v>
      </c>
      <c r="E1626" s="4" t="s">
        <v>304</v>
      </c>
      <c r="F1626" t="s">
        <v>213</v>
      </c>
      <c r="G1626" t="s">
        <v>225</v>
      </c>
      <c r="H1626">
        <f>VLOOKUP(C1626,'TB Apr 24'!$B$13:$AD$103,29,0)</f>
        <v>54119</v>
      </c>
    </row>
    <row r="1627" spans="1:8" x14ac:dyDescent="0.35">
      <c r="A1627" s="77">
        <v>45383</v>
      </c>
      <c r="B1627" s="3" t="s">
        <v>171</v>
      </c>
      <c r="C1627" s="4" t="s">
        <v>172</v>
      </c>
      <c r="D1627" s="4" t="s">
        <v>314</v>
      </c>
      <c r="E1627" s="4" t="s">
        <v>303</v>
      </c>
      <c r="F1627" t="s">
        <v>213</v>
      </c>
      <c r="G1627" t="s">
        <v>225</v>
      </c>
      <c r="H1627">
        <f>VLOOKUP(C1627,'TB Apr 24'!$B$13:$AD$103,29,0)</f>
        <v>0</v>
      </c>
    </row>
    <row r="1628" spans="1:8" x14ac:dyDescent="0.35">
      <c r="A1628" s="77">
        <v>45383</v>
      </c>
      <c r="B1628" s="3" t="s">
        <v>173</v>
      </c>
      <c r="C1628" s="4" t="s">
        <v>174</v>
      </c>
      <c r="D1628" s="4" t="s">
        <v>314</v>
      </c>
      <c r="E1628" s="4" t="s">
        <v>257</v>
      </c>
      <c r="F1628" t="s">
        <v>213</v>
      </c>
      <c r="G1628" t="s">
        <v>225</v>
      </c>
      <c r="H1628">
        <f>VLOOKUP(C1628,'TB Apr 24'!$B$13:$AD$103,29,0)</f>
        <v>0</v>
      </c>
    </row>
    <row r="1629" spans="1:8" x14ac:dyDescent="0.35">
      <c r="A1629" s="77">
        <v>45383</v>
      </c>
      <c r="B1629" s="3" t="s">
        <v>175</v>
      </c>
      <c r="C1629" s="4" t="s">
        <v>176</v>
      </c>
      <c r="D1629" s="4" t="s">
        <v>314</v>
      </c>
      <c r="E1629" s="4" t="s">
        <v>257</v>
      </c>
      <c r="F1629" t="s">
        <v>213</v>
      </c>
      <c r="G1629" t="s">
        <v>225</v>
      </c>
      <c r="H1629">
        <f>VLOOKUP(C1629,'TB Apr 24'!$B$13:$AD$103,29,0)</f>
        <v>0</v>
      </c>
    </row>
    <row r="1630" spans="1:8" x14ac:dyDescent="0.35">
      <c r="A1630" s="77">
        <v>45383</v>
      </c>
      <c r="B1630" s="3" t="s">
        <v>177</v>
      </c>
      <c r="C1630" s="4" t="s">
        <v>178</v>
      </c>
      <c r="D1630" s="4" t="s">
        <v>314</v>
      </c>
      <c r="E1630" s="4" t="s">
        <v>257</v>
      </c>
      <c r="F1630" t="s">
        <v>213</v>
      </c>
      <c r="G1630" t="s">
        <v>225</v>
      </c>
      <c r="H1630">
        <f>VLOOKUP(C1630,'TB Apr 24'!$B$13:$AD$103,29,0)</f>
        <v>0</v>
      </c>
    </row>
    <row r="1631" spans="1:8" x14ac:dyDescent="0.35">
      <c r="A1631" s="77">
        <v>45383</v>
      </c>
      <c r="B1631" s="3" t="s">
        <v>179</v>
      </c>
      <c r="C1631" s="4" t="s">
        <v>180</v>
      </c>
      <c r="D1631" s="4" t="s">
        <v>314</v>
      </c>
      <c r="E1631" s="4" t="s">
        <v>322</v>
      </c>
      <c r="F1631" t="s">
        <v>213</v>
      </c>
      <c r="G1631" t="s">
        <v>225</v>
      </c>
      <c r="H1631">
        <f>VLOOKUP(C1631,'TB Apr 24'!$B$13:$AD$103,29,0)</f>
        <v>0</v>
      </c>
    </row>
    <row r="1632" spans="1:8" x14ac:dyDescent="0.35">
      <c r="A1632" s="77">
        <v>45383</v>
      </c>
      <c r="B1632" s="3" t="s">
        <v>181</v>
      </c>
      <c r="C1632" s="4" t="s">
        <v>182</v>
      </c>
      <c r="D1632" s="4" t="s">
        <v>314</v>
      </c>
      <c r="E1632" s="4" t="s">
        <v>290</v>
      </c>
      <c r="F1632" t="s">
        <v>213</v>
      </c>
      <c r="G1632" t="s">
        <v>225</v>
      </c>
      <c r="H1632">
        <f>VLOOKUP(C1632,'TB Apr 24'!$B$13:$AD$103,29,0)</f>
        <v>0</v>
      </c>
    </row>
    <row r="1633" spans="1:8" x14ac:dyDescent="0.35">
      <c r="A1633" s="77">
        <v>45383</v>
      </c>
      <c r="B1633" s="3" t="s">
        <v>183</v>
      </c>
      <c r="C1633" s="4" t="s">
        <v>184</v>
      </c>
      <c r="D1633" s="4" t="s">
        <v>314</v>
      </c>
      <c r="E1633" s="4" t="s">
        <v>290</v>
      </c>
      <c r="F1633" t="s">
        <v>213</v>
      </c>
      <c r="G1633" t="s">
        <v>225</v>
      </c>
      <c r="H1633">
        <f>VLOOKUP(C1633,'TB Apr 24'!$B$13:$AD$103,29,0)</f>
        <v>0</v>
      </c>
    </row>
    <row r="1634" spans="1:8" x14ac:dyDescent="0.35">
      <c r="A1634" s="77">
        <v>45383</v>
      </c>
      <c r="B1634" s="3" t="s">
        <v>185</v>
      </c>
      <c r="C1634" s="4" t="s">
        <v>186</v>
      </c>
      <c r="D1634" s="4" t="s">
        <v>314</v>
      </c>
      <c r="E1634" s="4" t="s">
        <v>290</v>
      </c>
      <c r="F1634" t="s">
        <v>213</v>
      </c>
      <c r="G1634" t="s">
        <v>225</v>
      </c>
      <c r="H1634">
        <f>VLOOKUP(C1634,'TB Apr 24'!$B$13:$AD$103,29,0)</f>
        <v>22500</v>
      </c>
    </row>
    <row r="1635" spans="1:8" x14ac:dyDescent="0.35">
      <c r="A1635" s="77">
        <v>45383</v>
      </c>
      <c r="B1635" s="3" t="s">
        <v>187</v>
      </c>
      <c r="C1635" s="4" t="s">
        <v>188</v>
      </c>
      <c r="D1635" s="4" t="s">
        <v>314</v>
      </c>
      <c r="E1635" s="4" t="s">
        <v>291</v>
      </c>
      <c r="F1635" t="s">
        <v>213</v>
      </c>
      <c r="G1635" t="s">
        <v>225</v>
      </c>
      <c r="H1635">
        <f>VLOOKUP(C1635,'TB Apr 24'!$B$13:$AD$103,29,0)</f>
        <v>18838.5</v>
      </c>
    </row>
    <row r="1636" spans="1:8" x14ac:dyDescent="0.35">
      <c r="A1636" s="77">
        <v>45383</v>
      </c>
      <c r="B1636" s="3" t="s">
        <v>189</v>
      </c>
      <c r="C1636" s="4" t="s">
        <v>190</v>
      </c>
      <c r="D1636" s="4" t="s">
        <v>314</v>
      </c>
      <c r="E1636" s="4" t="s">
        <v>254</v>
      </c>
      <c r="F1636" t="s">
        <v>213</v>
      </c>
      <c r="G1636" t="s">
        <v>225</v>
      </c>
      <c r="H1636">
        <f>VLOOKUP(C1636,'TB Apr 24'!$B$13:$AD$103,29,0)</f>
        <v>0</v>
      </c>
    </row>
    <row r="1637" spans="1:8" x14ac:dyDescent="0.35">
      <c r="A1637" s="77">
        <v>45383</v>
      </c>
      <c r="B1637" s="3" t="s">
        <v>191</v>
      </c>
      <c r="C1637" s="4" t="s">
        <v>192</v>
      </c>
      <c r="D1637" s="4" t="s">
        <v>314</v>
      </c>
      <c r="E1637" s="4" t="s">
        <v>254</v>
      </c>
      <c r="F1637" t="s">
        <v>213</v>
      </c>
      <c r="G1637" t="s">
        <v>225</v>
      </c>
      <c r="H1637">
        <f>VLOOKUP(C1637,'TB Apr 24'!$B$13:$AD$103,29,0)</f>
        <v>0</v>
      </c>
    </row>
    <row r="1638" spans="1:8" x14ac:dyDescent="0.35">
      <c r="A1638" s="77">
        <v>45383</v>
      </c>
      <c r="B1638" s="3" t="s">
        <v>193</v>
      </c>
      <c r="C1638" s="4" t="s">
        <v>194</v>
      </c>
      <c r="D1638" s="4" t="s">
        <v>314</v>
      </c>
      <c r="E1638" s="4" t="s">
        <v>254</v>
      </c>
      <c r="F1638" t="s">
        <v>213</v>
      </c>
      <c r="G1638" t="s">
        <v>225</v>
      </c>
      <c r="H1638">
        <f>VLOOKUP(C1638,'TB Apr 24'!$B$13:$AD$103,29,0)</f>
        <v>1107188.2169805509</v>
      </c>
    </row>
    <row r="1639" spans="1:8" x14ac:dyDescent="0.35">
      <c r="A1639" s="77">
        <v>45383</v>
      </c>
      <c r="B1639" s="3" t="s">
        <v>195</v>
      </c>
      <c r="C1639" s="4" t="s">
        <v>196</v>
      </c>
      <c r="D1639" s="4" t="s">
        <v>314</v>
      </c>
      <c r="E1639" s="4" t="s">
        <v>255</v>
      </c>
      <c r="F1639" t="s">
        <v>213</v>
      </c>
      <c r="G1639" t="s">
        <v>225</v>
      </c>
      <c r="H1639">
        <f>VLOOKUP(C1639,'TB Apr 24'!$B$13:$AD$103,29,0)</f>
        <v>0</v>
      </c>
    </row>
    <row r="1640" spans="1:8" x14ac:dyDescent="0.35">
      <c r="A1640" s="77">
        <v>45383</v>
      </c>
      <c r="B1640" s="3" t="s">
        <v>197</v>
      </c>
      <c r="C1640" s="4" t="s">
        <v>198</v>
      </c>
      <c r="D1640" s="4" t="s">
        <v>314</v>
      </c>
      <c r="E1640" s="4" t="s">
        <v>255</v>
      </c>
      <c r="F1640" t="s">
        <v>213</v>
      </c>
      <c r="G1640" t="s">
        <v>225</v>
      </c>
      <c r="H1640">
        <f>VLOOKUP(C1640,'TB Apr 24'!$B$13:$AD$103,29,0)</f>
        <v>0</v>
      </c>
    </row>
    <row r="1641" spans="1:8" x14ac:dyDescent="0.35">
      <c r="A1641" s="77">
        <v>45383</v>
      </c>
      <c r="B1641" s="3" t="s">
        <v>199</v>
      </c>
      <c r="C1641" s="4" t="s">
        <v>200</v>
      </c>
      <c r="D1641" s="4" t="s">
        <v>314</v>
      </c>
      <c r="E1641" s="4" t="s">
        <v>254</v>
      </c>
      <c r="F1641" t="s">
        <v>213</v>
      </c>
      <c r="G1641" t="s">
        <v>225</v>
      </c>
      <c r="H1641">
        <f>VLOOKUP(C1641,'TB Apr 24'!$B$13:$AD$103,29,0)</f>
        <v>0</v>
      </c>
    </row>
    <row r="1642" spans="1:8" x14ac:dyDescent="0.35">
      <c r="A1642" s="77">
        <v>45383</v>
      </c>
      <c r="B1642" s="3" t="s">
        <v>201</v>
      </c>
      <c r="C1642" s="4" t="s">
        <v>202</v>
      </c>
      <c r="D1642" s="4" t="s">
        <v>314</v>
      </c>
      <c r="E1642" s="4" t="s">
        <v>254</v>
      </c>
      <c r="F1642" t="s">
        <v>213</v>
      </c>
      <c r="G1642" t="s">
        <v>225</v>
      </c>
      <c r="H1642">
        <f>VLOOKUP(C1642,'TB Apr 24'!$B$13:$AD$103,29,0)</f>
        <v>0</v>
      </c>
    </row>
    <row r="1643" spans="1:8" x14ac:dyDescent="0.35">
      <c r="A1643" s="77">
        <v>45383</v>
      </c>
      <c r="B1643" s="3" t="s">
        <v>203</v>
      </c>
      <c r="C1643" s="4" t="s">
        <v>204</v>
      </c>
      <c r="D1643" s="4" t="s">
        <v>314</v>
      </c>
      <c r="E1643" s="4" t="s">
        <v>256</v>
      </c>
      <c r="F1643" t="s">
        <v>213</v>
      </c>
      <c r="G1643" t="s">
        <v>225</v>
      </c>
      <c r="H1643">
        <f>VLOOKUP(C1643,'TB Apr 24'!$B$13:$AD$103,29,0)</f>
        <v>80597.225986904872</v>
      </c>
    </row>
    <row r="1644" spans="1:8" x14ac:dyDescent="0.35">
      <c r="A1644" s="77">
        <v>45383</v>
      </c>
      <c r="B1644" s="3" t="s">
        <v>205</v>
      </c>
      <c r="C1644" s="6" t="s">
        <v>206</v>
      </c>
      <c r="D1644" s="4" t="s">
        <v>314</v>
      </c>
      <c r="E1644" s="6" t="s">
        <v>322</v>
      </c>
      <c r="F1644" s="79" t="s">
        <v>213</v>
      </c>
      <c r="G1644" s="79" t="s">
        <v>225</v>
      </c>
      <c r="H1644" s="79">
        <f>VLOOKUP(C1644,'TB Apr 24'!$B$13:$AD$103,29,0)</f>
        <v>0</v>
      </c>
    </row>
    <row r="1645" spans="1:8" x14ac:dyDescent="0.35">
      <c r="A1645" s="77">
        <v>45383</v>
      </c>
      <c r="B1645" s="3" t="s">
        <v>57</v>
      </c>
      <c r="C1645" s="4" t="s">
        <v>58</v>
      </c>
      <c r="D1645" s="4" t="s">
        <v>314</v>
      </c>
      <c r="E1645" s="4" t="s">
        <v>253</v>
      </c>
      <c r="F1645" t="s">
        <v>213</v>
      </c>
      <c r="G1645" t="s">
        <v>230</v>
      </c>
      <c r="H1645">
        <f>VLOOKUP(C1645,'TB Apr 24'!$B$13:$AE$103,30,0)</f>
        <v>0</v>
      </c>
    </row>
    <row r="1646" spans="1:8" x14ac:dyDescent="0.35">
      <c r="A1646" s="77">
        <v>45383</v>
      </c>
      <c r="B1646" s="3" t="s">
        <v>307</v>
      </c>
      <c r="C1646" s="4" t="s">
        <v>308</v>
      </c>
      <c r="D1646" s="4" t="s">
        <v>314</v>
      </c>
      <c r="E1646" s="4" t="s">
        <v>253</v>
      </c>
      <c r="F1646" t="s">
        <v>213</v>
      </c>
      <c r="G1646" t="s">
        <v>230</v>
      </c>
      <c r="H1646">
        <f>VLOOKUP(C1646,'TB Apr 24'!$B$13:$AE$103,30,0)</f>
        <v>0</v>
      </c>
    </row>
    <row r="1647" spans="1:8" x14ac:dyDescent="0.35">
      <c r="A1647" s="77">
        <v>45383</v>
      </c>
      <c r="B1647" s="3" t="s">
        <v>59</v>
      </c>
      <c r="C1647" s="4" t="s">
        <v>60</v>
      </c>
      <c r="D1647" s="4" t="s">
        <v>314</v>
      </c>
      <c r="E1647" s="4" t="s">
        <v>253</v>
      </c>
      <c r="F1647" t="s">
        <v>213</v>
      </c>
      <c r="G1647" t="s">
        <v>230</v>
      </c>
      <c r="H1647">
        <f>VLOOKUP(C1647,'TB Apr 24'!$B$13:$AE$103,30,0)</f>
        <v>-21.4</v>
      </c>
    </row>
    <row r="1648" spans="1:8" x14ac:dyDescent="0.35">
      <c r="A1648" s="77">
        <v>45383</v>
      </c>
      <c r="B1648" s="3" t="s">
        <v>61</v>
      </c>
      <c r="C1648" s="4" t="s">
        <v>62</v>
      </c>
      <c r="D1648" s="4" t="s">
        <v>314</v>
      </c>
      <c r="E1648" s="4" t="s">
        <v>66</v>
      </c>
      <c r="F1648" t="s">
        <v>213</v>
      </c>
      <c r="G1648" t="s">
        <v>230</v>
      </c>
      <c r="H1648">
        <f>VLOOKUP(C1648,'TB Apr 24'!$B$13:$AE$103,30,0)</f>
        <v>-11655.42</v>
      </c>
    </row>
    <row r="1649" spans="1:8" x14ac:dyDescent="0.35">
      <c r="A1649" s="77">
        <v>45383</v>
      </c>
      <c r="B1649" s="3" t="s">
        <v>63</v>
      </c>
      <c r="C1649" s="4" t="s">
        <v>64</v>
      </c>
      <c r="D1649" s="4" t="s">
        <v>314</v>
      </c>
      <c r="E1649" s="4" t="s">
        <v>252</v>
      </c>
      <c r="F1649" t="s">
        <v>213</v>
      </c>
      <c r="G1649" t="s">
        <v>230</v>
      </c>
      <c r="H1649">
        <f>VLOOKUP(C1649,'TB Apr 24'!$B$13:$AE$103,30,0)</f>
        <v>0</v>
      </c>
    </row>
    <row r="1650" spans="1:8" x14ac:dyDescent="0.35">
      <c r="A1650" s="77">
        <v>45383</v>
      </c>
      <c r="B1650" s="3" t="s">
        <v>65</v>
      </c>
      <c r="C1650" s="4" t="s">
        <v>66</v>
      </c>
      <c r="D1650" s="4" t="s">
        <v>314</v>
      </c>
      <c r="E1650" s="4" t="s">
        <v>66</v>
      </c>
      <c r="F1650" t="s">
        <v>213</v>
      </c>
      <c r="G1650" t="s">
        <v>230</v>
      </c>
      <c r="H1650">
        <f>VLOOKUP(C1650,'TB Apr 24'!$B$13:$AE$103,30,0)</f>
        <v>-214062.9</v>
      </c>
    </row>
    <row r="1651" spans="1:8" x14ac:dyDescent="0.35">
      <c r="A1651" s="77">
        <v>45383</v>
      </c>
      <c r="B1651" s="3" t="s">
        <v>67</v>
      </c>
      <c r="C1651" s="4" t="s">
        <v>68</v>
      </c>
      <c r="D1651" s="4" t="s">
        <v>314</v>
      </c>
      <c r="E1651" s="4" t="s">
        <v>252</v>
      </c>
      <c r="F1651" t="s">
        <v>213</v>
      </c>
      <c r="G1651" t="s">
        <v>230</v>
      </c>
      <c r="H1651">
        <f>VLOOKUP(C1651,'TB Apr 24'!$B$13:$AE$103,30,0)</f>
        <v>-78345.8</v>
      </c>
    </row>
    <row r="1652" spans="1:8" x14ac:dyDescent="0.35">
      <c r="A1652" s="77">
        <v>45383</v>
      </c>
      <c r="B1652" s="3" t="s">
        <v>69</v>
      </c>
      <c r="C1652" s="4" t="s">
        <v>70</v>
      </c>
      <c r="D1652" s="4" t="s">
        <v>314</v>
      </c>
      <c r="E1652" s="4" t="s">
        <v>70</v>
      </c>
      <c r="F1652" t="s">
        <v>213</v>
      </c>
      <c r="G1652" t="s">
        <v>230</v>
      </c>
      <c r="H1652">
        <f>VLOOKUP(C1652,'TB Apr 24'!$B$13:$AE$103,30,0)</f>
        <v>-3318</v>
      </c>
    </row>
    <row r="1653" spans="1:8" x14ac:dyDescent="0.35">
      <c r="A1653" s="77">
        <v>45383</v>
      </c>
      <c r="B1653" s="3" t="s">
        <v>71</v>
      </c>
      <c r="C1653" s="4" t="s">
        <v>72</v>
      </c>
      <c r="D1653" s="4" t="s">
        <v>314</v>
      </c>
      <c r="E1653" s="4" t="s">
        <v>253</v>
      </c>
      <c r="F1653" t="s">
        <v>213</v>
      </c>
      <c r="G1653" t="s">
        <v>230</v>
      </c>
      <c r="H1653">
        <f>VLOOKUP(C1653,'TB Apr 24'!$B$13:$AE$103,30,0)</f>
        <v>0</v>
      </c>
    </row>
    <row r="1654" spans="1:8" x14ac:dyDescent="0.35">
      <c r="A1654" s="77">
        <v>45383</v>
      </c>
      <c r="B1654" s="3" t="s">
        <v>73</v>
      </c>
      <c r="C1654" s="4" t="s">
        <v>74</v>
      </c>
      <c r="D1654" s="4" t="s">
        <v>314</v>
      </c>
      <c r="E1654" s="4" t="s">
        <v>253</v>
      </c>
      <c r="F1654" t="s">
        <v>213</v>
      </c>
      <c r="G1654" t="s">
        <v>230</v>
      </c>
      <c r="H1654">
        <f>VLOOKUP(C1654,'TB Apr 24'!$B$13:$AE$103,30,0)</f>
        <v>-637.64</v>
      </c>
    </row>
    <row r="1655" spans="1:8" x14ac:dyDescent="0.35">
      <c r="A1655" s="77">
        <v>45383</v>
      </c>
      <c r="B1655" s="3" t="s">
        <v>75</v>
      </c>
      <c r="C1655" s="4" t="s">
        <v>76</v>
      </c>
      <c r="D1655" s="4" t="s">
        <v>314</v>
      </c>
      <c r="E1655" s="4" t="s">
        <v>253</v>
      </c>
      <c r="F1655" t="s">
        <v>213</v>
      </c>
      <c r="G1655" t="s">
        <v>230</v>
      </c>
      <c r="H1655">
        <f>VLOOKUP(C1655,'TB Apr 24'!$B$13:$AE$103,30,0)</f>
        <v>0</v>
      </c>
    </row>
    <row r="1656" spans="1:8" x14ac:dyDescent="0.35">
      <c r="A1656" s="77">
        <v>45383</v>
      </c>
      <c r="B1656" s="3" t="s">
        <v>77</v>
      </c>
      <c r="C1656" s="4" t="s">
        <v>78</v>
      </c>
      <c r="D1656" s="4" t="s">
        <v>314</v>
      </c>
      <c r="E1656" s="4" t="s">
        <v>253</v>
      </c>
      <c r="F1656" t="s">
        <v>213</v>
      </c>
      <c r="G1656" t="s">
        <v>230</v>
      </c>
      <c r="H1656">
        <f>VLOOKUP(C1656,'TB Apr 24'!$B$13:$AE$103,30,0)</f>
        <v>-6109.54</v>
      </c>
    </row>
    <row r="1657" spans="1:8" x14ac:dyDescent="0.35">
      <c r="A1657" s="77">
        <v>45383</v>
      </c>
      <c r="B1657" s="3" t="s">
        <v>79</v>
      </c>
      <c r="C1657" s="4" t="s">
        <v>80</v>
      </c>
      <c r="D1657" s="4" t="s">
        <v>314</v>
      </c>
      <c r="E1657" s="4" t="s">
        <v>253</v>
      </c>
      <c r="F1657" t="s">
        <v>213</v>
      </c>
      <c r="G1657" t="s">
        <v>230</v>
      </c>
      <c r="H1657">
        <f>VLOOKUP(C1657,'TB Apr 24'!$B$13:$AE$103,30,0)</f>
        <v>-238</v>
      </c>
    </row>
    <row r="1658" spans="1:8" x14ac:dyDescent="0.35">
      <c r="A1658" s="77">
        <v>45383</v>
      </c>
      <c r="B1658" s="3" t="s">
        <v>81</v>
      </c>
      <c r="C1658" s="4" t="s">
        <v>82</v>
      </c>
      <c r="D1658" s="4" t="s">
        <v>314</v>
      </c>
      <c r="E1658" s="4" t="s">
        <v>319</v>
      </c>
      <c r="F1658" t="s">
        <v>213</v>
      </c>
      <c r="G1658" t="s">
        <v>230</v>
      </c>
      <c r="H1658">
        <f>VLOOKUP(C1658,'TB Apr 24'!$B$13:$AE$103,30,0)</f>
        <v>22400</v>
      </c>
    </row>
    <row r="1659" spans="1:8" x14ac:dyDescent="0.35">
      <c r="A1659" s="77">
        <v>45383</v>
      </c>
      <c r="B1659" s="3" t="s">
        <v>83</v>
      </c>
      <c r="C1659" s="4" t="s">
        <v>84</v>
      </c>
      <c r="D1659" s="4" t="s">
        <v>314</v>
      </c>
      <c r="E1659" s="4" t="s">
        <v>319</v>
      </c>
      <c r="F1659" t="s">
        <v>213</v>
      </c>
      <c r="G1659" t="s">
        <v>230</v>
      </c>
      <c r="H1659">
        <f>VLOOKUP(C1659,'TB Apr 24'!$B$13:$AE$103,30,0)</f>
        <v>0</v>
      </c>
    </row>
    <row r="1660" spans="1:8" x14ac:dyDescent="0.35">
      <c r="A1660" s="77">
        <v>45383</v>
      </c>
      <c r="B1660" s="3" t="s">
        <v>85</v>
      </c>
      <c r="C1660" s="4" t="s">
        <v>86</v>
      </c>
      <c r="D1660" s="4" t="s">
        <v>314</v>
      </c>
      <c r="E1660" s="4" t="s">
        <v>291</v>
      </c>
      <c r="F1660" t="s">
        <v>213</v>
      </c>
      <c r="G1660" t="s">
        <v>230</v>
      </c>
      <c r="H1660">
        <f>VLOOKUP(C1660,'TB Apr 24'!$B$13:$AE$103,30,0)</f>
        <v>0</v>
      </c>
    </row>
    <row r="1661" spans="1:8" x14ac:dyDescent="0.35">
      <c r="A1661" s="77">
        <v>45383</v>
      </c>
      <c r="B1661" s="3" t="s">
        <v>88</v>
      </c>
      <c r="C1661" s="4" t="s">
        <v>89</v>
      </c>
      <c r="D1661" s="4" t="s">
        <v>314</v>
      </c>
      <c r="E1661" s="4" t="s">
        <v>300</v>
      </c>
      <c r="F1661" t="s">
        <v>213</v>
      </c>
      <c r="G1661" t="s">
        <v>230</v>
      </c>
      <c r="H1661">
        <f>VLOOKUP(C1661,'TB Apr 24'!$B$13:$AE$103,30,0)</f>
        <v>0</v>
      </c>
    </row>
    <row r="1662" spans="1:8" x14ac:dyDescent="0.35">
      <c r="A1662" s="77">
        <v>45383</v>
      </c>
      <c r="B1662" s="3" t="s">
        <v>90</v>
      </c>
      <c r="C1662" s="4" t="s">
        <v>91</v>
      </c>
      <c r="D1662" s="4" t="s">
        <v>314</v>
      </c>
      <c r="E1662" s="4" t="s">
        <v>300</v>
      </c>
      <c r="F1662" t="s">
        <v>213</v>
      </c>
      <c r="G1662" t="s">
        <v>230</v>
      </c>
      <c r="H1662">
        <f>VLOOKUP(C1662,'TB Apr 24'!$B$13:$AE$103,30,0)</f>
        <v>42878</v>
      </c>
    </row>
    <row r="1663" spans="1:8" x14ac:dyDescent="0.35">
      <c r="A1663" s="77">
        <v>45383</v>
      </c>
      <c r="B1663" s="3" t="s">
        <v>92</v>
      </c>
      <c r="C1663" s="4" t="s">
        <v>93</v>
      </c>
      <c r="D1663" s="4" t="s">
        <v>314</v>
      </c>
      <c r="E1663" s="4" t="s">
        <v>300</v>
      </c>
      <c r="F1663" t="s">
        <v>213</v>
      </c>
      <c r="G1663" t="s">
        <v>230</v>
      </c>
      <c r="H1663">
        <f>VLOOKUP(C1663,'TB Apr 24'!$B$13:$AE$103,30,0)</f>
        <v>5626</v>
      </c>
    </row>
    <row r="1664" spans="1:8" x14ac:dyDescent="0.35">
      <c r="A1664" s="77">
        <v>45383</v>
      </c>
      <c r="B1664" s="3" t="s">
        <v>94</v>
      </c>
      <c r="C1664" s="4" t="s">
        <v>95</v>
      </c>
      <c r="D1664" s="4" t="s">
        <v>314</v>
      </c>
      <c r="E1664" s="4" t="s">
        <v>289</v>
      </c>
      <c r="F1664" t="s">
        <v>213</v>
      </c>
      <c r="G1664" t="s">
        <v>230</v>
      </c>
      <c r="H1664">
        <f>VLOOKUP(C1664,'TB Apr 24'!$B$13:$AE$103,30,0)</f>
        <v>336819.5</v>
      </c>
    </row>
    <row r="1665" spans="1:8" x14ac:dyDescent="0.35">
      <c r="A1665" s="77">
        <v>45383</v>
      </c>
      <c r="B1665" s="3" t="s">
        <v>96</v>
      </c>
      <c r="C1665" s="4" t="s">
        <v>97</v>
      </c>
      <c r="D1665" s="4" t="s">
        <v>314</v>
      </c>
      <c r="E1665" s="4" t="s">
        <v>289</v>
      </c>
      <c r="F1665" t="s">
        <v>213</v>
      </c>
      <c r="G1665" t="s">
        <v>230</v>
      </c>
      <c r="H1665">
        <f>VLOOKUP(C1665,'TB Apr 24'!$B$13:$AE$103,30,0)</f>
        <v>0</v>
      </c>
    </row>
    <row r="1666" spans="1:8" x14ac:dyDescent="0.35">
      <c r="A1666" s="77">
        <v>45383</v>
      </c>
      <c r="B1666" s="3" t="s">
        <v>309</v>
      </c>
      <c r="C1666" s="4" t="s">
        <v>310</v>
      </c>
      <c r="D1666" s="4" t="s">
        <v>314</v>
      </c>
      <c r="E1666" s="4" t="s">
        <v>289</v>
      </c>
      <c r="F1666" t="s">
        <v>213</v>
      </c>
      <c r="G1666" t="s">
        <v>230</v>
      </c>
      <c r="H1666">
        <f>VLOOKUP(C1666,'TB Apr 24'!$B$13:$AE$103,30,0)</f>
        <v>0</v>
      </c>
    </row>
    <row r="1667" spans="1:8" x14ac:dyDescent="0.35">
      <c r="A1667" s="77">
        <v>45383</v>
      </c>
      <c r="B1667" s="3" t="s">
        <v>98</v>
      </c>
      <c r="C1667" s="4" t="s">
        <v>99</v>
      </c>
      <c r="D1667" s="4" t="s">
        <v>314</v>
      </c>
      <c r="E1667" s="4" t="s">
        <v>289</v>
      </c>
      <c r="F1667" t="s">
        <v>213</v>
      </c>
      <c r="G1667" t="s">
        <v>230</v>
      </c>
      <c r="H1667">
        <f>VLOOKUP(C1667,'TB Apr 24'!$B$13:$AE$103,30,0)</f>
        <v>0</v>
      </c>
    </row>
    <row r="1668" spans="1:8" x14ac:dyDescent="0.35">
      <c r="A1668" s="77">
        <v>45383</v>
      </c>
      <c r="B1668" s="3" t="s">
        <v>100</v>
      </c>
      <c r="C1668" s="4" t="s">
        <v>101</v>
      </c>
      <c r="D1668" s="4" t="s">
        <v>314</v>
      </c>
      <c r="E1668" s="4" t="s">
        <v>291</v>
      </c>
      <c r="F1668" t="s">
        <v>213</v>
      </c>
      <c r="G1668" t="s">
        <v>230</v>
      </c>
      <c r="H1668">
        <f>VLOOKUP(C1668,'TB Apr 24'!$B$13:$AE$103,30,0)</f>
        <v>0</v>
      </c>
    </row>
    <row r="1669" spans="1:8" x14ac:dyDescent="0.35">
      <c r="A1669" s="77">
        <v>45383</v>
      </c>
      <c r="B1669" s="3" t="s">
        <v>102</v>
      </c>
      <c r="C1669" s="4" t="s">
        <v>103</v>
      </c>
      <c r="D1669" s="4" t="s">
        <v>314</v>
      </c>
      <c r="E1669" s="4" t="s">
        <v>291</v>
      </c>
      <c r="F1669" t="s">
        <v>213</v>
      </c>
      <c r="G1669" t="s">
        <v>230</v>
      </c>
      <c r="H1669">
        <f>VLOOKUP(C1669,'TB Apr 24'!$B$13:$AE$103,30,0)</f>
        <v>0</v>
      </c>
    </row>
    <row r="1670" spans="1:8" x14ac:dyDescent="0.35">
      <c r="A1670" s="77">
        <v>45383</v>
      </c>
      <c r="B1670" s="3" t="s">
        <v>104</v>
      </c>
      <c r="C1670" s="4" t="s">
        <v>105</v>
      </c>
      <c r="D1670" s="4" t="s">
        <v>314</v>
      </c>
      <c r="E1670" s="4" t="s">
        <v>291</v>
      </c>
      <c r="F1670" t="s">
        <v>213</v>
      </c>
      <c r="G1670" t="s">
        <v>230</v>
      </c>
      <c r="H1670">
        <f>VLOOKUP(C1670,'TB Apr 24'!$B$13:$AE$103,30,0)</f>
        <v>568.75</v>
      </c>
    </row>
    <row r="1671" spans="1:8" x14ac:dyDescent="0.35">
      <c r="A1671" s="77">
        <v>45383</v>
      </c>
      <c r="B1671" s="3" t="s">
        <v>106</v>
      </c>
      <c r="C1671" s="4" t="s">
        <v>107</v>
      </c>
      <c r="D1671" s="4" t="s">
        <v>314</v>
      </c>
      <c r="E1671" s="4" t="s">
        <v>321</v>
      </c>
      <c r="F1671" t="s">
        <v>213</v>
      </c>
      <c r="G1671" t="s">
        <v>230</v>
      </c>
      <c r="H1671">
        <f>VLOOKUP(C1671,'TB Apr 24'!$B$13:$AE$103,30,0)</f>
        <v>0</v>
      </c>
    </row>
    <row r="1672" spans="1:8" x14ac:dyDescent="0.35">
      <c r="A1672" s="77">
        <v>45383</v>
      </c>
      <c r="B1672" s="3" t="s">
        <v>108</v>
      </c>
      <c r="C1672" s="4" t="s">
        <v>109</v>
      </c>
      <c r="D1672" s="4" t="s">
        <v>314</v>
      </c>
      <c r="E1672" s="4" t="s">
        <v>321</v>
      </c>
      <c r="F1672" t="s">
        <v>213</v>
      </c>
      <c r="G1672" t="s">
        <v>230</v>
      </c>
      <c r="H1672">
        <f>VLOOKUP(C1672,'TB Apr 24'!$B$13:$AE$103,30,0)</f>
        <v>0</v>
      </c>
    </row>
    <row r="1673" spans="1:8" x14ac:dyDescent="0.35">
      <c r="A1673" s="77">
        <v>45383</v>
      </c>
      <c r="B1673" s="3" t="s">
        <v>110</v>
      </c>
      <c r="C1673" s="4" t="s">
        <v>111</v>
      </c>
      <c r="D1673" s="4" t="s">
        <v>314</v>
      </c>
      <c r="E1673" s="4" t="s">
        <v>320</v>
      </c>
      <c r="F1673" t="s">
        <v>213</v>
      </c>
      <c r="G1673" t="s">
        <v>230</v>
      </c>
      <c r="H1673">
        <f>VLOOKUP(C1673,'TB Apr 24'!$B$13:$AE$103,30,0)</f>
        <v>0</v>
      </c>
    </row>
    <row r="1674" spans="1:8" x14ac:dyDescent="0.35">
      <c r="A1674" s="77">
        <v>45383</v>
      </c>
      <c r="B1674" s="3" t="s">
        <v>112</v>
      </c>
      <c r="C1674" s="4" t="s">
        <v>113</v>
      </c>
      <c r="D1674" s="4" t="s">
        <v>314</v>
      </c>
      <c r="E1674" s="4" t="s">
        <v>321</v>
      </c>
      <c r="F1674" t="s">
        <v>213</v>
      </c>
      <c r="G1674" t="s">
        <v>230</v>
      </c>
      <c r="H1674">
        <f>VLOOKUP(C1674,'TB Apr 24'!$B$13:$AE$103,30,0)</f>
        <v>1060</v>
      </c>
    </row>
    <row r="1675" spans="1:8" x14ac:dyDescent="0.35">
      <c r="A1675" s="77">
        <v>45383</v>
      </c>
      <c r="B1675" s="3" t="s">
        <v>311</v>
      </c>
      <c r="C1675" s="4" t="s">
        <v>312</v>
      </c>
      <c r="D1675" s="4" t="s">
        <v>314</v>
      </c>
      <c r="E1675" s="4" t="s">
        <v>288</v>
      </c>
      <c r="F1675" t="s">
        <v>213</v>
      </c>
      <c r="G1675" t="s">
        <v>230</v>
      </c>
      <c r="H1675">
        <f>VLOOKUP(C1675,'TB Apr 24'!$B$13:$AE$103,30,0)</f>
        <v>0</v>
      </c>
    </row>
    <row r="1676" spans="1:8" x14ac:dyDescent="0.35">
      <c r="A1676" s="77">
        <v>45383</v>
      </c>
      <c r="B1676" s="3" t="s">
        <v>114</v>
      </c>
      <c r="C1676" s="4" t="s">
        <v>115</v>
      </c>
      <c r="D1676" s="4" t="s">
        <v>314</v>
      </c>
      <c r="E1676" s="4" t="s">
        <v>294</v>
      </c>
      <c r="F1676" t="s">
        <v>213</v>
      </c>
      <c r="G1676" t="s">
        <v>230</v>
      </c>
      <c r="H1676">
        <f>VLOOKUP(C1676,'TB Apr 24'!$B$13:$AE$103,30,0)</f>
        <v>0</v>
      </c>
    </row>
    <row r="1677" spans="1:8" x14ac:dyDescent="0.35">
      <c r="A1677" s="77">
        <v>45383</v>
      </c>
      <c r="B1677" s="3" t="s">
        <v>116</v>
      </c>
      <c r="C1677" s="4" t="s">
        <v>117</v>
      </c>
      <c r="D1677" s="4" t="s">
        <v>314</v>
      </c>
      <c r="E1677" s="4" t="s">
        <v>296</v>
      </c>
      <c r="F1677" t="s">
        <v>213</v>
      </c>
      <c r="G1677" t="s">
        <v>230</v>
      </c>
      <c r="H1677">
        <f>VLOOKUP(C1677,'TB Apr 24'!$B$13:$AE$103,30,0)</f>
        <v>0</v>
      </c>
    </row>
    <row r="1678" spans="1:8" x14ac:dyDescent="0.35">
      <c r="A1678" s="77">
        <v>45383</v>
      </c>
      <c r="B1678" s="3" t="s">
        <v>118</v>
      </c>
      <c r="C1678" s="4" t="s">
        <v>119</v>
      </c>
      <c r="D1678" s="4" t="s">
        <v>314</v>
      </c>
      <c r="E1678" s="4" t="s">
        <v>296</v>
      </c>
      <c r="F1678" t="s">
        <v>213</v>
      </c>
      <c r="G1678" t="s">
        <v>230</v>
      </c>
      <c r="H1678">
        <f>VLOOKUP(C1678,'TB Apr 24'!$B$13:$AE$103,30,0)</f>
        <v>100000</v>
      </c>
    </row>
    <row r="1679" spans="1:8" x14ac:dyDescent="0.35">
      <c r="A1679" s="77">
        <v>45383</v>
      </c>
      <c r="B1679" s="3" t="s">
        <v>120</v>
      </c>
      <c r="C1679" s="4" t="s">
        <v>121</v>
      </c>
      <c r="D1679" s="4" t="s">
        <v>314</v>
      </c>
      <c r="E1679" s="4" t="s">
        <v>322</v>
      </c>
      <c r="F1679" t="s">
        <v>213</v>
      </c>
      <c r="G1679" t="s">
        <v>230</v>
      </c>
      <c r="H1679">
        <f>VLOOKUP(C1679,'TB Apr 24'!$B$13:$AE$103,30,0)</f>
        <v>430</v>
      </c>
    </row>
    <row r="1680" spans="1:8" x14ac:dyDescent="0.35">
      <c r="A1680" s="77">
        <v>45383</v>
      </c>
      <c r="B1680" s="3" t="s">
        <v>122</v>
      </c>
      <c r="C1680" s="4" t="s">
        <v>123</v>
      </c>
      <c r="D1680" s="4" t="s">
        <v>314</v>
      </c>
      <c r="E1680" s="4" t="s">
        <v>322</v>
      </c>
      <c r="F1680" t="s">
        <v>213</v>
      </c>
      <c r="G1680" t="s">
        <v>230</v>
      </c>
      <c r="H1680">
        <f>VLOOKUP(C1680,'TB Apr 24'!$B$13:$AE$103,30,0)</f>
        <v>0</v>
      </c>
    </row>
    <row r="1681" spans="1:8" x14ac:dyDescent="0.35">
      <c r="A1681" s="77">
        <v>45383</v>
      </c>
      <c r="B1681" s="3" t="s">
        <v>124</v>
      </c>
      <c r="C1681" s="4" t="s">
        <v>125</v>
      </c>
      <c r="D1681" s="4" t="s">
        <v>314</v>
      </c>
      <c r="E1681" s="4" t="s">
        <v>322</v>
      </c>
      <c r="F1681" t="s">
        <v>213</v>
      </c>
      <c r="G1681" t="s">
        <v>230</v>
      </c>
      <c r="H1681">
        <f>VLOOKUP(C1681,'TB Apr 24'!$B$13:$AE$103,30,0)</f>
        <v>0</v>
      </c>
    </row>
    <row r="1682" spans="1:8" x14ac:dyDescent="0.35">
      <c r="A1682" s="77">
        <v>45383</v>
      </c>
      <c r="B1682" s="3" t="s">
        <v>126</v>
      </c>
      <c r="C1682" s="4" t="s">
        <v>127</v>
      </c>
      <c r="D1682" s="4" t="s">
        <v>314</v>
      </c>
      <c r="E1682" s="4" t="s">
        <v>291</v>
      </c>
      <c r="F1682" t="s">
        <v>213</v>
      </c>
      <c r="G1682" t="s">
        <v>230</v>
      </c>
      <c r="H1682">
        <f>VLOOKUP(C1682,'TB Apr 24'!$B$13:$AE$103,30,0)</f>
        <v>0</v>
      </c>
    </row>
    <row r="1683" spans="1:8" x14ac:dyDescent="0.35">
      <c r="A1683" s="77">
        <v>45383</v>
      </c>
      <c r="B1683" s="3" t="s">
        <v>128</v>
      </c>
      <c r="C1683" s="4" t="s">
        <v>129</v>
      </c>
      <c r="D1683" s="4" t="s">
        <v>314</v>
      </c>
      <c r="E1683" s="4" t="s">
        <v>322</v>
      </c>
      <c r="F1683" t="s">
        <v>213</v>
      </c>
      <c r="G1683" t="s">
        <v>230</v>
      </c>
      <c r="H1683">
        <f>VLOOKUP(C1683,'TB Apr 24'!$B$13:$AE$103,30,0)</f>
        <v>11584.875</v>
      </c>
    </row>
    <row r="1684" spans="1:8" x14ac:dyDescent="0.35">
      <c r="A1684" s="77">
        <v>45383</v>
      </c>
      <c r="B1684" s="3" t="s">
        <v>130</v>
      </c>
      <c r="C1684" s="4" t="s">
        <v>131</v>
      </c>
      <c r="D1684" s="4" t="s">
        <v>314</v>
      </c>
      <c r="E1684" s="4" t="s">
        <v>322</v>
      </c>
      <c r="F1684" t="s">
        <v>213</v>
      </c>
      <c r="G1684" t="s">
        <v>230</v>
      </c>
      <c r="H1684">
        <f>VLOOKUP(C1684,'TB Apr 24'!$B$13:$AE$103,30,0)</f>
        <v>300</v>
      </c>
    </row>
    <row r="1685" spans="1:8" x14ac:dyDescent="0.35">
      <c r="A1685" s="77">
        <v>45383</v>
      </c>
      <c r="B1685" s="3" t="s">
        <v>132</v>
      </c>
      <c r="C1685" s="4" t="s">
        <v>133</v>
      </c>
      <c r="D1685" s="4" t="s">
        <v>314</v>
      </c>
      <c r="E1685" s="4" t="s">
        <v>320</v>
      </c>
      <c r="F1685" t="s">
        <v>213</v>
      </c>
      <c r="G1685" t="s">
        <v>230</v>
      </c>
      <c r="H1685">
        <f>VLOOKUP(C1685,'TB Apr 24'!$B$13:$AE$103,30,0)</f>
        <v>3870</v>
      </c>
    </row>
    <row r="1686" spans="1:8" x14ac:dyDescent="0.35">
      <c r="A1686" s="77">
        <v>45383</v>
      </c>
      <c r="B1686" s="3" t="s">
        <v>134</v>
      </c>
      <c r="C1686" s="4" t="s">
        <v>135</v>
      </c>
      <c r="D1686" s="4" t="s">
        <v>314</v>
      </c>
      <c r="E1686" s="4" t="s">
        <v>299</v>
      </c>
      <c r="F1686" t="s">
        <v>213</v>
      </c>
      <c r="G1686" t="s">
        <v>230</v>
      </c>
      <c r="H1686">
        <f>VLOOKUP(C1686,'TB Apr 24'!$B$13:$AE$103,30,0)</f>
        <v>0</v>
      </c>
    </row>
    <row r="1687" spans="1:8" x14ac:dyDescent="0.35">
      <c r="A1687" s="77">
        <v>45383</v>
      </c>
      <c r="B1687" s="3" t="s">
        <v>136</v>
      </c>
      <c r="C1687" s="4" t="s">
        <v>137</v>
      </c>
      <c r="D1687" s="4" t="s">
        <v>314</v>
      </c>
      <c r="E1687" s="4" t="s">
        <v>322</v>
      </c>
      <c r="F1687" t="s">
        <v>213</v>
      </c>
      <c r="G1687" t="s">
        <v>230</v>
      </c>
      <c r="H1687">
        <f>VLOOKUP(C1687,'TB Apr 24'!$B$13:$AE$103,30,0)</f>
        <v>0</v>
      </c>
    </row>
    <row r="1688" spans="1:8" x14ac:dyDescent="0.35">
      <c r="A1688" s="77">
        <v>45383</v>
      </c>
      <c r="B1688" s="3" t="s">
        <v>138</v>
      </c>
      <c r="C1688" s="4" t="s">
        <v>139</v>
      </c>
      <c r="D1688" s="4" t="s">
        <v>314</v>
      </c>
      <c r="E1688" s="4" t="s">
        <v>294</v>
      </c>
      <c r="F1688" t="s">
        <v>213</v>
      </c>
      <c r="G1688" t="s">
        <v>230</v>
      </c>
      <c r="H1688">
        <f>VLOOKUP(C1688,'TB Apr 24'!$B$13:$AE$103,30,0)</f>
        <v>7628</v>
      </c>
    </row>
    <row r="1689" spans="1:8" x14ac:dyDescent="0.35">
      <c r="A1689" s="77">
        <v>45383</v>
      </c>
      <c r="B1689" s="3" t="s">
        <v>140</v>
      </c>
      <c r="C1689" s="4" t="s">
        <v>141</v>
      </c>
      <c r="D1689" s="4" t="s">
        <v>314</v>
      </c>
      <c r="E1689" s="4" t="s">
        <v>268</v>
      </c>
      <c r="F1689" t="s">
        <v>213</v>
      </c>
      <c r="G1689" t="s">
        <v>230</v>
      </c>
      <c r="H1689">
        <f>VLOOKUP(C1689,'TB Apr 24'!$B$13:$AE$103,30,0)</f>
        <v>28294.983</v>
      </c>
    </row>
    <row r="1690" spans="1:8" x14ac:dyDescent="0.35">
      <c r="A1690" s="77">
        <v>45383</v>
      </c>
      <c r="B1690" s="3" t="s">
        <v>142</v>
      </c>
      <c r="C1690" s="4" t="s">
        <v>143</v>
      </c>
      <c r="D1690" s="4" t="s">
        <v>314</v>
      </c>
      <c r="E1690" s="4" t="s">
        <v>269</v>
      </c>
      <c r="F1690" t="s">
        <v>213</v>
      </c>
      <c r="G1690" t="s">
        <v>230</v>
      </c>
      <c r="H1690">
        <f>VLOOKUP(C1690,'TB Apr 24'!$B$13:$AE$103,30,0)</f>
        <v>69044.074311178061</v>
      </c>
    </row>
    <row r="1691" spans="1:8" x14ac:dyDescent="0.35">
      <c r="A1691" s="77">
        <v>45383</v>
      </c>
      <c r="B1691" s="3" t="s">
        <v>144</v>
      </c>
      <c r="C1691" s="4" t="s">
        <v>145</v>
      </c>
      <c r="D1691" s="4" t="s">
        <v>314</v>
      </c>
      <c r="E1691" s="4" t="s">
        <v>288</v>
      </c>
      <c r="F1691" t="s">
        <v>213</v>
      </c>
      <c r="G1691" t="s">
        <v>230</v>
      </c>
      <c r="H1691">
        <f>VLOOKUP(C1691,'TB Apr 24'!$B$13:$AE$103,30,0)</f>
        <v>44878.755413293162</v>
      </c>
    </row>
    <row r="1692" spans="1:8" x14ac:dyDescent="0.35">
      <c r="A1692" s="77">
        <v>45383</v>
      </c>
      <c r="B1692" s="3" t="s">
        <v>146</v>
      </c>
      <c r="C1692" s="4" t="s">
        <v>147</v>
      </c>
      <c r="D1692" s="4" t="s">
        <v>314</v>
      </c>
      <c r="E1692" s="4" t="s">
        <v>288</v>
      </c>
      <c r="F1692" t="s">
        <v>213</v>
      </c>
      <c r="G1692" t="s">
        <v>230</v>
      </c>
      <c r="H1692">
        <f>VLOOKUP(C1692,'TB Apr 24'!$B$13:$AE$103,30,0)</f>
        <v>20928.296135902427</v>
      </c>
    </row>
    <row r="1693" spans="1:8" x14ac:dyDescent="0.35">
      <c r="A1693" s="77">
        <v>45383</v>
      </c>
      <c r="B1693" s="3" t="s">
        <v>148</v>
      </c>
      <c r="C1693" s="4" t="s">
        <v>149</v>
      </c>
      <c r="D1693" s="4" t="s">
        <v>314</v>
      </c>
      <c r="E1693" s="4" t="s">
        <v>287</v>
      </c>
      <c r="F1693" t="s">
        <v>213</v>
      </c>
      <c r="G1693" t="s">
        <v>230</v>
      </c>
      <c r="H1693">
        <f>VLOOKUP(C1693,'TB Apr 24'!$B$13:$AE$103,30,0)</f>
        <v>70964.26900144355</v>
      </c>
    </row>
    <row r="1694" spans="1:8" x14ac:dyDescent="0.35">
      <c r="A1694" s="77">
        <v>45383</v>
      </c>
      <c r="B1694" s="3" t="s">
        <v>150</v>
      </c>
      <c r="C1694" s="4" t="s">
        <v>87</v>
      </c>
      <c r="D1694" s="4" t="s">
        <v>314</v>
      </c>
      <c r="E1694" s="4" t="s">
        <v>288</v>
      </c>
      <c r="F1694" t="s">
        <v>213</v>
      </c>
      <c r="G1694" t="s">
        <v>230</v>
      </c>
      <c r="H1694">
        <f>VLOOKUP(C1694,'TB Apr 24'!$B$13:$AE$103,30,0)</f>
        <v>33680.603527270447</v>
      </c>
    </row>
    <row r="1695" spans="1:8" x14ac:dyDescent="0.35">
      <c r="A1695" s="77">
        <v>45383</v>
      </c>
      <c r="B1695" s="3" t="s">
        <v>151</v>
      </c>
      <c r="C1695" s="4" t="s">
        <v>152</v>
      </c>
      <c r="D1695" s="4" t="s">
        <v>314</v>
      </c>
      <c r="E1695" s="4" t="s">
        <v>288</v>
      </c>
      <c r="F1695" t="s">
        <v>213</v>
      </c>
      <c r="G1695" t="s">
        <v>230</v>
      </c>
      <c r="H1695">
        <f>VLOOKUP(C1695,'TB Apr 24'!$B$13:$AE$103,30,0)</f>
        <v>7541.5344254063893</v>
      </c>
    </row>
    <row r="1696" spans="1:8" x14ac:dyDescent="0.35">
      <c r="A1696" s="77">
        <v>45383</v>
      </c>
      <c r="B1696" s="3" t="s">
        <v>153</v>
      </c>
      <c r="C1696" s="4" t="s">
        <v>154</v>
      </c>
      <c r="D1696" s="4" t="s">
        <v>314</v>
      </c>
      <c r="E1696" s="4" t="s">
        <v>288</v>
      </c>
      <c r="F1696" t="s">
        <v>213</v>
      </c>
      <c r="G1696" t="s">
        <v>230</v>
      </c>
      <c r="H1696">
        <f>VLOOKUP(C1696,'TB Apr 24'!$B$13:$AE$103,30,0)</f>
        <v>5731.5110776376077</v>
      </c>
    </row>
    <row r="1697" spans="1:8" x14ac:dyDescent="0.35">
      <c r="A1697" s="77">
        <v>45383</v>
      </c>
      <c r="B1697" s="3" t="s">
        <v>155</v>
      </c>
      <c r="C1697" s="4" t="s">
        <v>156</v>
      </c>
      <c r="D1697" s="4" t="s">
        <v>314</v>
      </c>
      <c r="E1697" s="4" t="s">
        <v>288</v>
      </c>
      <c r="F1697" t="s">
        <v>213</v>
      </c>
      <c r="G1697" t="s">
        <v>230</v>
      </c>
      <c r="H1697">
        <f>VLOOKUP(C1697,'TB Apr 24'!$B$13:$AE$103,30,0)</f>
        <v>0</v>
      </c>
    </row>
    <row r="1698" spans="1:8" x14ac:dyDescent="0.35">
      <c r="A1698" s="77">
        <v>45383</v>
      </c>
      <c r="B1698" s="3" t="s">
        <v>157</v>
      </c>
      <c r="C1698" s="4" t="s">
        <v>158</v>
      </c>
      <c r="D1698" s="4" t="s">
        <v>314</v>
      </c>
      <c r="E1698" s="4" t="s">
        <v>292</v>
      </c>
      <c r="F1698" t="s">
        <v>213</v>
      </c>
      <c r="G1698" t="s">
        <v>230</v>
      </c>
      <c r="H1698">
        <f>VLOOKUP(C1698,'TB Apr 24'!$B$13:$AE$103,30,0)</f>
        <v>0</v>
      </c>
    </row>
    <row r="1699" spans="1:8" x14ac:dyDescent="0.35">
      <c r="A1699" s="77">
        <v>45383</v>
      </c>
      <c r="B1699" s="3" t="s">
        <v>159</v>
      </c>
      <c r="C1699" s="4" t="s">
        <v>160</v>
      </c>
      <c r="D1699" s="4" t="s">
        <v>314</v>
      </c>
      <c r="E1699" s="4" t="s">
        <v>323</v>
      </c>
      <c r="F1699" t="s">
        <v>213</v>
      </c>
      <c r="G1699" t="s">
        <v>230</v>
      </c>
      <c r="H1699">
        <f>VLOOKUP(C1699,'TB Apr 24'!$B$13:$AE$103,30,0)</f>
        <v>0</v>
      </c>
    </row>
    <row r="1700" spans="1:8" x14ac:dyDescent="0.35">
      <c r="A1700" s="77">
        <v>45383</v>
      </c>
      <c r="B1700" s="3" t="s">
        <v>161</v>
      </c>
      <c r="C1700" s="4" t="s">
        <v>162</v>
      </c>
      <c r="D1700" s="4" t="s">
        <v>314</v>
      </c>
      <c r="E1700" s="4" t="s">
        <v>323</v>
      </c>
      <c r="F1700" t="s">
        <v>213</v>
      </c>
      <c r="G1700" t="s">
        <v>230</v>
      </c>
      <c r="H1700">
        <f>VLOOKUP(C1700,'TB Apr 24'!$B$13:$AE$103,30,0)</f>
        <v>0</v>
      </c>
    </row>
    <row r="1701" spans="1:8" x14ac:dyDescent="0.35">
      <c r="A1701" s="77">
        <v>45383</v>
      </c>
      <c r="B1701" s="3" t="s">
        <v>163</v>
      </c>
      <c r="C1701" s="4" t="s">
        <v>164</v>
      </c>
      <c r="D1701" s="4" t="s">
        <v>314</v>
      </c>
      <c r="E1701" s="4" t="s">
        <v>319</v>
      </c>
      <c r="F1701" t="s">
        <v>213</v>
      </c>
      <c r="G1701" t="s">
        <v>230</v>
      </c>
      <c r="H1701">
        <f>VLOOKUP(C1701,'TB Apr 24'!$B$13:$AE$103,30,0)</f>
        <v>0</v>
      </c>
    </row>
    <row r="1702" spans="1:8" x14ac:dyDescent="0.35">
      <c r="A1702" s="77">
        <v>45383</v>
      </c>
      <c r="B1702" s="3" t="s">
        <v>165</v>
      </c>
      <c r="C1702" s="4" t="s">
        <v>166</v>
      </c>
      <c r="D1702" s="4" t="s">
        <v>314</v>
      </c>
      <c r="E1702" s="4" t="s">
        <v>304</v>
      </c>
      <c r="F1702" t="s">
        <v>213</v>
      </c>
      <c r="G1702" t="s">
        <v>230</v>
      </c>
      <c r="H1702">
        <f>VLOOKUP(C1702,'TB Apr 24'!$B$13:$AE$103,30,0)</f>
        <v>20690</v>
      </c>
    </row>
    <row r="1703" spans="1:8" x14ac:dyDescent="0.35">
      <c r="A1703" s="77">
        <v>45383</v>
      </c>
      <c r="B1703" s="3" t="s">
        <v>167</v>
      </c>
      <c r="C1703" s="4" t="s">
        <v>168</v>
      </c>
      <c r="D1703" s="4" t="s">
        <v>314</v>
      </c>
      <c r="E1703" s="4" t="s">
        <v>322</v>
      </c>
      <c r="F1703" t="s">
        <v>213</v>
      </c>
      <c r="G1703" t="s">
        <v>230</v>
      </c>
      <c r="H1703">
        <f>VLOOKUP(C1703,'TB Apr 24'!$B$13:$AE$103,30,0)</f>
        <v>0</v>
      </c>
    </row>
    <row r="1704" spans="1:8" x14ac:dyDescent="0.35">
      <c r="A1704" s="77">
        <v>45383</v>
      </c>
      <c r="B1704" s="3" t="s">
        <v>169</v>
      </c>
      <c r="C1704" s="4" t="s">
        <v>170</v>
      </c>
      <c r="D1704" s="4" t="s">
        <v>314</v>
      </c>
      <c r="E1704" s="4" t="s">
        <v>304</v>
      </c>
      <c r="F1704" t="s">
        <v>213</v>
      </c>
      <c r="G1704" t="s">
        <v>230</v>
      </c>
      <c r="H1704">
        <f>VLOOKUP(C1704,'TB Apr 24'!$B$13:$AE$103,30,0)</f>
        <v>28209</v>
      </c>
    </row>
    <row r="1705" spans="1:8" x14ac:dyDescent="0.35">
      <c r="A1705" s="77">
        <v>45383</v>
      </c>
      <c r="B1705" s="3" t="s">
        <v>171</v>
      </c>
      <c r="C1705" s="4" t="s">
        <v>172</v>
      </c>
      <c r="D1705" s="4" t="s">
        <v>314</v>
      </c>
      <c r="E1705" s="4" t="s">
        <v>303</v>
      </c>
      <c r="F1705" t="s">
        <v>213</v>
      </c>
      <c r="G1705" t="s">
        <v>230</v>
      </c>
      <c r="H1705">
        <f>VLOOKUP(C1705,'TB Apr 24'!$B$13:$AE$103,30,0)</f>
        <v>0</v>
      </c>
    </row>
    <row r="1706" spans="1:8" x14ac:dyDescent="0.35">
      <c r="A1706" s="77">
        <v>45383</v>
      </c>
      <c r="B1706" s="3" t="s">
        <v>173</v>
      </c>
      <c r="C1706" s="4" t="s">
        <v>174</v>
      </c>
      <c r="D1706" s="4" t="s">
        <v>314</v>
      </c>
      <c r="E1706" s="4" t="s">
        <v>257</v>
      </c>
      <c r="F1706" t="s">
        <v>213</v>
      </c>
      <c r="G1706" t="s">
        <v>230</v>
      </c>
      <c r="H1706">
        <f>VLOOKUP(C1706,'TB Apr 24'!$B$13:$AE$103,30,0)</f>
        <v>0</v>
      </c>
    </row>
    <row r="1707" spans="1:8" x14ac:dyDescent="0.35">
      <c r="A1707" s="77">
        <v>45383</v>
      </c>
      <c r="B1707" s="3" t="s">
        <v>175</v>
      </c>
      <c r="C1707" s="4" t="s">
        <v>176</v>
      </c>
      <c r="D1707" s="4" t="s">
        <v>314</v>
      </c>
      <c r="E1707" s="4" t="s">
        <v>257</v>
      </c>
      <c r="F1707" t="s">
        <v>213</v>
      </c>
      <c r="G1707" t="s">
        <v>230</v>
      </c>
      <c r="H1707">
        <f>VLOOKUP(C1707,'TB Apr 24'!$B$13:$AE$103,30,0)</f>
        <v>0</v>
      </c>
    </row>
    <row r="1708" spans="1:8" x14ac:dyDescent="0.35">
      <c r="A1708" s="77">
        <v>45383</v>
      </c>
      <c r="B1708" s="3" t="s">
        <v>177</v>
      </c>
      <c r="C1708" s="4" t="s">
        <v>178</v>
      </c>
      <c r="D1708" s="4" t="s">
        <v>314</v>
      </c>
      <c r="E1708" s="4" t="s">
        <v>257</v>
      </c>
      <c r="F1708" t="s">
        <v>213</v>
      </c>
      <c r="G1708" t="s">
        <v>230</v>
      </c>
      <c r="H1708">
        <f>VLOOKUP(C1708,'TB Apr 24'!$B$13:$AE$103,30,0)</f>
        <v>0</v>
      </c>
    </row>
    <row r="1709" spans="1:8" x14ac:dyDescent="0.35">
      <c r="A1709" s="77">
        <v>45383</v>
      </c>
      <c r="B1709" s="3" t="s">
        <v>179</v>
      </c>
      <c r="C1709" s="4" t="s">
        <v>180</v>
      </c>
      <c r="D1709" s="4" t="s">
        <v>314</v>
      </c>
      <c r="E1709" s="4" t="s">
        <v>322</v>
      </c>
      <c r="F1709" t="s">
        <v>213</v>
      </c>
      <c r="G1709" t="s">
        <v>230</v>
      </c>
      <c r="H1709">
        <f>VLOOKUP(C1709,'TB Apr 24'!$B$13:$AE$103,30,0)</f>
        <v>0</v>
      </c>
    </row>
    <row r="1710" spans="1:8" x14ac:dyDescent="0.35">
      <c r="A1710" s="77">
        <v>45383</v>
      </c>
      <c r="B1710" s="3" t="s">
        <v>181</v>
      </c>
      <c r="C1710" s="4" t="s">
        <v>182</v>
      </c>
      <c r="D1710" s="4" t="s">
        <v>314</v>
      </c>
      <c r="E1710" s="4" t="s">
        <v>290</v>
      </c>
      <c r="F1710" t="s">
        <v>213</v>
      </c>
      <c r="G1710" t="s">
        <v>230</v>
      </c>
      <c r="H1710">
        <f>VLOOKUP(C1710,'TB Apr 24'!$B$13:$AE$103,30,0)</f>
        <v>0</v>
      </c>
    </row>
    <row r="1711" spans="1:8" x14ac:dyDescent="0.35">
      <c r="A1711" s="77">
        <v>45383</v>
      </c>
      <c r="B1711" s="3" t="s">
        <v>183</v>
      </c>
      <c r="C1711" s="4" t="s">
        <v>184</v>
      </c>
      <c r="D1711" s="4" t="s">
        <v>314</v>
      </c>
      <c r="E1711" s="4" t="s">
        <v>290</v>
      </c>
      <c r="F1711" t="s">
        <v>213</v>
      </c>
      <c r="G1711" t="s">
        <v>230</v>
      </c>
      <c r="H1711">
        <f>VLOOKUP(C1711,'TB Apr 24'!$B$13:$AE$103,30,0)</f>
        <v>0</v>
      </c>
    </row>
    <row r="1712" spans="1:8" x14ac:dyDescent="0.35">
      <c r="A1712" s="77">
        <v>45383</v>
      </c>
      <c r="B1712" s="3" t="s">
        <v>185</v>
      </c>
      <c r="C1712" s="4" t="s">
        <v>186</v>
      </c>
      <c r="D1712" s="4" t="s">
        <v>314</v>
      </c>
      <c r="E1712" s="4" t="s">
        <v>290</v>
      </c>
      <c r="F1712" t="s">
        <v>213</v>
      </c>
      <c r="G1712" t="s">
        <v>230</v>
      </c>
      <c r="H1712">
        <f>VLOOKUP(C1712,'TB Apr 24'!$B$13:$AE$103,30,0)</f>
        <v>2500</v>
      </c>
    </row>
    <row r="1713" spans="1:8" x14ac:dyDescent="0.35">
      <c r="A1713" s="77">
        <v>45383</v>
      </c>
      <c r="B1713" s="3" t="s">
        <v>187</v>
      </c>
      <c r="C1713" s="4" t="s">
        <v>188</v>
      </c>
      <c r="D1713" s="4" t="s">
        <v>314</v>
      </c>
      <c r="E1713" s="4" t="s">
        <v>291</v>
      </c>
      <c r="F1713" t="s">
        <v>213</v>
      </c>
      <c r="G1713" t="s">
        <v>230</v>
      </c>
      <c r="H1713">
        <f>VLOOKUP(C1713,'TB Apr 24'!$B$13:$AE$103,30,0)</f>
        <v>2835.2999999999997</v>
      </c>
    </row>
    <row r="1714" spans="1:8" x14ac:dyDescent="0.35">
      <c r="A1714" s="77">
        <v>45383</v>
      </c>
      <c r="B1714" s="3" t="s">
        <v>189</v>
      </c>
      <c r="C1714" s="4" t="s">
        <v>190</v>
      </c>
      <c r="D1714" s="4" t="s">
        <v>314</v>
      </c>
      <c r="E1714" s="4" t="s">
        <v>254</v>
      </c>
      <c r="F1714" t="s">
        <v>213</v>
      </c>
      <c r="G1714" t="s">
        <v>230</v>
      </c>
      <c r="H1714">
        <f>VLOOKUP(C1714,'TB Apr 24'!$B$13:$AE$103,30,0)</f>
        <v>0</v>
      </c>
    </row>
    <row r="1715" spans="1:8" x14ac:dyDescent="0.35">
      <c r="A1715" s="77">
        <v>45383</v>
      </c>
      <c r="B1715" s="3" t="s">
        <v>191</v>
      </c>
      <c r="C1715" s="4" t="s">
        <v>192</v>
      </c>
      <c r="D1715" s="4" t="s">
        <v>314</v>
      </c>
      <c r="E1715" s="4" t="s">
        <v>254</v>
      </c>
      <c r="F1715" t="s">
        <v>213</v>
      </c>
      <c r="G1715" t="s">
        <v>230</v>
      </c>
      <c r="H1715">
        <f>VLOOKUP(C1715,'TB Apr 24'!$B$13:$AE$103,30,0)</f>
        <v>0</v>
      </c>
    </row>
    <row r="1716" spans="1:8" x14ac:dyDescent="0.35">
      <c r="A1716" s="77">
        <v>45383</v>
      </c>
      <c r="B1716" s="3" t="s">
        <v>193</v>
      </c>
      <c r="C1716" s="4" t="s">
        <v>194</v>
      </c>
      <c r="D1716" s="4" t="s">
        <v>314</v>
      </c>
      <c r="E1716" s="4" t="s">
        <v>254</v>
      </c>
      <c r="F1716" t="s">
        <v>213</v>
      </c>
      <c r="G1716" t="s">
        <v>230</v>
      </c>
      <c r="H1716">
        <f>VLOOKUP(C1716,'TB Apr 24'!$B$13:$AE$103,30,0)</f>
        <v>181959.88704696088</v>
      </c>
    </row>
    <row r="1717" spans="1:8" x14ac:dyDescent="0.35">
      <c r="A1717" s="77">
        <v>45383</v>
      </c>
      <c r="B1717" s="3" t="s">
        <v>195</v>
      </c>
      <c r="C1717" s="4" t="s">
        <v>196</v>
      </c>
      <c r="D1717" s="4" t="s">
        <v>314</v>
      </c>
      <c r="E1717" s="4" t="s">
        <v>255</v>
      </c>
      <c r="F1717" t="s">
        <v>213</v>
      </c>
      <c r="G1717" t="s">
        <v>230</v>
      </c>
      <c r="H1717">
        <f>VLOOKUP(C1717,'TB Apr 24'!$B$13:$AE$103,30,0)</f>
        <v>0</v>
      </c>
    </row>
    <row r="1718" spans="1:8" x14ac:dyDescent="0.35">
      <c r="A1718" s="77">
        <v>45383</v>
      </c>
      <c r="B1718" s="3" t="s">
        <v>197</v>
      </c>
      <c r="C1718" s="4" t="s">
        <v>198</v>
      </c>
      <c r="D1718" s="4" t="s">
        <v>314</v>
      </c>
      <c r="E1718" s="4" t="s">
        <v>255</v>
      </c>
      <c r="F1718" t="s">
        <v>213</v>
      </c>
      <c r="G1718" t="s">
        <v>230</v>
      </c>
      <c r="H1718">
        <f>VLOOKUP(C1718,'TB Apr 24'!$B$13:$AE$103,30,0)</f>
        <v>0</v>
      </c>
    </row>
    <row r="1719" spans="1:8" x14ac:dyDescent="0.35">
      <c r="A1719" s="77">
        <v>45383</v>
      </c>
      <c r="B1719" s="3" t="s">
        <v>199</v>
      </c>
      <c r="C1719" s="4" t="s">
        <v>200</v>
      </c>
      <c r="D1719" s="4" t="s">
        <v>314</v>
      </c>
      <c r="E1719" s="4" t="s">
        <v>254</v>
      </c>
      <c r="F1719" t="s">
        <v>213</v>
      </c>
      <c r="G1719" t="s">
        <v>230</v>
      </c>
      <c r="H1719">
        <f>VLOOKUP(C1719,'TB Apr 24'!$B$13:$AE$103,30,0)</f>
        <v>0</v>
      </c>
    </row>
    <row r="1720" spans="1:8" x14ac:dyDescent="0.35">
      <c r="A1720" s="77">
        <v>45383</v>
      </c>
      <c r="B1720" s="3" t="s">
        <v>201</v>
      </c>
      <c r="C1720" s="4" t="s">
        <v>202</v>
      </c>
      <c r="D1720" s="4" t="s">
        <v>314</v>
      </c>
      <c r="E1720" s="4" t="s">
        <v>254</v>
      </c>
      <c r="F1720" t="s">
        <v>213</v>
      </c>
      <c r="G1720" t="s">
        <v>230</v>
      </c>
      <c r="H1720">
        <f>VLOOKUP(C1720,'TB Apr 24'!$B$13:$AE$103,30,0)</f>
        <v>0</v>
      </c>
    </row>
    <row r="1721" spans="1:8" x14ac:dyDescent="0.35">
      <c r="A1721" s="77">
        <v>45383</v>
      </c>
      <c r="B1721" s="3" t="s">
        <v>203</v>
      </c>
      <c r="C1721" s="4" t="s">
        <v>204</v>
      </c>
      <c r="D1721" s="4" t="s">
        <v>314</v>
      </c>
      <c r="E1721" s="4" t="s">
        <v>256</v>
      </c>
      <c r="F1721" t="s">
        <v>213</v>
      </c>
      <c r="G1721" t="s">
        <v>230</v>
      </c>
      <c r="H1721">
        <f>VLOOKUP(C1721,'TB Apr 24'!$B$13:$AE$103,30,0)</f>
        <v>1265.3599999999999</v>
      </c>
    </row>
    <row r="1722" spans="1:8" x14ac:dyDescent="0.35">
      <c r="A1722" s="77">
        <v>45383</v>
      </c>
      <c r="B1722" s="3" t="s">
        <v>205</v>
      </c>
      <c r="C1722" s="6" t="s">
        <v>206</v>
      </c>
      <c r="D1722" s="4" t="s">
        <v>314</v>
      </c>
      <c r="E1722" s="6" t="s">
        <v>322</v>
      </c>
      <c r="F1722" s="79" t="s">
        <v>213</v>
      </c>
      <c r="G1722" s="79" t="s">
        <v>230</v>
      </c>
      <c r="H1722" s="79">
        <f>VLOOKUP(C1722,'TB Apr 24'!$B$13:$AE$103,30,0)</f>
        <v>0</v>
      </c>
    </row>
    <row r="1723" spans="1:8" x14ac:dyDescent="0.35">
      <c r="A1723" s="77">
        <v>45383</v>
      </c>
      <c r="B1723" s="3" t="s">
        <v>57</v>
      </c>
      <c r="C1723" s="4" t="s">
        <v>58</v>
      </c>
      <c r="D1723" s="4" t="s">
        <v>314</v>
      </c>
      <c r="E1723" s="4" t="s">
        <v>253</v>
      </c>
      <c r="F1723" t="s">
        <v>213</v>
      </c>
      <c r="G1723" t="s">
        <v>231</v>
      </c>
      <c r="H1723">
        <f>VLOOKUP(C1723,'TB Apr 24'!$B$13:$AF$103,31,0)</f>
        <v>0</v>
      </c>
    </row>
    <row r="1724" spans="1:8" x14ac:dyDescent="0.35">
      <c r="A1724" s="77">
        <v>45383</v>
      </c>
      <c r="B1724" s="3" t="s">
        <v>307</v>
      </c>
      <c r="C1724" s="4" t="s">
        <v>308</v>
      </c>
      <c r="D1724" s="4" t="s">
        <v>314</v>
      </c>
      <c r="E1724" s="4" t="s">
        <v>253</v>
      </c>
      <c r="F1724" t="s">
        <v>213</v>
      </c>
      <c r="G1724" t="s">
        <v>231</v>
      </c>
      <c r="H1724">
        <f>VLOOKUP(C1724,'TB Apr 24'!$B$13:$AF$103,31,0)</f>
        <v>0</v>
      </c>
    </row>
    <row r="1725" spans="1:8" x14ac:dyDescent="0.35">
      <c r="A1725" s="77">
        <v>45383</v>
      </c>
      <c r="B1725" s="3" t="s">
        <v>59</v>
      </c>
      <c r="C1725" s="4" t="s">
        <v>60</v>
      </c>
      <c r="D1725" s="4" t="s">
        <v>314</v>
      </c>
      <c r="E1725" s="4" t="s">
        <v>253</v>
      </c>
      <c r="F1725" t="s">
        <v>213</v>
      </c>
      <c r="G1725" t="s">
        <v>231</v>
      </c>
      <c r="H1725">
        <f>VLOOKUP(C1725,'TB Apr 24'!$B$13:$AF$103,31,0)</f>
        <v>-20.170000000000002</v>
      </c>
    </row>
    <row r="1726" spans="1:8" x14ac:dyDescent="0.35">
      <c r="A1726" s="77">
        <v>45383</v>
      </c>
      <c r="B1726" s="3" t="s">
        <v>61</v>
      </c>
      <c r="C1726" s="4" t="s">
        <v>62</v>
      </c>
      <c r="D1726" s="4" t="s">
        <v>314</v>
      </c>
      <c r="E1726" s="4" t="s">
        <v>66</v>
      </c>
      <c r="F1726" t="s">
        <v>213</v>
      </c>
      <c r="G1726" t="s">
        <v>231</v>
      </c>
      <c r="H1726">
        <f>VLOOKUP(C1726,'TB Apr 24'!$B$13:$AF$103,31,0)</f>
        <v>-45763.99</v>
      </c>
    </row>
    <row r="1727" spans="1:8" x14ac:dyDescent="0.35">
      <c r="A1727" s="77">
        <v>45383</v>
      </c>
      <c r="B1727" s="3" t="s">
        <v>63</v>
      </c>
      <c r="C1727" s="4" t="s">
        <v>64</v>
      </c>
      <c r="D1727" s="4" t="s">
        <v>314</v>
      </c>
      <c r="E1727" s="4" t="s">
        <v>252</v>
      </c>
      <c r="F1727" t="s">
        <v>213</v>
      </c>
      <c r="G1727" t="s">
        <v>231</v>
      </c>
      <c r="H1727">
        <f>VLOOKUP(C1727,'TB Apr 24'!$B$13:$AF$103,31,0)</f>
        <v>0</v>
      </c>
    </row>
    <row r="1728" spans="1:8" x14ac:dyDescent="0.35">
      <c r="A1728" s="77">
        <v>45383</v>
      </c>
      <c r="B1728" s="3" t="s">
        <v>65</v>
      </c>
      <c r="C1728" s="4" t="s">
        <v>66</v>
      </c>
      <c r="D1728" s="4" t="s">
        <v>314</v>
      </c>
      <c r="E1728" s="4" t="s">
        <v>66</v>
      </c>
      <c r="F1728" t="s">
        <v>213</v>
      </c>
      <c r="G1728" t="s">
        <v>231</v>
      </c>
      <c r="H1728">
        <f>VLOOKUP(C1728,'TB Apr 24'!$B$13:$AF$103,31,0)</f>
        <v>-1287772.48</v>
      </c>
    </row>
    <row r="1729" spans="1:8" x14ac:dyDescent="0.35">
      <c r="A1729" s="77">
        <v>45383</v>
      </c>
      <c r="B1729" s="3" t="s">
        <v>67</v>
      </c>
      <c r="C1729" s="4" t="s">
        <v>68</v>
      </c>
      <c r="D1729" s="4" t="s">
        <v>314</v>
      </c>
      <c r="E1729" s="4" t="s">
        <v>252</v>
      </c>
      <c r="F1729" t="s">
        <v>213</v>
      </c>
      <c r="G1729" t="s">
        <v>231</v>
      </c>
      <c r="H1729">
        <f>VLOOKUP(C1729,'TB Apr 24'!$B$13:$AF$103,31,0)</f>
        <v>-103445.98</v>
      </c>
    </row>
    <row r="1730" spans="1:8" x14ac:dyDescent="0.35">
      <c r="A1730" s="77">
        <v>45383</v>
      </c>
      <c r="B1730" s="3" t="s">
        <v>69</v>
      </c>
      <c r="C1730" s="4" t="s">
        <v>70</v>
      </c>
      <c r="D1730" s="4" t="s">
        <v>314</v>
      </c>
      <c r="E1730" s="4" t="s">
        <v>70</v>
      </c>
      <c r="F1730" t="s">
        <v>213</v>
      </c>
      <c r="G1730" t="s">
        <v>231</v>
      </c>
      <c r="H1730">
        <f>VLOOKUP(C1730,'TB Apr 24'!$B$13:$AF$103,31,0)</f>
        <v>-468601.3</v>
      </c>
    </row>
    <row r="1731" spans="1:8" x14ac:dyDescent="0.35">
      <c r="A1731" s="77">
        <v>45383</v>
      </c>
      <c r="B1731" s="3" t="s">
        <v>71</v>
      </c>
      <c r="C1731" s="4" t="s">
        <v>72</v>
      </c>
      <c r="D1731" s="4" t="s">
        <v>314</v>
      </c>
      <c r="E1731" s="4" t="s">
        <v>253</v>
      </c>
      <c r="F1731" t="s">
        <v>213</v>
      </c>
      <c r="G1731" t="s">
        <v>231</v>
      </c>
      <c r="H1731">
        <f>VLOOKUP(C1731,'TB Apr 24'!$B$13:$AF$103,31,0)</f>
        <v>0</v>
      </c>
    </row>
    <row r="1732" spans="1:8" x14ac:dyDescent="0.35">
      <c r="A1732" s="77">
        <v>45383</v>
      </c>
      <c r="B1732" s="3" t="s">
        <v>73</v>
      </c>
      <c r="C1732" s="4" t="s">
        <v>74</v>
      </c>
      <c r="D1732" s="4" t="s">
        <v>314</v>
      </c>
      <c r="E1732" s="4" t="s">
        <v>253</v>
      </c>
      <c r="F1732" t="s">
        <v>213</v>
      </c>
      <c r="G1732" t="s">
        <v>231</v>
      </c>
      <c r="H1732">
        <f>VLOOKUP(C1732,'TB Apr 24'!$B$13:$AF$103,31,0)</f>
        <v>-1923.6</v>
      </c>
    </row>
    <row r="1733" spans="1:8" x14ac:dyDescent="0.35">
      <c r="A1733" s="77">
        <v>45383</v>
      </c>
      <c r="B1733" s="3" t="s">
        <v>75</v>
      </c>
      <c r="C1733" s="4" t="s">
        <v>76</v>
      </c>
      <c r="D1733" s="4" t="s">
        <v>314</v>
      </c>
      <c r="E1733" s="4" t="s">
        <v>253</v>
      </c>
      <c r="F1733" t="s">
        <v>213</v>
      </c>
      <c r="G1733" t="s">
        <v>231</v>
      </c>
      <c r="H1733">
        <f>VLOOKUP(C1733,'TB Apr 24'!$B$13:$AF$103,31,0)</f>
        <v>0</v>
      </c>
    </row>
    <row r="1734" spans="1:8" x14ac:dyDescent="0.35">
      <c r="A1734" s="77">
        <v>45383</v>
      </c>
      <c r="B1734" s="3" t="s">
        <v>77</v>
      </c>
      <c r="C1734" s="4" t="s">
        <v>78</v>
      </c>
      <c r="D1734" s="4" t="s">
        <v>314</v>
      </c>
      <c r="E1734" s="4" t="s">
        <v>253</v>
      </c>
      <c r="F1734" t="s">
        <v>213</v>
      </c>
      <c r="G1734" t="s">
        <v>231</v>
      </c>
      <c r="H1734">
        <f>VLOOKUP(C1734,'TB Apr 24'!$B$13:$AF$103,31,0)</f>
        <v>-7079.31</v>
      </c>
    </row>
    <row r="1735" spans="1:8" x14ac:dyDescent="0.35">
      <c r="A1735" s="77">
        <v>45383</v>
      </c>
      <c r="B1735" s="3" t="s">
        <v>79</v>
      </c>
      <c r="C1735" s="4" t="s">
        <v>80</v>
      </c>
      <c r="D1735" s="4" t="s">
        <v>314</v>
      </c>
      <c r="E1735" s="4" t="s">
        <v>253</v>
      </c>
      <c r="F1735" t="s">
        <v>213</v>
      </c>
      <c r="G1735" t="s">
        <v>231</v>
      </c>
      <c r="H1735">
        <f>VLOOKUP(C1735,'TB Apr 24'!$B$13:$AF$103,31,0)</f>
        <v>-45785.88</v>
      </c>
    </row>
    <row r="1736" spans="1:8" x14ac:dyDescent="0.35">
      <c r="A1736" s="77">
        <v>45383</v>
      </c>
      <c r="B1736" s="3" t="s">
        <v>81</v>
      </c>
      <c r="C1736" s="4" t="s">
        <v>82</v>
      </c>
      <c r="D1736" s="4" t="s">
        <v>314</v>
      </c>
      <c r="E1736" s="4" t="s">
        <v>319</v>
      </c>
      <c r="F1736" t="s">
        <v>213</v>
      </c>
      <c r="G1736" t="s">
        <v>231</v>
      </c>
      <c r="H1736">
        <f>VLOOKUP(C1736,'TB Apr 24'!$B$13:$AF$103,31,0)</f>
        <v>3894</v>
      </c>
    </row>
    <row r="1737" spans="1:8" x14ac:dyDescent="0.35">
      <c r="A1737" s="77">
        <v>45383</v>
      </c>
      <c r="B1737" s="3" t="s">
        <v>83</v>
      </c>
      <c r="C1737" s="4" t="s">
        <v>84</v>
      </c>
      <c r="D1737" s="4" t="s">
        <v>314</v>
      </c>
      <c r="E1737" s="4" t="s">
        <v>319</v>
      </c>
      <c r="F1737" t="s">
        <v>213</v>
      </c>
      <c r="G1737" t="s">
        <v>231</v>
      </c>
      <c r="H1737">
        <f>VLOOKUP(C1737,'TB Apr 24'!$B$13:$AF$103,31,0)</f>
        <v>0</v>
      </c>
    </row>
    <row r="1738" spans="1:8" x14ac:dyDescent="0.35">
      <c r="A1738" s="77">
        <v>45383</v>
      </c>
      <c r="B1738" s="3" t="s">
        <v>85</v>
      </c>
      <c r="C1738" s="4" t="s">
        <v>86</v>
      </c>
      <c r="D1738" s="4" t="s">
        <v>314</v>
      </c>
      <c r="E1738" s="4" t="s">
        <v>291</v>
      </c>
      <c r="F1738" t="s">
        <v>213</v>
      </c>
      <c r="G1738" t="s">
        <v>231</v>
      </c>
      <c r="H1738">
        <f>VLOOKUP(C1738,'TB Apr 24'!$B$13:$AF$103,31,0)</f>
        <v>15482</v>
      </c>
    </row>
    <row r="1739" spans="1:8" x14ac:dyDescent="0.35">
      <c r="A1739" s="77">
        <v>45383</v>
      </c>
      <c r="B1739" s="3" t="s">
        <v>88</v>
      </c>
      <c r="C1739" s="4" t="s">
        <v>89</v>
      </c>
      <c r="D1739" s="4" t="s">
        <v>314</v>
      </c>
      <c r="E1739" s="4" t="s">
        <v>300</v>
      </c>
      <c r="F1739" t="s">
        <v>213</v>
      </c>
      <c r="G1739" t="s">
        <v>231</v>
      </c>
      <c r="H1739">
        <f>VLOOKUP(C1739,'TB Apr 24'!$B$13:$AF$103,31,0)</f>
        <v>0</v>
      </c>
    </row>
    <row r="1740" spans="1:8" x14ac:dyDescent="0.35">
      <c r="A1740" s="77">
        <v>45383</v>
      </c>
      <c r="B1740" s="3" t="s">
        <v>90</v>
      </c>
      <c r="C1740" s="4" t="s">
        <v>91</v>
      </c>
      <c r="D1740" s="4" t="s">
        <v>314</v>
      </c>
      <c r="E1740" s="4" t="s">
        <v>300</v>
      </c>
      <c r="F1740" t="s">
        <v>213</v>
      </c>
      <c r="G1740" t="s">
        <v>231</v>
      </c>
      <c r="H1740">
        <f>VLOOKUP(C1740,'TB Apr 24'!$B$13:$AF$103,31,0)</f>
        <v>29600</v>
      </c>
    </row>
    <row r="1741" spans="1:8" x14ac:dyDescent="0.35">
      <c r="A1741" s="77">
        <v>45383</v>
      </c>
      <c r="B1741" s="3" t="s">
        <v>92</v>
      </c>
      <c r="C1741" s="4" t="s">
        <v>93</v>
      </c>
      <c r="D1741" s="4" t="s">
        <v>314</v>
      </c>
      <c r="E1741" s="4" t="s">
        <v>300</v>
      </c>
      <c r="F1741" t="s">
        <v>213</v>
      </c>
      <c r="G1741" t="s">
        <v>231</v>
      </c>
      <c r="H1741">
        <f>VLOOKUP(C1741,'TB Apr 24'!$B$13:$AF$103,31,0)</f>
        <v>5625</v>
      </c>
    </row>
    <row r="1742" spans="1:8" x14ac:dyDescent="0.35">
      <c r="A1742" s="77">
        <v>45383</v>
      </c>
      <c r="B1742" s="3" t="s">
        <v>94</v>
      </c>
      <c r="C1742" s="4" t="s">
        <v>95</v>
      </c>
      <c r="D1742" s="4" t="s">
        <v>314</v>
      </c>
      <c r="E1742" s="4" t="s">
        <v>289</v>
      </c>
      <c r="F1742" t="s">
        <v>213</v>
      </c>
      <c r="G1742" t="s">
        <v>231</v>
      </c>
      <c r="H1742">
        <f>VLOOKUP(C1742,'TB Apr 24'!$B$13:$AF$103,31,0)</f>
        <v>889299.5</v>
      </c>
    </row>
    <row r="1743" spans="1:8" x14ac:dyDescent="0.35">
      <c r="A1743" s="77">
        <v>45383</v>
      </c>
      <c r="B1743" s="3" t="s">
        <v>96</v>
      </c>
      <c r="C1743" s="4" t="s">
        <v>97</v>
      </c>
      <c r="D1743" s="4" t="s">
        <v>314</v>
      </c>
      <c r="E1743" s="4" t="s">
        <v>289</v>
      </c>
      <c r="F1743" t="s">
        <v>213</v>
      </c>
      <c r="G1743" t="s">
        <v>231</v>
      </c>
      <c r="H1743">
        <f>VLOOKUP(C1743,'TB Apr 24'!$B$13:$AF$103,31,0)</f>
        <v>0</v>
      </c>
    </row>
    <row r="1744" spans="1:8" x14ac:dyDescent="0.35">
      <c r="A1744" s="77">
        <v>45383</v>
      </c>
      <c r="B1744" s="3" t="s">
        <v>309</v>
      </c>
      <c r="C1744" s="4" t="s">
        <v>310</v>
      </c>
      <c r="D1744" s="4" t="s">
        <v>314</v>
      </c>
      <c r="E1744" s="4" t="s">
        <v>289</v>
      </c>
      <c r="F1744" t="s">
        <v>213</v>
      </c>
      <c r="G1744" t="s">
        <v>231</v>
      </c>
      <c r="H1744">
        <f>VLOOKUP(C1744,'TB Apr 24'!$B$13:$AF$103,31,0)</f>
        <v>0</v>
      </c>
    </row>
    <row r="1745" spans="1:8" x14ac:dyDescent="0.35">
      <c r="A1745" s="77">
        <v>45383</v>
      </c>
      <c r="B1745" s="3" t="s">
        <v>98</v>
      </c>
      <c r="C1745" s="4" t="s">
        <v>99</v>
      </c>
      <c r="D1745" s="4" t="s">
        <v>314</v>
      </c>
      <c r="E1745" s="4" t="s">
        <v>289</v>
      </c>
      <c r="F1745" t="s">
        <v>213</v>
      </c>
      <c r="G1745" t="s">
        <v>231</v>
      </c>
      <c r="H1745">
        <f>VLOOKUP(C1745,'TB Apr 24'!$B$13:$AF$103,31,0)</f>
        <v>0</v>
      </c>
    </row>
    <row r="1746" spans="1:8" x14ac:dyDescent="0.35">
      <c r="A1746" s="77">
        <v>45383</v>
      </c>
      <c r="B1746" s="3" t="s">
        <v>100</v>
      </c>
      <c r="C1746" s="4" t="s">
        <v>101</v>
      </c>
      <c r="D1746" s="4" t="s">
        <v>314</v>
      </c>
      <c r="E1746" s="4" t="s">
        <v>291</v>
      </c>
      <c r="F1746" t="s">
        <v>213</v>
      </c>
      <c r="G1746" t="s">
        <v>231</v>
      </c>
      <c r="H1746">
        <f>VLOOKUP(C1746,'TB Apr 24'!$B$13:$AF$103,31,0)</f>
        <v>0</v>
      </c>
    </row>
    <row r="1747" spans="1:8" x14ac:dyDescent="0.35">
      <c r="A1747" s="77">
        <v>45383</v>
      </c>
      <c r="B1747" s="3" t="s">
        <v>102</v>
      </c>
      <c r="C1747" s="4" t="s">
        <v>103</v>
      </c>
      <c r="D1747" s="4" t="s">
        <v>314</v>
      </c>
      <c r="E1747" s="4" t="s">
        <v>291</v>
      </c>
      <c r="F1747" t="s">
        <v>213</v>
      </c>
      <c r="G1747" t="s">
        <v>231</v>
      </c>
      <c r="H1747">
        <f>VLOOKUP(C1747,'TB Apr 24'!$B$13:$AF$103,31,0)</f>
        <v>0</v>
      </c>
    </row>
    <row r="1748" spans="1:8" x14ac:dyDescent="0.35">
      <c r="A1748" s="77">
        <v>45383</v>
      </c>
      <c r="B1748" s="3" t="s">
        <v>104</v>
      </c>
      <c r="C1748" s="4" t="s">
        <v>105</v>
      </c>
      <c r="D1748" s="4" t="s">
        <v>314</v>
      </c>
      <c r="E1748" s="4" t="s">
        <v>291</v>
      </c>
      <c r="F1748" t="s">
        <v>213</v>
      </c>
      <c r="G1748" t="s">
        <v>231</v>
      </c>
      <c r="H1748">
        <f>VLOOKUP(C1748,'TB Apr 24'!$B$13:$AF$103,31,0)</f>
        <v>568.75</v>
      </c>
    </row>
    <row r="1749" spans="1:8" x14ac:dyDescent="0.35">
      <c r="A1749" s="77">
        <v>45383</v>
      </c>
      <c r="B1749" s="3" t="s">
        <v>106</v>
      </c>
      <c r="C1749" s="4" t="s">
        <v>107</v>
      </c>
      <c r="D1749" s="4" t="s">
        <v>314</v>
      </c>
      <c r="E1749" s="4" t="s">
        <v>321</v>
      </c>
      <c r="F1749" t="s">
        <v>213</v>
      </c>
      <c r="G1749" t="s">
        <v>231</v>
      </c>
      <c r="H1749">
        <f>VLOOKUP(C1749,'TB Apr 24'!$B$13:$AF$103,31,0)</f>
        <v>0</v>
      </c>
    </row>
    <row r="1750" spans="1:8" x14ac:dyDescent="0.35">
      <c r="A1750" s="77">
        <v>45383</v>
      </c>
      <c r="B1750" s="3" t="s">
        <v>108</v>
      </c>
      <c r="C1750" s="4" t="s">
        <v>109</v>
      </c>
      <c r="D1750" s="4" t="s">
        <v>314</v>
      </c>
      <c r="E1750" s="4" t="s">
        <v>321</v>
      </c>
      <c r="F1750" t="s">
        <v>213</v>
      </c>
      <c r="G1750" t="s">
        <v>231</v>
      </c>
      <c r="H1750">
        <f>VLOOKUP(C1750,'TB Apr 24'!$B$13:$AF$103,31,0)</f>
        <v>0</v>
      </c>
    </row>
    <row r="1751" spans="1:8" x14ac:dyDescent="0.35">
      <c r="A1751" s="77">
        <v>45383</v>
      </c>
      <c r="B1751" s="3" t="s">
        <v>110</v>
      </c>
      <c r="C1751" s="4" t="s">
        <v>111</v>
      </c>
      <c r="D1751" s="4" t="s">
        <v>314</v>
      </c>
      <c r="E1751" s="4" t="s">
        <v>320</v>
      </c>
      <c r="F1751" t="s">
        <v>213</v>
      </c>
      <c r="G1751" t="s">
        <v>231</v>
      </c>
      <c r="H1751">
        <f>VLOOKUP(C1751,'TB Apr 24'!$B$13:$AF$103,31,0)</f>
        <v>0</v>
      </c>
    </row>
    <row r="1752" spans="1:8" x14ac:dyDescent="0.35">
      <c r="A1752" s="77">
        <v>45383</v>
      </c>
      <c r="B1752" s="3" t="s">
        <v>112</v>
      </c>
      <c r="C1752" s="4" t="s">
        <v>113</v>
      </c>
      <c r="D1752" s="4" t="s">
        <v>314</v>
      </c>
      <c r="E1752" s="4" t="s">
        <v>321</v>
      </c>
      <c r="F1752" t="s">
        <v>213</v>
      </c>
      <c r="G1752" t="s">
        <v>231</v>
      </c>
      <c r="H1752">
        <f>VLOOKUP(C1752,'TB Apr 24'!$B$13:$AF$103,31,0)</f>
        <v>0</v>
      </c>
    </row>
    <row r="1753" spans="1:8" x14ac:dyDescent="0.35">
      <c r="A1753" s="77">
        <v>45383</v>
      </c>
      <c r="B1753" s="3" t="s">
        <v>311</v>
      </c>
      <c r="C1753" s="4" t="s">
        <v>312</v>
      </c>
      <c r="D1753" s="4" t="s">
        <v>314</v>
      </c>
      <c r="E1753" s="4" t="s">
        <v>288</v>
      </c>
      <c r="F1753" t="s">
        <v>213</v>
      </c>
      <c r="G1753" t="s">
        <v>231</v>
      </c>
      <c r="H1753">
        <f>VLOOKUP(C1753,'TB Apr 24'!$B$13:$AF$103,31,0)</f>
        <v>0</v>
      </c>
    </row>
    <row r="1754" spans="1:8" x14ac:dyDescent="0.35">
      <c r="A1754" s="77">
        <v>45383</v>
      </c>
      <c r="B1754" s="3" t="s">
        <v>114</v>
      </c>
      <c r="C1754" s="4" t="s">
        <v>115</v>
      </c>
      <c r="D1754" s="4" t="s">
        <v>314</v>
      </c>
      <c r="E1754" s="4" t="s">
        <v>294</v>
      </c>
      <c r="F1754" t="s">
        <v>213</v>
      </c>
      <c r="G1754" t="s">
        <v>231</v>
      </c>
      <c r="H1754">
        <f>VLOOKUP(C1754,'TB Apr 24'!$B$13:$AF$103,31,0)</f>
        <v>0</v>
      </c>
    </row>
    <row r="1755" spans="1:8" x14ac:dyDescent="0.35">
      <c r="A1755" s="77">
        <v>45383</v>
      </c>
      <c r="B1755" s="3" t="s">
        <v>116</v>
      </c>
      <c r="C1755" s="4" t="s">
        <v>117</v>
      </c>
      <c r="D1755" s="4" t="s">
        <v>314</v>
      </c>
      <c r="E1755" s="4" t="s">
        <v>296</v>
      </c>
      <c r="F1755" t="s">
        <v>213</v>
      </c>
      <c r="G1755" t="s">
        <v>231</v>
      </c>
      <c r="H1755">
        <f>VLOOKUP(C1755,'TB Apr 24'!$B$13:$AF$103,31,0)</f>
        <v>0</v>
      </c>
    </row>
    <row r="1756" spans="1:8" x14ac:dyDescent="0.35">
      <c r="A1756" s="77">
        <v>45383</v>
      </c>
      <c r="B1756" s="3" t="s">
        <v>118</v>
      </c>
      <c r="C1756" s="4" t="s">
        <v>119</v>
      </c>
      <c r="D1756" s="4" t="s">
        <v>314</v>
      </c>
      <c r="E1756" s="4" t="s">
        <v>296</v>
      </c>
      <c r="F1756" t="s">
        <v>213</v>
      </c>
      <c r="G1756" t="s">
        <v>231</v>
      </c>
      <c r="H1756">
        <f>VLOOKUP(C1756,'TB Apr 24'!$B$13:$AF$103,31,0)</f>
        <v>0</v>
      </c>
    </row>
    <row r="1757" spans="1:8" x14ac:dyDescent="0.35">
      <c r="A1757" s="77">
        <v>45383</v>
      </c>
      <c r="B1757" s="3" t="s">
        <v>120</v>
      </c>
      <c r="C1757" s="4" t="s">
        <v>121</v>
      </c>
      <c r="D1757" s="4" t="s">
        <v>314</v>
      </c>
      <c r="E1757" s="4" t="s">
        <v>322</v>
      </c>
      <c r="F1757" t="s">
        <v>213</v>
      </c>
      <c r="G1757" t="s">
        <v>231</v>
      </c>
      <c r="H1757">
        <f>VLOOKUP(C1757,'TB Apr 24'!$B$13:$AF$103,31,0)</f>
        <v>2934</v>
      </c>
    </row>
    <row r="1758" spans="1:8" x14ac:dyDescent="0.35">
      <c r="A1758" s="77">
        <v>45383</v>
      </c>
      <c r="B1758" s="3" t="s">
        <v>122</v>
      </c>
      <c r="C1758" s="4" t="s">
        <v>123</v>
      </c>
      <c r="D1758" s="4" t="s">
        <v>314</v>
      </c>
      <c r="E1758" s="4" t="s">
        <v>322</v>
      </c>
      <c r="F1758" t="s">
        <v>213</v>
      </c>
      <c r="G1758" t="s">
        <v>231</v>
      </c>
      <c r="H1758">
        <f>VLOOKUP(C1758,'TB Apr 24'!$B$13:$AF$103,31,0)</f>
        <v>0</v>
      </c>
    </row>
    <row r="1759" spans="1:8" x14ac:dyDescent="0.35">
      <c r="A1759" s="77">
        <v>45383</v>
      </c>
      <c r="B1759" s="3" t="s">
        <v>124</v>
      </c>
      <c r="C1759" s="4" t="s">
        <v>125</v>
      </c>
      <c r="D1759" s="4" t="s">
        <v>314</v>
      </c>
      <c r="E1759" s="4" t="s">
        <v>322</v>
      </c>
      <c r="F1759" t="s">
        <v>213</v>
      </c>
      <c r="G1759" t="s">
        <v>231</v>
      </c>
      <c r="H1759">
        <f>VLOOKUP(C1759,'TB Apr 24'!$B$13:$AF$103,31,0)</f>
        <v>0</v>
      </c>
    </row>
    <row r="1760" spans="1:8" x14ac:dyDescent="0.35">
      <c r="A1760" s="77">
        <v>45383</v>
      </c>
      <c r="B1760" s="3" t="s">
        <v>126</v>
      </c>
      <c r="C1760" s="4" t="s">
        <v>127</v>
      </c>
      <c r="D1760" s="4" t="s">
        <v>314</v>
      </c>
      <c r="E1760" s="4" t="s">
        <v>291</v>
      </c>
      <c r="F1760" t="s">
        <v>213</v>
      </c>
      <c r="G1760" t="s">
        <v>231</v>
      </c>
      <c r="H1760">
        <f>VLOOKUP(C1760,'TB Apr 24'!$B$13:$AF$103,31,0)</f>
        <v>0</v>
      </c>
    </row>
    <row r="1761" spans="1:8" x14ac:dyDescent="0.35">
      <c r="A1761" s="77">
        <v>45383</v>
      </c>
      <c r="B1761" s="3" t="s">
        <v>128</v>
      </c>
      <c r="C1761" s="4" t="s">
        <v>129</v>
      </c>
      <c r="D1761" s="4" t="s">
        <v>314</v>
      </c>
      <c r="E1761" s="4" t="s">
        <v>322</v>
      </c>
      <c r="F1761" t="s">
        <v>213</v>
      </c>
      <c r="G1761" t="s">
        <v>231</v>
      </c>
      <c r="H1761">
        <f>VLOOKUP(C1761,'TB Apr 24'!$B$13:$AF$103,31,0)</f>
        <v>30142.875</v>
      </c>
    </row>
    <row r="1762" spans="1:8" x14ac:dyDescent="0.35">
      <c r="A1762" s="77">
        <v>45383</v>
      </c>
      <c r="B1762" s="3" t="s">
        <v>130</v>
      </c>
      <c r="C1762" s="4" t="s">
        <v>131</v>
      </c>
      <c r="D1762" s="4" t="s">
        <v>314</v>
      </c>
      <c r="E1762" s="4" t="s">
        <v>322</v>
      </c>
      <c r="F1762" t="s">
        <v>213</v>
      </c>
      <c r="G1762" t="s">
        <v>231</v>
      </c>
      <c r="H1762">
        <f>VLOOKUP(C1762,'TB Apr 24'!$B$13:$AF$103,31,0)</f>
        <v>350</v>
      </c>
    </row>
    <row r="1763" spans="1:8" x14ac:dyDescent="0.35">
      <c r="A1763" s="77">
        <v>45383</v>
      </c>
      <c r="B1763" s="3" t="s">
        <v>132</v>
      </c>
      <c r="C1763" s="4" t="s">
        <v>133</v>
      </c>
      <c r="D1763" s="4" t="s">
        <v>314</v>
      </c>
      <c r="E1763" s="4" t="s">
        <v>320</v>
      </c>
      <c r="F1763" t="s">
        <v>213</v>
      </c>
      <c r="G1763" t="s">
        <v>231</v>
      </c>
      <c r="H1763">
        <f>VLOOKUP(C1763,'TB Apr 24'!$B$13:$AF$103,31,0)</f>
        <v>1220</v>
      </c>
    </row>
    <row r="1764" spans="1:8" x14ac:dyDescent="0.35">
      <c r="A1764" s="77">
        <v>45383</v>
      </c>
      <c r="B1764" s="3" t="s">
        <v>134</v>
      </c>
      <c r="C1764" s="4" t="s">
        <v>135</v>
      </c>
      <c r="D1764" s="4" t="s">
        <v>314</v>
      </c>
      <c r="E1764" s="4" t="s">
        <v>299</v>
      </c>
      <c r="F1764" t="s">
        <v>213</v>
      </c>
      <c r="G1764" t="s">
        <v>231</v>
      </c>
      <c r="H1764">
        <f>VLOOKUP(C1764,'TB Apr 24'!$B$13:$AF$103,31,0)</f>
        <v>0</v>
      </c>
    </row>
    <row r="1765" spans="1:8" x14ac:dyDescent="0.35">
      <c r="A1765" s="77">
        <v>45383</v>
      </c>
      <c r="B1765" s="3" t="s">
        <v>136</v>
      </c>
      <c r="C1765" s="4" t="s">
        <v>137</v>
      </c>
      <c r="D1765" s="4" t="s">
        <v>314</v>
      </c>
      <c r="E1765" s="4" t="s">
        <v>322</v>
      </c>
      <c r="F1765" t="s">
        <v>213</v>
      </c>
      <c r="G1765" t="s">
        <v>231</v>
      </c>
      <c r="H1765">
        <f>VLOOKUP(C1765,'TB Apr 24'!$B$13:$AF$103,31,0)</f>
        <v>0</v>
      </c>
    </row>
    <row r="1766" spans="1:8" x14ac:dyDescent="0.35">
      <c r="A1766" s="77">
        <v>45383</v>
      </c>
      <c r="B1766" s="3" t="s">
        <v>138</v>
      </c>
      <c r="C1766" s="4" t="s">
        <v>139</v>
      </c>
      <c r="D1766" s="4" t="s">
        <v>314</v>
      </c>
      <c r="E1766" s="4" t="s">
        <v>294</v>
      </c>
      <c r="F1766" t="s">
        <v>213</v>
      </c>
      <c r="G1766" t="s">
        <v>231</v>
      </c>
      <c r="H1766">
        <f>VLOOKUP(C1766,'TB Apr 24'!$B$13:$AF$103,31,0)</f>
        <v>3436.4</v>
      </c>
    </row>
    <row r="1767" spans="1:8" x14ac:dyDescent="0.35">
      <c r="A1767" s="77">
        <v>45383</v>
      </c>
      <c r="B1767" s="3" t="s">
        <v>140</v>
      </c>
      <c r="C1767" s="4" t="s">
        <v>141</v>
      </c>
      <c r="D1767" s="4" t="s">
        <v>314</v>
      </c>
      <c r="E1767" s="4" t="s">
        <v>268</v>
      </c>
      <c r="F1767" t="s">
        <v>213</v>
      </c>
      <c r="G1767" t="s">
        <v>231</v>
      </c>
      <c r="H1767">
        <f>VLOOKUP(C1767,'TB Apr 24'!$B$13:$AF$103,31,0)</f>
        <v>176435.34389999998</v>
      </c>
    </row>
    <row r="1768" spans="1:8" x14ac:dyDescent="0.35">
      <c r="A1768" s="77">
        <v>45383</v>
      </c>
      <c r="B1768" s="3" t="s">
        <v>142</v>
      </c>
      <c r="C1768" s="4" t="s">
        <v>143</v>
      </c>
      <c r="D1768" s="4" t="s">
        <v>314</v>
      </c>
      <c r="E1768" s="4" t="s">
        <v>269</v>
      </c>
      <c r="F1768" t="s">
        <v>213</v>
      </c>
      <c r="G1768" t="s">
        <v>231</v>
      </c>
      <c r="H1768">
        <f>VLOOKUP(C1768,'TB Apr 24'!$B$13:$AF$103,31,0)</f>
        <v>142251.18345572083</v>
      </c>
    </row>
    <row r="1769" spans="1:8" x14ac:dyDescent="0.35">
      <c r="A1769" s="77">
        <v>45383</v>
      </c>
      <c r="B1769" s="3" t="s">
        <v>144</v>
      </c>
      <c r="C1769" s="4" t="s">
        <v>145</v>
      </c>
      <c r="D1769" s="4" t="s">
        <v>314</v>
      </c>
      <c r="E1769" s="4" t="s">
        <v>288</v>
      </c>
      <c r="F1769" t="s">
        <v>213</v>
      </c>
      <c r="G1769" t="s">
        <v>231</v>
      </c>
      <c r="H1769">
        <f>VLOOKUP(C1769,'TB Apr 24'!$B$13:$AF$103,31,0)</f>
        <v>92463.489926567505</v>
      </c>
    </row>
    <row r="1770" spans="1:8" x14ac:dyDescent="0.35">
      <c r="A1770" s="77">
        <v>45383</v>
      </c>
      <c r="B1770" s="3" t="s">
        <v>146</v>
      </c>
      <c r="C1770" s="4" t="s">
        <v>147</v>
      </c>
      <c r="D1770" s="4" t="s">
        <v>314</v>
      </c>
      <c r="E1770" s="4" t="s">
        <v>288</v>
      </c>
      <c r="F1770" t="s">
        <v>213</v>
      </c>
      <c r="G1770" t="s">
        <v>231</v>
      </c>
      <c r="H1770">
        <f>VLOOKUP(C1770,'TB Apr 24'!$B$13:$AF$103,31,0)</f>
        <v>43118.470668842449</v>
      </c>
    </row>
    <row r="1771" spans="1:8" x14ac:dyDescent="0.35">
      <c r="A1771" s="77">
        <v>45383</v>
      </c>
      <c r="B1771" s="3" t="s">
        <v>148</v>
      </c>
      <c r="C1771" s="4" t="s">
        <v>149</v>
      </c>
      <c r="D1771" s="4" t="s">
        <v>314</v>
      </c>
      <c r="E1771" s="4" t="s">
        <v>287</v>
      </c>
      <c r="F1771" t="s">
        <v>213</v>
      </c>
      <c r="G1771" t="s">
        <v>231</v>
      </c>
      <c r="H1771">
        <f>VLOOKUP(C1771,'TB Apr 24'!$B$13:$AF$103,31,0)</f>
        <v>146207.35159731374</v>
      </c>
    </row>
    <row r="1772" spans="1:8" x14ac:dyDescent="0.35">
      <c r="A1772" s="77">
        <v>45383</v>
      </c>
      <c r="B1772" s="3" t="s">
        <v>150</v>
      </c>
      <c r="C1772" s="4" t="s">
        <v>87</v>
      </c>
      <c r="D1772" s="4" t="s">
        <v>314</v>
      </c>
      <c r="E1772" s="4" t="s">
        <v>288</v>
      </c>
      <c r="F1772" t="s">
        <v>213</v>
      </c>
      <c r="G1772" t="s">
        <v>231</v>
      </c>
      <c r="H1772">
        <f>VLOOKUP(C1772,'TB Apr 24'!$B$13:$AF$103,31,0)</f>
        <v>69391.989957948914</v>
      </c>
    </row>
    <row r="1773" spans="1:8" x14ac:dyDescent="0.35">
      <c r="A1773" s="77">
        <v>45383</v>
      </c>
      <c r="B1773" s="3" t="s">
        <v>151</v>
      </c>
      <c r="C1773" s="4" t="s">
        <v>152</v>
      </c>
      <c r="D1773" s="4" t="s">
        <v>314</v>
      </c>
      <c r="E1773" s="4" t="s">
        <v>288</v>
      </c>
      <c r="F1773" t="s">
        <v>213</v>
      </c>
      <c r="G1773" t="s">
        <v>231</v>
      </c>
      <c r="H1773">
        <f>VLOOKUP(C1773,'TB Apr 24'!$B$13:$AF$103,31,0)</f>
        <v>15537.788112722024</v>
      </c>
    </row>
    <row r="1774" spans="1:8" x14ac:dyDescent="0.35">
      <c r="A1774" s="77">
        <v>45383</v>
      </c>
      <c r="B1774" s="3" t="s">
        <v>153</v>
      </c>
      <c r="C1774" s="4" t="s">
        <v>154</v>
      </c>
      <c r="D1774" s="4" t="s">
        <v>314</v>
      </c>
      <c r="E1774" s="4" t="s">
        <v>288</v>
      </c>
      <c r="F1774" t="s">
        <v>213</v>
      </c>
      <c r="G1774" t="s">
        <v>231</v>
      </c>
      <c r="H1774">
        <f>VLOOKUP(C1774,'TB Apr 24'!$B$13:$AF$103,31,0)</f>
        <v>11808.605472917843</v>
      </c>
    </row>
    <row r="1775" spans="1:8" x14ac:dyDescent="0.35">
      <c r="A1775" s="77">
        <v>45383</v>
      </c>
      <c r="B1775" s="3" t="s">
        <v>155</v>
      </c>
      <c r="C1775" s="4" t="s">
        <v>156</v>
      </c>
      <c r="D1775" s="4" t="s">
        <v>314</v>
      </c>
      <c r="E1775" s="4" t="s">
        <v>288</v>
      </c>
      <c r="F1775" t="s">
        <v>213</v>
      </c>
      <c r="G1775" t="s">
        <v>231</v>
      </c>
      <c r="H1775">
        <f>VLOOKUP(C1775,'TB Apr 24'!$B$13:$AF$103,31,0)</f>
        <v>0</v>
      </c>
    </row>
    <row r="1776" spans="1:8" x14ac:dyDescent="0.35">
      <c r="A1776" s="77">
        <v>45383</v>
      </c>
      <c r="B1776" s="3" t="s">
        <v>157</v>
      </c>
      <c r="C1776" s="4" t="s">
        <v>158</v>
      </c>
      <c r="D1776" s="4" t="s">
        <v>314</v>
      </c>
      <c r="E1776" s="4" t="s">
        <v>292</v>
      </c>
      <c r="F1776" t="s">
        <v>213</v>
      </c>
      <c r="G1776" t="s">
        <v>231</v>
      </c>
      <c r="H1776">
        <f>VLOOKUP(C1776,'TB Apr 24'!$B$13:$AF$103,31,0)</f>
        <v>0</v>
      </c>
    </row>
    <row r="1777" spans="1:8" x14ac:dyDescent="0.35">
      <c r="A1777" s="77">
        <v>45383</v>
      </c>
      <c r="B1777" s="3" t="s">
        <v>159</v>
      </c>
      <c r="C1777" s="4" t="s">
        <v>160</v>
      </c>
      <c r="D1777" s="4" t="s">
        <v>314</v>
      </c>
      <c r="E1777" s="4" t="s">
        <v>323</v>
      </c>
      <c r="F1777" t="s">
        <v>213</v>
      </c>
      <c r="G1777" t="s">
        <v>231</v>
      </c>
      <c r="H1777">
        <f>VLOOKUP(C1777,'TB Apr 24'!$B$13:$AF$103,31,0)</f>
        <v>39115</v>
      </c>
    </row>
    <row r="1778" spans="1:8" x14ac:dyDescent="0.35">
      <c r="A1778" s="77">
        <v>45383</v>
      </c>
      <c r="B1778" s="3" t="s">
        <v>161</v>
      </c>
      <c r="C1778" s="4" t="s">
        <v>162</v>
      </c>
      <c r="D1778" s="4" t="s">
        <v>314</v>
      </c>
      <c r="E1778" s="4" t="s">
        <v>323</v>
      </c>
      <c r="F1778" t="s">
        <v>213</v>
      </c>
      <c r="G1778" t="s">
        <v>231</v>
      </c>
      <c r="H1778">
        <f>VLOOKUP(C1778,'TB Apr 24'!$B$13:$AF$103,31,0)</f>
        <v>111731</v>
      </c>
    </row>
    <row r="1779" spans="1:8" x14ac:dyDescent="0.35">
      <c r="A1779" s="77">
        <v>45383</v>
      </c>
      <c r="B1779" s="3" t="s">
        <v>163</v>
      </c>
      <c r="C1779" s="4" t="s">
        <v>164</v>
      </c>
      <c r="D1779" s="4" t="s">
        <v>314</v>
      </c>
      <c r="E1779" s="4" t="s">
        <v>319</v>
      </c>
      <c r="F1779" t="s">
        <v>213</v>
      </c>
      <c r="G1779" t="s">
        <v>231</v>
      </c>
      <c r="H1779">
        <f>VLOOKUP(C1779,'TB Apr 24'!$B$13:$AF$103,31,0)</f>
        <v>0</v>
      </c>
    </row>
    <row r="1780" spans="1:8" x14ac:dyDescent="0.35">
      <c r="A1780" s="77">
        <v>45383</v>
      </c>
      <c r="B1780" s="3" t="s">
        <v>165</v>
      </c>
      <c r="C1780" s="4" t="s">
        <v>166</v>
      </c>
      <c r="D1780" s="4" t="s">
        <v>314</v>
      </c>
      <c r="E1780" s="4" t="s">
        <v>304</v>
      </c>
      <c r="F1780" t="s">
        <v>213</v>
      </c>
      <c r="G1780" t="s">
        <v>231</v>
      </c>
      <c r="H1780">
        <f>VLOOKUP(C1780,'TB Apr 24'!$B$13:$AF$103,31,0)</f>
        <v>3265</v>
      </c>
    </row>
    <row r="1781" spans="1:8" x14ac:dyDescent="0.35">
      <c r="A1781" s="77">
        <v>45383</v>
      </c>
      <c r="B1781" s="3" t="s">
        <v>167</v>
      </c>
      <c r="C1781" s="4" t="s">
        <v>168</v>
      </c>
      <c r="D1781" s="4" t="s">
        <v>314</v>
      </c>
      <c r="E1781" s="4" t="s">
        <v>322</v>
      </c>
      <c r="F1781" t="s">
        <v>213</v>
      </c>
      <c r="G1781" t="s">
        <v>231</v>
      </c>
      <c r="H1781">
        <f>VLOOKUP(C1781,'TB Apr 24'!$B$13:$AF$103,31,0)</f>
        <v>0</v>
      </c>
    </row>
    <row r="1782" spans="1:8" x14ac:dyDescent="0.35">
      <c r="A1782" s="77">
        <v>45383</v>
      </c>
      <c r="B1782" s="3" t="s">
        <v>169</v>
      </c>
      <c r="C1782" s="4" t="s">
        <v>170</v>
      </c>
      <c r="D1782" s="4" t="s">
        <v>314</v>
      </c>
      <c r="E1782" s="4" t="s">
        <v>304</v>
      </c>
      <c r="F1782" t="s">
        <v>213</v>
      </c>
      <c r="G1782" t="s">
        <v>231</v>
      </c>
      <c r="H1782">
        <f>VLOOKUP(C1782,'TB Apr 24'!$B$13:$AF$103,31,0)</f>
        <v>16120</v>
      </c>
    </row>
    <row r="1783" spans="1:8" x14ac:dyDescent="0.35">
      <c r="A1783" s="77">
        <v>45383</v>
      </c>
      <c r="B1783" s="3" t="s">
        <v>171</v>
      </c>
      <c r="C1783" s="4" t="s">
        <v>172</v>
      </c>
      <c r="D1783" s="4" t="s">
        <v>314</v>
      </c>
      <c r="E1783" s="4" t="s">
        <v>303</v>
      </c>
      <c r="F1783" t="s">
        <v>213</v>
      </c>
      <c r="G1783" t="s">
        <v>231</v>
      </c>
      <c r="H1783">
        <f>VLOOKUP(C1783,'TB Apr 24'!$B$13:$AF$103,31,0)</f>
        <v>0</v>
      </c>
    </row>
    <row r="1784" spans="1:8" x14ac:dyDescent="0.35">
      <c r="A1784" s="77">
        <v>45383</v>
      </c>
      <c r="B1784" s="3" t="s">
        <v>173</v>
      </c>
      <c r="C1784" s="4" t="s">
        <v>174</v>
      </c>
      <c r="D1784" s="4" t="s">
        <v>314</v>
      </c>
      <c r="E1784" s="4" t="s">
        <v>257</v>
      </c>
      <c r="F1784" t="s">
        <v>213</v>
      </c>
      <c r="G1784" t="s">
        <v>231</v>
      </c>
      <c r="H1784">
        <f>VLOOKUP(C1784,'TB Apr 24'!$B$13:$AF$103,31,0)</f>
        <v>0</v>
      </c>
    </row>
    <row r="1785" spans="1:8" x14ac:dyDescent="0.35">
      <c r="A1785" s="77">
        <v>45383</v>
      </c>
      <c r="B1785" s="3" t="s">
        <v>175</v>
      </c>
      <c r="C1785" s="4" t="s">
        <v>176</v>
      </c>
      <c r="D1785" s="4" t="s">
        <v>314</v>
      </c>
      <c r="E1785" s="4" t="s">
        <v>257</v>
      </c>
      <c r="F1785" t="s">
        <v>213</v>
      </c>
      <c r="G1785" t="s">
        <v>231</v>
      </c>
      <c r="H1785">
        <f>VLOOKUP(C1785,'TB Apr 24'!$B$13:$AF$103,31,0)</f>
        <v>0</v>
      </c>
    </row>
    <row r="1786" spans="1:8" x14ac:dyDescent="0.35">
      <c r="A1786" s="77">
        <v>45383</v>
      </c>
      <c r="B1786" s="3" t="s">
        <v>177</v>
      </c>
      <c r="C1786" s="4" t="s">
        <v>178</v>
      </c>
      <c r="D1786" s="4" t="s">
        <v>314</v>
      </c>
      <c r="E1786" s="4" t="s">
        <v>257</v>
      </c>
      <c r="F1786" t="s">
        <v>213</v>
      </c>
      <c r="G1786" t="s">
        <v>231</v>
      </c>
      <c r="H1786">
        <f>VLOOKUP(C1786,'TB Apr 24'!$B$13:$AF$103,31,0)</f>
        <v>0</v>
      </c>
    </row>
    <row r="1787" spans="1:8" x14ac:dyDescent="0.35">
      <c r="A1787" s="77">
        <v>45383</v>
      </c>
      <c r="B1787" s="3" t="s">
        <v>179</v>
      </c>
      <c r="C1787" s="4" t="s">
        <v>180</v>
      </c>
      <c r="D1787" s="4" t="s">
        <v>314</v>
      </c>
      <c r="E1787" s="4" t="s">
        <v>322</v>
      </c>
      <c r="F1787" t="s">
        <v>213</v>
      </c>
      <c r="G1787" t="s">
        <v>231</v>
      </c>
      <c r="H1787">
        <f>VLOOKUP(C1787,'TB Apr 24'!$B$13:$AF$103,31,0)</f>
        <v>0</v>
      </c>
    </row>
    <row r="1788" spans="1:8" x14ac:dyDescent="0.35">
      <c r="A1788" s="77">
        <v>45383</v>
      </c>
      <c r="B1788" s="3" t="s">
        <v>181</v>
      </c>
      <c r="C1788" s="4" t="s">
        <v>182</v>
      </c>
      <c r="D1788" s="4" t="s">
        <v>314</v>
      </c>
      <c r="E1788" s="4" t="s">
        <v>290</v>
      </c>
      <c r="F1788" t="s">
        <v>213</v>
      </c>
      <c r="G1788" t="s">
        <v>231</v>
      </c>
      <c r="H1788">
        <f>VLOOKUP(C1788,'TB Apr 24'!$B$13:$AF$103,31,0)</f>
        <v>0</v>
      </c>
    </row>
    <row r="1789" spans="1:8" x14ac:dyDescent="0.35">
      <c r="A1789" s="77">
        <v>45383</v>
      </c>
      <c r="B1789" s="3" t="s">
        <v>183</v>
      </c>
      <c r="C1789" s="4" t="s">
        <v>184</v>
      </c>
      <c r="D1789" s="4" t="s">
        <v>314</v>
      </c>
      <c r="E1789" s="4" t="s">
        <v>290</v>
      </c>
      <c r="F1789" t="s">
        <v>213</v>
      </c>
      <c r="G1789" t="s">
        <v>231</v>
      </c>
      <c r="H1789">
        <f>VLOOKUP(C1789,'TB Apr 24'!$B$13:$AF$103,31,0)</f>
        <v>0</v>
      </c>
    </row>
    <row r="1790" spans="1:8" x14ac:dyDescent="0.35">
      <c r="A1790" s="77">
        <v>45383</v>
      </c>
      <c r="B1790" s="3" t="s">
        <v>185</v>
      </c>
      <c r="C1790" s="4" t="s">
        <v>186</v>
      </c>
      <c r="D1790" s="4" t="s">
        <v>314</v>
      </c>
      <c r="E1790" s="4" t="s">
        <v>290</v>
      </c>
      <c r="F1790" t="s">
        <v>213</v>
      </c>
      <c r="G1790" t="s">
        <v>231</v>
      </c>
      <c r="H1790">
        <f>VLOOKUP(C1790,'TB Apr 24'!$B$13:$AF$103,31,0)</f>
        <v>2500</v>
      </c>
    </row>
    <row r="1791" spans="1:8" x14ac:dyDescent="0.35">
      <c r="A1791" s="77">
        <v>45383</v>
      </c>
      <c r="B1791" s="3" t="s">
        <v>187</v>
      </c>
      <c r="C1791" s="4" t="s">
        <v>188</v>
      </c>
      <c r="D1791" s="4" t="s">
        <v>314</v>
      </c>
      <c r="E1791" s="4" t="s">
        <v>291</v>
      </c>
      <c r="F1791" t="s">
        <v>213</v>
      </c>
      <c r="G1791" t="s">
        <v>231</v>
      </c>
      <c r="H1791">
        <f>VLOOKUP(C1791,'TB Apr 24'!$B$13:$AF$103,31,0)</f>
        <v>64119.043999999994</v>
      </c>
    </row>
    <row r="1792" spans="1:8" x14ac:dyDescent="0.35">
      <c r="A1792" s="77">
        <v>45383</v>
      </c>
      <c r="B1792" s="3" t="s">
        <v>189</v>
      </c>
      <c r="C1792" s="4" t="s">
        <v>190</v>
      </c>
      <c r="D1792" s="4" t="s">
        <v>314</v>
      </c>
      <c r="E1792" s="4" t="s">
        <v>254</v>
      </c>
      <c r="F1792" t="s">
        <v>213</v>
      </c>
      <c r="G1792" t="s">
        <v>231</v>
      </c>
      <c r="H1792">
        <f>VLOOKUP(C1792,'TB Apr 24'!$B$13:$AF$103,31,0)</f>
        <v>0</v>
      </c>
    </row>
    <row r="1793" spans="1:8" x14ac:dyDescent="0.35">
      <c r="A1793" s="77">
        <v>45383</v>
      </c>
      <c r="B1793" s="3" t="s">
        <v>191</v>
      </c>
      <c r="C1793" s="4" t="s">
        <v>192</v>
      </c>
      <c r="D1793" s="4" t="s">
        <v>314</v>
      </c>
      <c r="E1793" s="4" t="s">
        <v>254</v>
      </c>
      <c r="F1793" t="s">
        <v>213</v>
      </c>
      <c r="G1793" t="s">
        <v>231</v>
      </c>
      <c r="H1793">
        <f>VLOOKUP(C1793,'TB Apr 24'!$B$13:$AF$103,31,0)</f>
        <v>0</v>
      </c>
    </row>
    <row r="1794" spans="1:8" x14ac:dyDescent="0.35">
      <c r="A1794" s="77">
        <v>45383</v>
      </c>
      <c r="B1794" s="3" t="s">
        <v>193</v>
      </c>
      <c r="C1794" s="4" t="s">
        <v>194</v>
      </c>
      <c r="D1794" s="4" t="s">
        <v>314</v>
      </c>
      <c r="E1794" s="4" t="s">
        <v>254</v>
      </c>
      <c r="F1794" t="s">
        <v>213</v>
      </c>
      <c r="G1794" t="s">
        <v>231</v>
      </c>
      <c r="H1794">
        <f>VLOOKUP(C1794,'TB Apr 24'!$B$13:$AF$103,31,0)</f>
        <v>607737.23557812197</v>
      </c>
    </row>
    <row r="1795" spans="1:8" x14ac:dyDescent="0.35">
      <c r="A1795" s="77">
        <v>45383</v>
      </c>
      <c r="B1795" s="3" t="s">
        <v>195</v>
      </c>
      <c r="C1795" s="4" t="s">
        <v>196</v>
      </c>
      <c r="D1795" s="4" t="s">
        <v>314</v>
      </c>
      <c r="E1795" s="4" t="s">
        <v>255</v>
      </c>
      <c r="F1795" t="s">
        <v>213</v>
      </c>
      <c r="G1795" t="s">
        <v>231</v>
      </c>
      <c r="H1795">
        <f>VLOOKUP(C1795,'TB Apr 24'!$B$13:$AF$103,31,0)</f>
        <v>0</v>
      </c>
    </row>
    <row r="1796" spans="1:8" x14ac:dyDescent="0.35">
      <c r="A1796" s="77">
        <v>45383</v>
      </c>
      <c r="B1796" s="3" t="s">
        <v>197</v>
      </c>
      <c r="C1796" s="4" t="s">
        <v>198</v>
      </c>
      <c r="D1796" s="4" t="s">
        <v>314</v>
      </c>
      <c r="E1796" s="4" t="s">
        <v>255</v>
      </c>
      <c r="F1796" t="s">
        <v>213</v>
      </c>
      <c r="G1796" t="s">
        <v>231</v>
      </c>
      <c r="H1796">
        <f>VLOOKUP(C1796,'TB Apr 24'!$B$13:$AF$103,31,0)</f>
        <v>0</v>
      </c>
    </row>
    <row r="1797" spans="1:8" x14ac:dyDescent="0.35">
      <c r="A1797" s="77">
        <v>45383</v>
      </c>
      <c r="B1797" s="3" t="s">
        <v>199</v>
      </c>
      <c r="C1797" s="4" t="s">
        <v>200</v>
      </c>
      <c r="D1797" s="4" t="s">
        <v>314</v>
      </c>
      <c r="E1797" s="4" t="s">
        <v>254</v>
      </c>
      <c r="F1797" t="s">
        <v>213</v>
      </c>
      <c r="G1797" t="s">
        <v>231</v>
      </c>
      <c r="H1797">
        <f>VLOOKUP(C1797,'TB Apr 24'!$B$13:$AF$103,31,0)</f>
        <v>0</v>
      </c>
    </row>
    <row r="1798" spans="1:8" x14ac:dyDescent="0.35">
      <c r="A1798" s="77">
        <v>45383</v>
      </c>
      <c r="B1798" s="3" t="s">
        <v>201</v>
      </c>
      <c r="C1798" s="4" t="s">
        <v>202</v>
      </c>
      <c r="D1798" s="4" t="s">
        <v>314</v>
      </c>
      <c r="E1798" s="4" t="s">
        <v>254</v>
      </c>
      <c r="F1798" t="s">
        <v>213</v>
      </c>
      <c r="G1798" t="s">
        <v>231</v>
      </c>
      <c r="H1798">
        <f>VLOOKUP(C1798,'TB Apr 24'!$B$13:$AF$103,31,0)</f>
        <v>0</v>
      </c>
    </row>
    <row r="1799" spans="1:8" x14ac:dyDescent="0.35">
      <c r="A1799" s="77">
        <v>45383</v>
      </c>
      <c r="B1799" s="3" t="s">
        <v>203</v>
      </c>
      <c r="C1799" s="4" t="s">
        <v>204</v>
      </c>
      <c r="D1799" s="4" t="s">
        <v>314</v>
      </c>
      <c r="E1799" s="4" t="s">
        <v>256</v>
      </c>
      <c r="F1799" t="s">
        <v>213</v>
      </c>
      <c r="G1799" t="s">
        <v>231</v>
      </c>
      <c r="H1799">
        <f>VLOOKUP(C1799,'TB Apr 24'!$B$13:$AF$103,31,0)</f>
        <v>91876.900000000023</v>
      </c>
    </row>
    <row r="1800" spans="1:8" x14ac:dyDescent="0.35">
      <c r="A1800" s="77">
        <v>45383</v>
      </c>
      <c r="B1800" s="3" t="s">
        <v>205</v>
      </c>
      <c r="C1800" s="6" t="s">
        <v>206</v>
      </c>
      <c r="D1800" s="4" t="s">
        <v>314</v>
      </c>
      <c r="E1800" s="6" t="s">
        <v>322</v>
      </c>
      <c r="F1800" s="79" t="s">
        <v>213</v>
      </c>
      <c r="G1800" s="79" t="s">
        <v>231</v>
      </c>
      <c r="H1800" s="79">
        <f>VLOOKUP(C1800,'TB Apr 24'!$B$13:$AF$103,31,0)</f>
        <v>0</v>
      </c>
    </row>
    <row r="1801" spans="1:8" x14ac:dyDescent="0.35">
      <c r="A1801" s="77">
        <v>45383</v>
      </c>
      <c r="B1801" s="3" t="s">
        <v>57</v>
      </c>
      <c r="C1801" s="4" t="s">
        <v>58</v>
      </c>
      <c r="D1801" s="4" t="s">
        <v>314</v>
      </c>
      <c r="E1801" s="4" t="s">
        <v>253</v>
      </c>
      <c r="F1801" t="s">
        <v>213</v>
      </c>
      <c r="G1801" t="s">
        <v>232</v>
      </c>
      <c r="H1801">
        <f>VLOOKUP(C1801,'TB Apr 24'!$B$13:$AG$103,32,0)</f>
        <v>0</v>
      </c>
    </row>
    <row r="1802" spans="1:8" x14ac:dyDescent="0.35">
      <c r="A1802" s="77">
        <v>45383</v>
      </c>
      <c r="B1802" s="3" t="s">
        <v>307</v>
      </c>
      <c r="C1802" s="4" t="s">
        <v>308</v>
      </c>
      <c r="D1802" s="4" t="s">
        <v>314</v>
      </c>
      <c r="E1802" s="4" t="s">
        <v>253</v>
      </c>
      <c r="F1802" t="s">
        <v>213</v>
      </c>
      <c r="G1802" t="s">
        <v>232</v>
      </c>
      <c r="H1802">
        <f>VLOOKUP(C1802,'TB Apr 24'!$B$13:$AG$103,32,0)</f>
        <v>0</v>
      </c>
    </row>
    <row r="1803" spans="1:8" x14ac:dyDescent="0.35">
      <c r="A1803" s="77">
        <v>45383</v>
      </c>
      <c r="B1803" s="3" t="s">
        <v>59</v>
      </c>
      <c r="C1803" s="4" t="s">
        <v>60</v>
      </c>
      <c r="D1803" s="4" t="s">
        <v>314</v>
      </c>
      <c r="E1803" s="4" t="s">
        <v>253</v>
      </c>
      <c r="F1803" t="s">
        <v>213</v>
      </c>
      <c r="G1803" t="s">
        <v>232</v>
      </c>
      <c r="H1803">
        <f>VLOOKUP(C1803,'TB Apr 24'!$B$13:$AG$103,32,0)</f>
        <v>-52.04</v>
      </c>
    </row>
    <row r="1804" spans="1:8" x14ac:dyDescent="0.35">
      <c r="A1804" s="77">
        <v>45383</v>
      </c>
      <c r="B1804" s="3" t="s">
        <v>61</v>
      </c>
      <c r="C1804" s="4" t="s">
        <v>62</v>
      </c>
      <c r="D1804" s="4" t="s">
        <v>314</v>
      </c>
      <c r="E1804" s="4" t="s">
        <v>66</v>
      </c>
      <c r="F1804" t="s">
        <v>213</v>
      </c>
      <c r="G1804" t="s">
        <v>232</v>
      </c>
      <c r="H1804">
        <f>VLOOKUP(C1804,'TB Apr 24'!$B$13:$AG$103,32,0)</f>
        <v>-90101.28</v>
      </c>
    </row>
    <row r="1805" spans="1:8" x14ac:dyDescent="0.35">
      <c r="A1805" s="77">
        <v>45383</v>
      </c>
      <c r="B1805" s="3" t="s">
        <v>63</v>
      </c>
      <c r="C1805" s="4" t="s">
        <v>64</v>
      </c>
      <c r="D1805" s="4" t="s">
        <v>314</v>
      </c>
      <c r="E1805" s="4" t="s">
        <v>252</v>
      </c>
      <c r="F1805" t="s">
        <v>213</v>
      </c>
      <c r="G1805" t="s">
        <v>232</v>
      </c>
      <c r="H1805">
        <f>VLOOKUP(C1805,'TB Apr 24'!$B$13:$AG$103,32,0)</f>
        <v>0</v>
      </c>
    </row>
    <row r="1806" spans="1:8" x14ac:dyDescent="0.35">
      <c r="A1806" s="77">
        <v>45383</v>
      </c>
      <c r="B1806" s="3" t="s">
        <v>65</v>
      </c>
      <c r="C1806" s="4" t="s">
        <v>66</v>
      </c>
      <c r="D1806" s="4" t="s">
        <v>314</v>
      </c>
      <c r="E1806" s="4" t="s">
        <v>66</v>
      </c>
      <c r="F1806" t="s">
        <v>213</v>
      </c>
      <c r="G1806" t="s">
        <v>232</v>
      </c>
      <c r="H1806">
        <f>VLOOKUP(C1806,'TB Apr 24'!$B$13:$AG$103,32,0)</f>
        <v>-1226354.92</v>
      </c>
    </row>
    <row r="1807" spans="1:8" x14ac:dyDescent="0.35">
      <c r="A1807" s="77">
        <v>45383</v>
      </c>
      <c r="B1807" s="3" t="s">
        <v>67</v>
      </c>
      <c r="C1807" s="4" t="s">
        <v>68</v>
      </c>
      <c r="D1807" s="4" t="s">
        <v>314</v>
      </c>
      <c r="E1807" s="4" t="s">
        <v>252</v>
      </c>
      <c r="F1807" t="s">
        <v>213</v>
      </c>
      <c r="G1807" t="s">
        <v>232</v>
      </c>
      <c r="H1807">
        <f>VLOOKUP(C1807,'TB Apr 24'!$B$13:$AG$103,32,0)</f>
        <v>-169331.98</v>
      </c>
    </row>
    <row r="1808" spans="1:8" x14ac:dyDescent="0.35">
      <c r="A1808" s="77">
        <v>45383</v>
      </c>
      <c r="B1808" s="3" t="s">
        <v>69</v>
      </c>
      <c r="C1808" s="4" t="s">
        <v>70</v>
      </c>
      <c r="D1808" s="4" t="s">
        <v>314</v>
      </c>
      <c r="E1808" s="4" t="s">
        <v>70</v>
      </c>
      <c r="F1808" t="s">
        <v>213</v>
      </c>
      <c r="G1808" t="s">
        <v>232</v>
      </c>
      <c r="H1808">
        <f>VLOOKUP(C1808,'TB Apr 24'!$B$13:$AG$103,32,0)</f>
        <v>0</v>
      </c>
    </row>
    <row r="1809" spans="1:8" x14ac:dyDescent="0.35">
      <c r="A1809" s="77">
        <v>45383</v>
      </c>
      <c r="B1809" s="3" t="s">
        <v>71</v>
      </c>
      <c r="C1809" s="4" t="s">
        <v>72</v>
      </c>
      <c r="D1809" s="4" t="s">
        <v>314</v>
      </c>
      <c r="E1809" s="4" t="s">
        <v>253</v>
      </c>
      <c r="F1809" t="s">
        <v>213</v>
      </c>
      <c r="G1809" t="s">
        <v>232</v>
      </c>
      <c r="H1809">
        <f>VLOOKUP(C1809,'TB Apr 24'!$B$13:$AG$103,32,0)</f>
        <v>0</v>
      </c>
    </row>
    <row r="1810" spans="1:8" x14ac:dyDescent="0.35">
      <c r="A1810" s="77">
        <v>45383</v>
      </c>
      <c r="B1810" s="3" t="s">
        <v>73</v>
      </c>
      <c r="C1810" s="4" t="s">
        <v>74</v>
      </c>
      <c r="D1810" s="4" t="s">
        <v>314</v>
      </c>
      <c r="E1810" s="4" t="s">
        <v>253</v>
      </c>
      <c r="F1810" t="s">
        <v>213</v>
      </c>
      <c r="G1810" t="s">
        <v>232</v>
      </c>
      <c r="H1810">
        <f>VLOOKUP(C1810,'TB Apr 24'!$B$13:$AG$103,32,0)</f>
        <v>-5049.78</v>
      </c>
    </row>
    <row r="1811" spans="1:8" x14ac:dyDescent="0.35">
      <c r="A1811" s="77">
        <v>45383</v>
      </c>
      <c r="B1811" s="3" t="s">
        <v>75</v>
      </c>
      <c r="C1811" s="4" t="s">
        <v>76</v>
      </c>
      <c r="D1811" s="4" t="s">
        <v>314</v>
      </c>
      <c r="E1811" s="4" t="s">
        <v>253</v>
      </c>
      <c r="F1811" t="s">
        <v>213</v>
      </c>
      <c r="G1811" t="s">
        <v>232</v>
      </c>
      <c r="H1811">
        <f>VLOOKUP(C1811,'TB Apr 24'!$B$13:$AG$103,32,0)</f>
        <v>0</v>
      </c>
    </row>
    <row r="1812" spans="1:8" x14ac:dyDescent="0.35">
      <c r="A1812" s="77">
        <v>45383</v>
      </c>
      <c r="B1812" s="3" t="s">
        <v>77</v>
      </c>
      <c r="C1812" s="4" t="s">
        <v>78</v>
      </c>
      <c r="D1812" s="4" t="s">
        <v>314</v>
      </c>
      <c r="E1812" s="4" t="s">
        <v>253</v>
      </c>
      <c r="F1812" t="s">
        <v>213</v>
      </c>
      <c r="G1812" t="s">
        <v>232</v>
      </c>
      <c r="H1812">
        <f>VLOOKUP(C1812,'TB Apr 24'!$B$13:$AG$103,32,0)</f>
        <v>-34218.29</v>
      </c>
    </row>
    <row r="1813" spans="1:8" x14ac:dyDescent="0.35">
      <c r="A1813" s="77">
        <v>45383</v>
      </c>
      <c r="B1813" s="3" t="s">
        <v>79</v>
      </c>
      <c r="C1813" s="4" t="s">
        <v>80</v>
      </c>
      <c r="D1813" s="4" t="s">
        <v>314</v>
      </c>
      <c r="E1813" s="4" t="s">
        <v>253</v>
      </c>
      <c r="F1813" t="s">
        <v>213</v>
      </c>
      <c r="G1813" t="s">
        <v>232</v>
      </c>
      <c r="H1813">
        <f>VLOOKUP(C1813,'TB Apr 24'!$B$13:$AG$103,32,0)</f>
        <v>0</v>
      </c>
    </row>
    <row r="1814" spans="1:8" x14ac:dyDescent="0.35">
      <c r="A1814" s="77">
        <v>45383</v>
      </c>
      <c r="B1814" s="3" t="s">
        <v>81</v>
      </c>
      <c r="C1814" s="4" t="s">
        <v>82</v>
      </c>
      <c r="D1814" s="4" t="s">
        <v>314</v>
      </c>
      <c r="E1814" s="4" t="s">
        <v>319</v>
      </c>
      <c r="F1814" t="s">
        <v>213</v>
      </c>
      <c r="G1814" t="s">
        <v>232</v>
      </c>
      <c r="H1814">
        <f>VLOOKUP(C1814,'TB Apr 24'!$B$13:$AG$103,32,0)</f>
        <v>0</v>
      </c>
    </row>
    <row r="1815" spans="1:8" x14ac:dyDescent="0.35">
      <c r="A1815" s="77">
        <v>45383</v>
      </c>
      <c r="B1815" s="3" t="s">
        <v>83</v>
      </c>
      <c r="C1815" s="4" t="s">
        <v>84</v>
      </c>
      <c r="D1815" s="4" t="s">
        <v>314</v>
      </c>
      <c r="E1815" s="4" t="s">
        <v>319</v>
      </c>
      <c r="F1815" t="s">
        <v>213</v>
      </c>
      <c r="G1815" t="s">
        <v>232</v>
      </c>
      <c r="H1815">
        <f>VLOOKUP(C1815,'TB Apr 24'!$B$13:$AG$103,32,0)</f>
        <v>0</v>
      </c>
    </row>
    <row r="1816" spans="1:8" x14ac:dyDescent="0.35">
      <c r="A1816" s="77">
        <v>45383</v>
      </c>
      <c r="B1816" s="3" t="s">
        <v>85</v>
      </c>
      <c r="C1816" s="4" t="s">
        <v>86</v>
      </c>
      <c r="D1816" s="4" t="s">
        <v>314</v>
      </c>
      <c r="E1816" s="4" t="s">
        <v>291</v>
      </c>
      <c r="F1816" t="s">
        <v>213</v>
      </c>
      <c r="G1816" t="s">
        <v>232</v>
      </c>
      <c r="H1816">
        <f>VLOOKUP(C1816,'TB Apr 24'!$B$13:$AG$103,32,0)</f>
        <v>0</v>
      </c>
    </row>
    <row r="1817" spans="1:8" x14ac:dyDescent="0.35">
      <c r="A1817" s="77">
        <v>45383</v>
      </c>
      <c r="B1817" s="3" t="s">
        <v>88</v>
      </c>
      <c r="C1817" s="4" t="s">
        <v>89</v>
      </c>
      <c r="D1817" s="4" t="s">
        <v>314</v>
      </c>
      <c r="E1817" s="4" t="s">
        <v>300</v>
      </c>
      <c r="F1817" t="s">
        <v>213</v>
      </c>
      <c r="G1817" t="s">
        <v>232</v>
      </c>
      <c r="H1817">
        <f>VLOOKUP(C1817,'TB Apr 24'!$B$13:$AG$103,32,0)</f>
        <v>0</v>
      </c>
    </row>
    <row r="1818" spans="1:8" x14ac:dyDescent="0.35">
      <c r="A1818" s="77">
        <v>45383</v>
      </c>
      <c r="B1818" s="3" t="s">
        <v>90</v>
      </c>
      <c r="C1818" s="4" t="s">
        <v>91</v>
      </c>
      <c r="D1818" s="4" t="s">
        <v>314</v>
      </c>
      <c r="E1818" s="4" t="s">
        <v>300</v>
      </c>
      <c r="F1818" t="s">
        <v>213</v>
      </c>
      <c r="G1818" t="s">
        <v>232</v>
      </c>
      <c r="H1818">
        <f>VLOOKUP(C1818,'TB Apr 24'!$B$13:$AG$103,32,0)</f>
        <v>33370</v>
      </c>
    </row>
    <row r="1819" spans="1:8" x14ac:dyDescent="0.35">
      <c r="A1819" s="77">
        <v>45383</v>
      </c>
      <c r="B1819" s="3" t="s">
        <v>92</v>
      </c>
      <c r="C1819" s="4" t="s">
        <v>93</v>
      </c>
      <c r="D1819" s="4" t="s">
        <v>314</v>
      </c>
      <c r="E1819" s="4" t="s">
        <v>300</v>
      </c>
      <c r="F1819" t="s">
        <v>213</v>
      </c>
      <c r="G1819" t="s">
        <v>232</v>
      </c>
      <c r="H1819">
        <f>VLOOKUP(C1819,'TB Apr 24'!$B$13:$AG$103,32,0)</f>
        <v>30000</v>
      </c>
    </row>
    <row r="1820" spans="1:8" x14ac:dyDescent="0.35">
      <c r="A1820" s="77">
        <v>45383</v>
      </c>
      <c r="B1820" s="3" t="s">
        <v>94</v>
      </c>
      <c r="C1820" s="4" t="s">
        <v>95</v>
      </c>
      <c r="D1820" s="4" t="s">
        <v>314</v>
      </c>
      <c r="E1820" s="4" t="s">
        <v>289</v>
      </c>
      <c r="F1820" t="s">
        <v>213</v>
      </c>
      <c r="G1820" t="s">
        <v>232</v>
      </c>
      <c r="H1820">
        <f>VLOOKUP(C1820,'TB Apr 24'!$B$13:$AG$103,32,0)</f>
        <v>418349.5</v>
      </c>
    </row>
    <row r="1821" spans="1:8" x14ac:dyDescent="0.35">
      <c r="A1821" s="77">
        <v>45383</v>
      </c>
      <c r="B1821" s="3" t="s">
        <v>96</v>
      </c>
      <c r="C1821" s="4" t="s">
        <v>97</v>
      </c>
      <c r="D1821" s="4" t="s">
        <v>314</v>
      </c>
      <c r="E1821" s="4" t="s">
        <v>289</v>
      </c>
      <c r="F1821" t="s">
        <v>213</v>
      </c>
      <c r="G1821" t="s">
        <v>232</v>
      </c>
      <c r="H1821">
        <f>VLOOKUP(C1821,'TB Apr 24'!$B$13:$AG$103,32,0)</f>
        <v>0</v>
      </c>
    </row>
    <row r="1822" spans="1:8" x14ac:dyDescent="0.35">
      <c r="A1822" s="77">
        <v>45383</v>
      </c>
      <c r="B1822" s="3" t="s">
        <v>309</v>
      </c>
      <c r="C1822" s="4" t="s">
        <v>310</v>
      </c>
      <c r="D1822" s="4" t="s">
        <v>314</v>
      </c>
      <c r="E1822" s="4" t="s">
        <v>289</v>
      </c>
      <c r="F1822" t="s">
        <v>213</v>
      </c>
      <c r="G1822" t="s">
        <v>232</v>
      </c>
      <c r="H1822">
        <f>VLOOKUP(C1822,'TB Apr 24'!$B$13:$AG$103,32,0)</f>
        <v>0</v>
      </c>
    </row>
    <row r="1823" spans="1:8" x14ac:dyDescent="0.35">
      <c r="A1823" s="77">
        <v>45383</v>
      </c>
      <c r="B1823" s="3" t="s">
        <v>98</v>
      </c>
      <c r="C1823" s="4" t="s">
        <v>99</v>
      </c>
      <c r="D1823" s="4" t="s">
        <v>314</v>
      </c>
      <c r="E1823" s="4" t="s">
        <v>289</v>
      </c>
      <c r="F1823" t="s">
        <v>213</v>
      </c>
      <c r="G1823" t="s">
        <v>232</v>
      </c>
      <c r="H1823">
        <f>VLOOKUP(C1823,'TB Apr 24'!$B$13:$AG$103,32,0)</f>
        <v>0</v>
      </c>
    </row>
    <row r="1824" spans="1:8" x14ac:dyDescent="0.35">
      <c r="A1824" s="77">
        <v>45383</v>
      </c>
      <c r="B1824" s="3" t="s">
        <v>100</v>
      </c>
      <c r="C1824" s="4" t="s">
        <v>101</v>
      </c>
      <c r="D1824" s="4" t="s">
        <v>314</v>
      </c>
      <c r="E1824" s="4" t="s">
        <v>291</v>
      </c>
      <c r="F1824" t="s">
        <v>213</v>
      </c>
      <c r="G1824" t="s">
        <v>232</v>
      </c>
      <c r="H1824">
        <f>VLOOKUP(C1824,'TB Apr 24'!$B$13:$AG$103,32,0)</f>
        <v>0</v>
      </c>
    </row>
    <row r="1825" spans="1:8" x14ac:dyDescent="0.35">
      <c r="A1825" s="77">
        <v>45383</v>
      </c>
      <c r="B1825" s="3" t="s">
        <v>102</v>
      </c>
      <c r="C1825" s="4" t="s">
        <v>103</v>
      </c>
      <c r="D1825" s="4" t="s">
        <v>314</v>
      </c>
      <c r="E1825" s="4" t="s">
        <v>291</v>
      </c>
      <c r="F1825" t="s">
        <v>213</v>
      </c>
      <c r="G1825" t="s">
        <v>232</v>
      </c>
      <c r="H1825">
        <f>VLOOKUP(C1825,'TB Apr 24'!$B$13:$AG$103,32,0)</f>
        <v>0</v>
      </c>
    </row>
    <row r="1826" spans="1:8" x14ac:dyDescent="0.35">
      <c r="A1826" s="77">
        <v>45383</v>
      </c>
      <c r="B1826" s="3" t="s">
        <v>104</v>
      </c>
      <c r="C1826" s="4" t="s">
        <v>105</v>
      </c>
      <c r="D1826" s="4" t="s">
        <v>314</v>
      </c>
      <c r="E1826" s="4" t="s">
        <v>291</v>
      </c>
      <c r="F1826" t="s">
        <v>213</v>
      </c>
      <c r="G1826" t="s">
        <v>232</v>
      </c>
      <c r="H1826">
        <f>VLOOKUP(C1826,'TB Apr 24'!$B$13:$AG$103,32,0)</f>
        <v>568.75</v>
      </c>
    </row>
    <row r="1827" spans="1:8" x14ac:dyDescent="0.35">
      <c r="A1827" s="77">
        <v>45383</v>
      </c>
      <c r="B1827" s="3" t="s">
        <v>106</v>
      </c>
      <c r="C1827" s="4" t="s">
        <v>107</v>
      </c>
      <c r="D1827" s="4" t="s">
        <v>314</v>
      </c>
      <c r="E1827" s="4" t="s">
        <v>321</v>
      </c>
      <c r="F1827" t="s">
        <v>213</v>
      </c>
      <c r="G1827" t="s">
        <v>232</v>
      </c>
      <c r="H1827">
        <f>VLOOKUP(C1827,'TB Apr 24'!$B$13:$AG$103,32,0)</f>
        <v>0</v>
      </c>
    </row>
    <row r="1828" spans="1:8" x14ac:dyDescent="0.35">
      <c r="A1828" s="77">
        <v>45383</v>
      </c>
      <c r="B1828" s="3" t="s">
        <v>108</v>
      </c>
      <c r="C1828" s="4" t="s">
        <v>109</v>
      </c>
      <c r="D1828" s="4" t="s">
        <v>314</v>
      </c>
      <c r="E1828" s="4" t="s">
        <v>321</v>
      </c>
      <c r="F1828" t="s">
        <v>213</v>
      </c>
      <c r="G1828" t="s">
        <v>232</v>
      </c>
      <c r="H1828">
        <f>VLOOKUP(C1828,'TB Apr 24'!$B$13:$AG$103,32,0)</f>
        <v>0</v>
      </c>
    </row>
    <row r="1829" spans="1:8" x14ac:dyDescent="0.35">
      <c r="A1829" s="77">
        <v>45383</v>
      </c>
      <c r="B1829" s="3" t="s">
        <v>110</v>
      </c>
      <c r="C1829" s="4" t="s">
        <v>111</v>
      </c>
      <c r="D1829" s="4" t="s">
        <v>314</v>
      </c>
      <c r="E1829" s="4" t="s">
        <v>320</v>
      </c>
      <c r="F1829" t="s">
        <v>213</v>
      </c>
      <c r="G1829" t="s">
        <v>232</v>
      </c>
      <c r="H1829">
        <f>VLOOKUP(C1829,'TB Apr 24'!$B$13:$AG$103,32,0)</f>
        <v>0</v>
      </c>
    </row>
    <row r="1830" spans="1:8" x14ac:dyDescent="0.35">
      <c r="A1830" s="77">
        <v>45383</v>
      </c>
      <c r="B1830" s="3" t="s">
        <v>112</v>
      </c>
      <c r="C1830" s="4" t="s">
        <v>113</v>
      </c>
      <c r="D1830" s="4" t="s">
        <v>314</v>
      </c>
      <c r="E1830" s="4" t="s">
        <v>321</v>
      </c>
      <c r="F1830" t="s">
        <v>213</v>
      </c>
      <c r="G1830" t="s">
        <v>232</v>
      </c>
      <c r="H1830">
        <f>VLOOKUP(C1830,'TB Apr 24'!$B$13:$AG$103,32,0)</f>
        <v>1063</v>
      </c>
    </row>
    <row r="1831" spans="1:8" x14ac:dyDescent="0.35">
      <c r="A1831" s="77">
        <v>45383</v>
      </c>
      <c r="B1831" s="3" t="s">
        <v>311</v>
      </c>
      <c r="C1831" s="4" t="s">
        <v>312</v>
      </c>
      <c r="D1831" s="4" t="s">
        <v>314</v>
      </c>
      <c r="E1831" s="4" t="s">
        <v>288</v>
      </c>
      <c r="F1831" t="s">
        <v>213</v>
      </c>
      <c r="G1831" t="s">
        <v>232</v>
      </c>
      <c r="H1831">
        <f>VLOOKUP(C1831,'TB Apr 24'!$B$13:$AG$103,32,0)</f>
        <v>0</v>
      </c>
    </row>
    <row r="1832" spans="1:8" x14ac:dyDescent="0.35">
      <c r="A1832" s="77">
        <v>45383</v>
      </c>
      <c r="B1832" s="3" t="s">
        <v>114</v>
      </c>
      <c r="C1832" s="4" t="s">
        <v>115</v>
      </c>
      <c r="D1832" s="4" t="s">
        <v>314</v>
      </c>
      <c r="E1832" s="4" t="s">
        <v>294</v>
      </c>
      <c r="F1832" t="s">
        <v>213</v>
      </c>
      <c r="G1832" t="s">
        <v>232</v>
      </c>
      <c r="H1832">
        <f>VLOOKUP(C1832,'TB Apr 24'!$B$13:$AG$103,32,0)</f>
        <v>0</v>
      </c>
    </row>
    <row r="1833" spans="1:8" x14ac:dyDescent="0.35">
      <c r="A1833" s="77">
        <v>45383</v>
      </c>
      <c r="B1833" s="3" t="s">
        <v>116</v>
      </c>
      <c r="C1833" s="4" t="s">
        <v>117</v>
      </c>
      <c r="D1833" s="4" t="s">
        <v>314</v>
      </c>
      <c r="E1833" s="4" t="s">
        <v>296</v>
      </c>
      <c r="F1833" t="s">
        <v>213</v>
      </c>
      <c r="G1833" t="s">
        <v>232</v>
      </c>
      <c r="H1833">
        <f>VLOOKUP(C1833,'TB Apr 24'!$B$13:$AG$103,32,0)</f>
        <v>0</v>
      </c>
    </row>
    <row r="1834" spans="1:8" x14ac:dyDescent="0.35">
      <c r="A1834" s="77">
        <v>45383</v>
      </c>
      <c r="B1834" s="3" t="s">
        <v>118</v>
      </c>
      <c r="C1834" s="4" t="s">
        <v>119</v>
      </c>
      <c r="D1834" s="4" t="s">
        <v>314</v>
      </c>
      <c r="E1834" s="4" t="s">
        <v>296</v>
      </c>
      <c r="F1834" t="s">
        <v>213</v>
      </c>
      <c r="G1834" t="s">
        <v>232</v>
      </c>
      <c r="H1834">
        <f>VLOOKUP(C1834,'TB Apr 24'!$B$13:$AG$103,32,0)</f>
        <v>0</v>
      </c>
    </row>
    <row r="1835" spans="1:8" x14ac:dyDescent="0.35">
      <c r="A1835" s="77">
        <v>45383</v>
      </c>
      <c r="B1835" s="3" t="s">
        <v>120</v>
      </c>
      <c r="C1835" s="4" t="s">
        <v>121</v>
      </c>
      <c r="D1835" s="4" t="s">
        <v>314</v>
      </c>
      <c r="E1835" s="4" t="s">
        <v>322</v>
      </c>
      <c r="F1835" t="s">
        <v>213</v>
      </c>
      <c r="G1835" t="s">
        <v>232</v>
      </c>
      <c r="H1835">
        <f>VLOOKUP(C1835,'TB Apr 24'!$B$13:$AG$103,32,0)</f>
        <v>556</v>
      </c>
    </row>
    <row r="1836" spans="1:8" x14ac:dyDescent="0.35">
      <c r="A1836" s="77">
        <v>45383</v>
      </c>
      <c r="B1836" s="3" t="s">
        <v>122</v>
      </c>
      <c r="C1836" s="4" t="s">
        <v>123</v>
      </c>
      <c r="D1836" s="4" t="s">
        <v>314</v>
      </c>
      <c r="E1836" s="4" t="s">
        <v>322</v>
      </c>
      <c r="F1836" t="s">
        <v>213</v>
      </c>
      <c r="G1836" t="s">
        <v>232</v>
      </c>
      <c r="H1836">
        <f>VLOOKUP(C1836,'TB Apr 24'!$B$13:$AG$103,32,0)</f>
        <v>0</v>
      </c>
    </row>
    <row r="1837" spans="1:8" x14ac:dyDescent="0.35">
      <c r="A1837" s="77">
        <v>45383</v>
      </c>
      <c r="B1837" s="3" t="s">
        <v>124</v>
      </c>
      <c r="C1837" s="4" t="s">
        <v>125</v>
      </c>
      <c r="D1837" s="4" t="s">
        <v>314</v>
      </c>
      <c r="E1837" s="4" t="s">
        <v>322</v>
      </c>
      <c r="F1837" t="s">
        <v>213</v>
      </c>
      <c r="G1837" t="s">
        <v>232</v>
      </c>
      <c r="H1837">
        <f>VLOOKUP(C1837,'TB Apr 24'!$B$13:$AG$103,32,0)</f>
        <v>0</v>
      </c>
    </row>
    <row r="1838" spans="1:8" x14ac:dyDescent="0.35">
      <c r="A1838" s="77">
        <v>45383</v>
      </c>
      <c r="B1838" s="3" t="s">
        <v>126</v>
      </c>
      <c r="C1838" s="4" t="s">
        <v>127</v>
      </c>
      <c r="D1838" s="4" t="s">
        <v>314</v>
      </c>
      <c r="E1838" s="4" t="s">
        <v>291</v>
      </c>
      <c r="F1838" t="s">
        <v>213</v>
      </c>
      <c r="G1838" t="s">
        <v>232</v>
      </c>
      <c r="H1838">
        <f>VLOOKUP(C1838,'TB Apr 24'!$B$13:$AG$103,32,0)</f>
        <v>0</v>
      </c>
    </row>
    <row r="1839" spans="1:8" x14ac:dyDescent="0.35">
      <c r="A1839" s="77">
        <v>45383</v>
      </c>
      <c r="B1839" s="3" t="s">
        <v>128</v>
      </c>
      <c r="C1839" s="4" t="s">
        <v>129</v>
      </c>
      <c r="D1839" s="4" t="s">
        <v>314</v>
      </c>
      <c r="E1839" s="4" t="s">
        <v>322</v>
      </c>
      <c r="F1839" t="s">
        <v>213</v>
      </c>
      <c r="G1839" t="s">
        <v>232</v>
      </c>
      <c r="H1839">
        <f>VLOOKUP(C1839,'TB Apr 24'!$B$13:$AG$103,32,0)</f>
        <v>29958.875</v>
      </c>
    </row>
    <row r="1840" spans="1:8" x14ac:dyDescent="0.35">
      <c r="A1840" s="77">
        <v>45383</v>
      </c>
      <c r="B1840" s="3" t="s">
        <v>130</v>
      </c>
      <c r="C1840" s="4" t="s">
        <v>131</v>
      </c>
      <c r="D1840" s="4" t="s">
        <v>314</v>
      </c>
      <c r="E1840" s="4" t="s">
        <v>322</v>
      </c>
      <c r="F1840" t="s">
        <v>213</v>
      </c>
      <c r="G1840" t="s">
        <v>232</v>
      </c>
      <c r="H1840">
        <f>VLOOKUP(C1840,'TB Apr 24'!$B$13:$AG$103,32,0)</f>
        <v>400</v>
      </c>
    </row>
    <row r="1841" spans="1:8" x14ac:dyDescent="0.35">
      <c r="A1841" s="77">
        <v>45383</v>
      </c>
      <c r="B1841" s="3" t="s">
        <v>132</v>
      </c>
      <c r="C1841" s="4" t="s">
        <v>133</v>
      </c>
      <c r="D1841" s="4" t="s">
        <v>314</v>
      </c>
      <c r="E1841" s="4" t="s">
        <v>320</v>
      </c>
      <c r="F1841" t="s">
        <v>213</v>
      </c>
      <c r="G1841" t="s">
        <v>232</v>
      </c>
      <c r="H1841">
        <f>VLOOKUP(C1841,'TB Apr 24'!$B$13:$AG$103,32,0)</f>
        <v>55115</v>
      </c>
    </row>
    <row r="1842" spans="1:8" x14ac:dyDescent="0.35">
      <c r="A1842" s="77">
        <v>45383</v>
      </c>
      <c r="B1842" s="3" t="s">
        <v>134</v>
      </c>
      <c r="C1842" s="4" t="s">
        <v>135</v>
      </c>
      <c r="D1842" s="4" t="s">
        <v>314</v>
      </c>
      <c r="E1842" s="4" t="s">
        <v>299</v>
      </c>
      <c r="F1842" t="s">
        <v>213</v>
      </c>
      <c r="G1842" t="s">
        <v>232</v>
      </c>
      <c r="H1842">
        <f>VLOOKUP(C1842,'TB Apr 24'!$B$13:$AG$103,32,0)</f>
        <v>0</v>
      </c>
    </row>
    <row r="1843" spans="1:8" x14ac:dyDescent="0.35">
      <c r="A1843" s="77">
        <v>45383</v>
      </c>
      <c r="B1843" s="3" t="s">
        <v>136</v>
      </c>
      <c r="C1843" s="4" t="s">
        <v>137</v>
      </c>
      <c r="D1843" s="4" t="s">
        <v>314</v>
      </c>
      <c r="E1843" s="4" t="s">
        <v>322</v>
      </c>
      <c r="F1843" t="s">
        <v>213</v>
      </c>
      <c r="G1843" t="s">
        <v>232</v>
      </c>
      <c r="H1843">
        <f>VLOOKUP(C1843,'TB Apr 24'!$B$13:$AG$103,32,0)</f>
        <v>0</v>
      </c>
    </row>
    <row r="1844" spans="1:8" x14ac:dyDescent="0.35">
      <c r="A1844" s="77">
        <v>45383</v>
      </c>
      <c r="B1844" s="3" t="s">
        <v>138</v>
      </c>
      <c r="C1844" s="4" t="s">
        <v>139</v>
      </c>
      <c r="D1844" s="4" t="s">
        <v>314</v>
      </c>
      <c r="E1844" s="4" t="s">
        <v>294</v>
      </c>
      <c r="F1844" t="s">
        <v>213</v>
      </c>
      <c r="G1844" t="s">
        <v>232</v>
      </c>
      <c r="H1844">
        <f>VLOOKUP(C1844,'TB Apr 24'!$B$13:$AG$103,32,0)</f>
        <v>3014</v>
      </c>
    </row>
    <row r="1845" spans="1:8" x14ac:dyDescent="0.35">
      <c r="A1845" s="77">
        <v>45383</v>
      </c>
      <c r="B1845" s="3" t="s">
        <v>140</v>
      </c>
      <c r="C1845" s="4" t="s">
        <v>141</v>
      </c>
      <c r="D1845" s="4" t="s">
        <v>314</v>
      </c>
      <c r="E1845" s="4" t="s">
        <v>268</v>
      </c>
      <c r="F1845" t="s">
        <v>213</v>
      </c>
      <c r="G1845" t="s">
        <v>232</v>
      </c>
      <c r="H1845">
        <f>VLOOKUP(C1845,'TB Apr 24'!$B$13:$AG$103,32,0)</f>
        <v>137259.74609999999</v>
      </c>
    </row>
    <row r="1846" spans="1:8" x14ac:dyDescent="0.35">
      <c r="A1846" s="77">
        <v>45383</v>
      </c>
      <c r="B1846" s="3" t="s">
        <v>142</v>
      </c>
      <c r="C1846" s="4" t="s">
        <v>143</v>
      </c>
      <c r="D1846" s="4" t="s">
        <v>314</v>
      </c>
      <c r="E1846" s="4" t="s">
        <v>269</v>
      </c>
      <c r="F1846" t="s">
        <v>213</v>
      </c>
      <c r="G1846" t="s">
        <v>232</v>
      </c>
      <c r="H1846">
        <f>VLOOKUP(C1846,'TB Apr 24'!$B$13:$AG$103,32,0)</f>
        <v>52455</v>
      </c>
    </row>
    <row r="1847" spans="1:8" x14ac:dyDescent="0.35">
      <c r="A1847" s="77">
        <v>45383</v>
      </c>
      <c r="B1847" s="3" t="s">
        <v>144</v>
      </c>
      <c r="C1847" s="4" t="s">
        <v>145</v>
      </c>
      <c r="D1847" s="4" t="s">
        <v>314</v>
      </c>
      <c r="E1847" s="4" t="s">
        <v>288</v>
      </c>
      <c r="F1847" t="s">
        <v>213</v>
      </c>
      <c r="G1847" t="s">
        <v>232</v>
      </c>
      <c r="H1847">
        <f>VLOOKUP(C1847,'TB Apr 24'!$B$13:$AG$103,32,0)</f>
        <v>32472</v>
      </c>
    </row>
    <row r="1848" spans="1:8" x14ac:dyDescent="0.35">
      <c r="A1848" s="77">
        <v>45383</v>
      </c>
      <c r="B1848" s="3" t="s">
        <v>146</v>
      </c>
      <c r="C1848" s="4" t="s">
        <v>147</v>
      </c>
      <c r="D1848" s="4" t="s">
        <v>314</v>
      </c>
      <c r="E1848" s="4" t="s">
        <v>288</v>
      </c>
      <c r="F1848" t="s">
        <v>213</v>
      </c>
      <c r="G1848" t="s">
        <v>232</v>
      </c>
      <c r="H1848">
        <f>VLOOKUP(C1848,'TB Apr 24'!$B$13:$AG$103,32,0)</f>
        <v>15491.916666666666</v>
      </c>
    </row>
    <row r="1849" spans="1:8" x14ac:dyDescent="0.35">
      <c r="A1849" s="77">
        <v>45383</v>
      </c>
      <c r="B1849" s="3" t="s">
        <v>148</v>
      </c>
      <c r="C1849" s="4" t="s">
        <v>149</v>
      </c>
      <c r="D1849" s="4" t="s">
        <v>314</v>
      </c>
      <c r="E1849" s="4" t="s">
        <v>287</v>
      </c>
      <c r="F1849" t="s">
        <v>213</v>
      </c>
      <c r="G1849" t="s">
        <v>232</v>
      </c>
      <c r="H1849">
        <f>VLOOKUP(C1849,'TB Apr 24'!$B$13:$AG$103,32,0)</f>
        <v>72174</v>
      </c>
    </row>
    <row r="1850" spans="1:8" x14ac:dyDescent="0.35">
      <c r="A1850" s="77">
        <v>45383</v>
      </c>
      <c r="B1850" s="3" t="s">
        <v>150</v>
      </c>
      <c r="C1850" s="4" t="s">
        <v>87</v>
      </c>
      <c r="D1850" s="4" t="s">
        <v>314</v>
      </c>
      <c r="E1850" s="4" t="s">
        <v>288</v>
      </c>
      <c r="F1850" t="s">
        <v>213</v>
      </c>
      <c r="G1850" t="s">
        <v>232</v>
      </c>
      <c r="H1850">
        <f>VLOOKUP(C1850,'TB Apr 24'!$B$13:$AG$103,32,0)</f>
        <v>33089</v>
      </c>
    </row>
    <row r="1851" spans="1:8" x14ac:dyDescent="0.35">
      <c r="A1851" s="77">
        <v>45383</v>
      </c>
      <c r="B1851" s="3" t="s">
        <v>151</v>
      </c>
      <c r="C1851" s="4" t="s">
        <v>152</v>
      </c>
      <c r="D1851" s="4" t="s">
        <v>314</v>
      </c>
      <c r="E1851" s="4" t="s">
        <v>288</v>
      </c>
      <c r="F1851" t="s">
        <v>213</v>
      </c>
      <c r="G1851" t="s">
        <v>232</v>
      </c>
      <c r="H1851">
        <f>VLOOKUP(C1851,'TB Apr 24'!$B$13:$AG$103,32,0)</f>
        <v>5456</v>
      </c>
    </row>
    <row r="1852" spans="1:8" x14ac:dyDescent="0.35">
      <c r="A1852" s="77">
        <v>45383</v>
      </c>
      <c r="B1852" s="3" t="s">
        <v>153</v>
      </c>
      <c r="C1852" s="4" t="s">
        <v>154</v>
      </c>
      <c r="D1852" s="4" t="s">
        <v>314</v>
      </c>
      <c r="E1852" s="4" t="s">
        <v>288</v>
      </c>
      <c r="F1852" t="s">
        <v>213</v>
      </c>
      <c r="G1852" t="s">
        <v>232</v>
      </c>
      <c r="H1852">
        <f>VLOOKUP(C1852,'TB Apr 24'!$B$13:$AG$103,32,0)</f>
        <v>18333</v>
      </c>
    </row>
    <row r="1853" spans="1:8" x14ac:dyDescent="0.35">
      <c r="A1853" s="77">
        <v>45383</v>
      </c>
      <c r="B1853" s="3" t="s">
        <v>155</v>
      </c>
      <c r="C1853" s="4" t="s">
        <v>156</v>
      </c>
      <c r="D1853" s="4" t="s">
        <v>314</v>
      </c>
      <c r="E1853" s="4" t="s">
        <v>288</v>
      </c>
      <c r="F1853" t="s">
        <v>213</v>
      </c>
      <c r="G1853" t="s">
        <v>232</v>
      </c>
      <c r="H1853">
        <f>VLOOKUP(C1853,'TB Apr 24'!$B$13:$AG$103,32,0)</f>
        <v>0</v>
      </c>
    </row>
    <row r="1854" spans="1:8" x14ac:dyDescent="0.35">
      <c r="A1854" s="77">
        <v>45383</v>
      </c>
      <c r="B1854" s="3" t="s">
        <v>157</v>
      </c>
      <c r="C1854" s="4" t="s">
        <v>158</v>
      </c>
      <c r="D1854" s="4" t="s">
        <v>314</v>
      </c>
      <c r="E1854" s="4" t="s">
        <v>292</v>
      </c>
      <c r="F1854" t="s">
        <v>213</v>
      </c>
      <c r="G1854" t="s">
        <v>232</v>
      </c>
      <c r="H1854">
        <f>VLOOKUP(C1854,'TB Apr 24'!$B$13:$AG$103,32,0)</f>
        <v>0</v>
      </c>
    </row>
    <row r="1855" spans="1:8" x14ac:dyDescent="0.35">
      <c r="A1855" s="77">
        <v>45383</v>
      </c>
      <c r="B1855" s="3" t="s">
        <v>159</v>
      </c>
      <c r="C1855" s="4" t="s">
        <v>160</v>
      </c>
      <c r="D1855" s="4" t="s">
        <v>314</v>
      </c>
      <c r="E1855" s="4" t="s">
        <v>323</v>
      </c>
      <c r="F1855" t="s">
        <v>213</v>
      </c>
      <c r="G1855" t="s">
        <v>232</v>
      </c>
      <c r="H1855">
        <f>VLOOKUP(C1855,'TB Apr 24'!$B$13:$AG$103,32,0)</f>
        <v>0</v>
      </c>
    </row>
    <row r="1856" spans="1:8" x14ac:dyDescent="0.35">
      <c r="A1856" s="77">
        <v>45383</v>
      </c>
      <c r="B1856" s="3" t="s">
        <v>161</v>
      </c>
      <c r="C1856" s="4" t="s">
        <v>162</v>
      </c>
      <c r="D1856" s="4" t="s">
        <v>314</v>
      </c>
      <c r="E1856" s="4" t="s">
        <v>323</v>
      </c>
      <c r="F1856" t="s">
        <v>213</v>
      </c>
      <c r="G1856" t="s">
        <v>232</v>
      </c>
      <c r="H1856">
        <f>VLOOKUP(C1856,'TB Apr 24'!$B$13:$AG$103,32,0)</f>
        <v>0</v>
      </c>
    </row>
    <row r="1857" spans="1:8" x14ac:dyDescent="0.35">
      <c r="A1857" s="77">
        <v>45383</v>
      </c>
      <c r="B1857" s="3" t="s">
        <v>163</v>
      </c>
      <c r="C1857" s="4" t="s">
        <v>164</v>
      </c>
      <c r="D1857" s="4" t="s">
        <v>314</v>
      </c>
      <c r="E1857" s="4" t="s">
        <v>319</v>
      </c>
      <c r="F1857" t="s">
        <v>213</v>
      </c>
      <c r="G1857" t="s">
        <v>232</v>
      </c>
      <c r="H1857">
        <f>VLOOKUP(C1857,'TB Apr 24'!$B$13:$AG$103,32,0)</f>
        <v>10440</v>
      </c>
    </row>
    <row r="1858" spans="1:8" x14ac:dyDescent="0.35">
      <c r="A1858" s="77">
        <v>45383</v>
      </c>
      <c r="B1858" s="3" t="s">
        <v>165</v>
      </c>
      <c r="C1858" s="4" t="s">
        <v>166</v>
      </c>
      <c r="D1858" s="4" t="s">
        <v>314</v>
      </c>
      <c r="E1858" s="4" t="s">
        <v>304</v>
      </c>
      <c r="F1858" t="s">
        <v>213</v>
      </c>
      <c r="G1858" t="s">
        <v>232</v>
      </c>
      <c r="H1858">
        <f>VLOOKUP(C1858,'TB Apr 24'!$B$13:$AG$103,32,0)</f>
        <v>0</v>
      </c>
    </row>
    <row r="1859" spans="1:8" x14ac:dyDescent="0.35">
      <c r="A1859" s="77">
        <v>45383</v>
      </c>
      <c r="B1859" s="3" t="s">
        <v>167</v>
      </c>
      <c r="C1859" s="4" t="s">
        <v>168</v>
      </c>
      <c r="D1859" s="4" t="s">
        <v>314</v>
      </c>
      <c r="E1859" s="4" t="s">
        <v>322</v>
      </c>
      <c r="F1859" t="s">
        <v>213</v>
      </c>
      <c r="G1859" t="s">
        <v>232</v>
      </c>
      <c r="H1859">
        <f>VLOOKUP(C1859,'TB Apr 24'!$B$13:$AG$103,32,0)</f>
        <v>0</v>
      </c>
    </row>
    <row r="1860" spans="1:8" x14ac:dyDescent="0.35">
      <c r="A1860" s="77">
        <v>45383</v>
      </c>
      <c r="B1860" s="3" t="s">
        <v>169</v>
      </c>
      <c r="C1860" s="4" t="s">
        <v>170</v>
      </c>
      <c r="D1860" s="4" t="s">
        <v>314</v>
      </c>
      <c r="E1860" s="4" t="s">
        <v>304</v>
      </c>
      <c r="F1860" t="s">
        <v>213</v>
      </c>
      <c r="G1860" t="s">
        <v>232</v>
      </c>
      <c r="H1860">
        <f>VLOOKUP(C1860,'TB Apr 24'!$B$13:$AG$103,32,0)</f>
        <v>25343</v>
      </c>
    </row>
    <row r="1861" spans="1:8" x14ac:dyDescent="0.35">
      <c r="A1861" s="77">
        <v>45383</v>
      </c>
      <c r="B1861" s="3" t="s">
        <v>171</v>
      </c>
      <c r="C1861" s="4" t="s">
        <v>172</v>
      </c>
      <c r="D1861" s="4" t="s">
        <v>314</v>
      </c>
      <c r="E1861" s="4" t="s">
        <v>303</v>
      </c>
      <c r="F1861" t="s">
        <v>213</v>
      </c>
      <c r="G1861" t="s">
        <v>232</v>
      </c>
      <c r="H1861">
        <f>VLOOKUP(C1861,'TB Apr 24'!$B$13:$AG$103,32,0)</f>
        <v>0</v>
      </c>
    </row>
    <row r="1862" spans="1:8" x14ac:dyDescent="0.35">
      <c r="A1862" s="77">
        <v>45383</v>
      </c>
      <c r="B1862" s="3" t="s">
        <v>173</v>
      </c>
      <c r="C1862" s="4" t="s">
        <v>174</v>
      </c>
      <c r="D1862" s="4" t="s">
        <v>314</v>
      </c>
      <c r="E1862" s="4" t="s">
        <v>257</v>
      </c>
      <c r="F1862" t="s">
        <v>213</v>
      </c>
      <c r="G1862" t="s">
        <v>232</v>
      </c>
      <c r="H1862">
        <f>VLOOKUP(C1862,'TB Apr 24'!$B$13:$AG$103,32,0)</f>
        <v>0</v>
      </c>
    </row>
    <row r="1863" spans="1:8" x14ac:dyDescent="0.35">
      <c r="A1863" s="77">
        <v>45383</v>
      </c>
      <c r="B1863" s="3" t="s">
        <v>175</v>
      </c>
      <c r="C1863" s="4" t="s">
        <v>176</v>
      </c>
      <c r="D1863" s="4" t="s">
        <v>314</v>
      </c>
      <c r="E1863" s="4" t="s">
        <v>257</v>
      </c>
      <c r="F1863" t="s">
        <v>213</v>
      </c>
      <c r="G1863" t="s">
        <v>232</v>
      </c>
      <c r="H1863">
        <f>VLOOKUP(C1863,'TB Apr 24'!$B$13:$AG$103,32,0)</f>
        <v>0</v>
      </c>
    </row>
    <row r="1864" spans="1:8" x14ac:dyDescent="0.35">
      <c r="A1864" s="77">
        <v>45383</v>
      </c>
      <c r="B1864" s="3" t="s">
        <v>177</v>
      </c>
      <c r="C1864" s="4" t="s">
        <v>178</v>
      </c>
      <c r="D1864" s="4" t="s">
        <v>314</v>
      </c>
      <c r="E1864" s="4" t="s">
        <v>257</v>
      </c>
      <c r="F1864" t="s">
        <v>213</v>
      </c>
      <c r="G1864" t="s">
        <v>232</v>
      </c>
      <c r="H1864">
        <f>VLOOKUP(C1864,'TB Apr 24'!$B$13:$AG$103,32,0)</f>
        <v>0</v>
      </c>
    </row>
    <row r="1865" spans="1:8" x14ac:dyDescent="0.35">
      <c r="A1865" s="77">
        <v>45383</v>
      </c>
      <c r="B1865" s="3" t="s">
        <v>179</v>
      </c>
      <c r="C1865" s="4" t="s">
        <v>180</v>
      </c>
      <c r="D1865" s="4" t="s">
        <v>314</v>
      </c>
      <c r="E1865" s="4" t="s">
        <v>322</v>
      </c>
      <c r="F1865" t="s">
        <v>213</v>
      </c>
      <c r="G1865" t="s">
        <v>232</v>
      </c>
      <c r="H1865">
        <f>VLOOKUP(C1865,'TB Apr 24'!$B$13:$AG$103,32,0)</f>
        <v>0</v>
      </c>
    </row>
    <row r="1866" spans="1:8" x14ac:dyDescent="0.35">
      <c r="A1866" s="77">
        <v>45383</v>
      </c>
      <c r="B1866" s="3" t="s">
        <v>181</v>
      </c>
      <c r="C1866" s="4" t="s">
        <v>182</v>
      </c>
      <c r="D1866" s="4" t="s">
        <v>314</v>
      </c>
      <c r="E1866" s="4" t="s">
        <v>290</v>
      </c>
      <c r="F1866" t="s">
        <v>213</v>
      </c>
      <c r="G1866" t="s">
        <v>232</v>
      </c>
      <c r="H1866">
        <f>VLOOKUP(C1866,'TB Apr 24'!$B$13:$AG$103,32,0)</f>
        <v>0</v>
      </c>
    </row>
    <row r="1867" spans="1:8" x14ac:dyDescent="0.35">
      <c r="A1867" s="77">
        <v>45383</v>
      </c>
      <c r="B1867" s="3" t="s">
        <v>183</v>
      </c>
      <c r="C1867" s="4" t="s">
        <v>184</v>
      </c>
      <c r="D1867" s="4" t="s">
        <v>314</v>
      </c>
      <c r="E1867" s="4" t="s">
        <v>290</v>
      </c>
      <c r="F1867" t="s">
        <v>213</v>
      </c>
      <c r="G1867" t="s">
        <v>232</v>
      </c>
      <c r="H1867">
        <f>VLOOKUP(C1867,'TB Apr 24'!$B$13:$AG$103,32,0)</f>
        <v>0</v>
      </c>
    </row>
    <row r="1868" spans="1:8" x14ac:dyDescent="0.35">
      <c r="A1868" s="77">
        <v>45383</v>
      </c>
      <c r="B1868" s="3" t="s">
        <v>185</v>
      </c>
      <c r="C1868" s="4" t="s">
        <v>186</v>
      </c>
      <c r="D1868" s="4" t="s">
        <v>314</v>
      </c>
      <c r="E1868" s="4" t="s">
        <v>290</v>
      </c>
      <c r="F1868" t="s">
        <v>213</v>
      </c>
      <c r="G1868" t="s">
        <v>232</v>
      </c>
      <c r="H1868">
        <f>VLOOKUP(C1868,'TB Apr 24'!$B$13:$AG$103,32,0)</f>
        <v>2500</v>
      </c>
    </row>
    <row r="1869" spans="1:8" x14ac:dyDescent="0.35">
      <c r="A1869" s="77">
        <v>45383</v>
      </c>
      <c r="B1869" s="3" t="s">
        <v>187</v>
      </c>
      <c r="C1869" s="4" t="s">
        <v>188</v>
      </c>
      <c r="D1869" s="4" t="s">
        <v>314</v>
      </c>
      <c r="E1869" s="4" t="s">
        <v>291</v>
      </c>
      <c r="F1869" t="s">
        <v>213</v>
      </c>
      <c r="G1869" t="s">
        <v>232</v>
      </c>
      <c r="H1869">
        <f>VLOOKUP(C1869,'TB Apr 24'!$B$13:$AG$103,32,0)</f>
        <v>28148</v>
      </c>
    </row>
    <row r="1870" spans="1:8" x14ac:dyDescent="0.35">
      <c r="A1870" s="77">
        <v>45383</v>
      </c>
      <c r="B1870" s="3" t="s">
        <v>189</v>
      </c>
      <c r="C1870" s="4" t="s">
        <v>190</v>
      </c>
      <c r="D1870" s="4" t="s">
        <v>314</v>
      </c>
      <c r="E1870" s="4" t="s">
        <v>254</v>
      </c>
      <c r="F1870" t="s">
        <v>213</v>
      </c>
      <c r="G1870" t="s">
        <v>232</v>
      </c>
      <c r="H1870">
        <f>VLOOKUP(C1870,'TB Apr 24'!$B$13:$AG$103,32,0)</f>
        <v>0</v>
      </c>
    </row>
    <row r="1871" spans="1:8" x14ac:dyDescent="0.35">
      <c r="A1871" s="77">
        <v>45383</v>
      </c>
      <c r="B1871" s="3" t="s">
        <v>191</v>
      </c>
      <c r="C1871" s="4" t="s">
        <v>192</v>
      </c>
      <c r="D1871" s="4" t="s">
        <v>314</v>
      </c>
      <c r="E1871" s="4" t="s">
        <v>254</v>
      </c>
      <c r="F1871" t="s">
        <v>213</v>
      </c>
      <c r="G1871" t="s">
        <v>232</v>
      </c>
      <c r="H1871">
        <f>VLOOKUP(C1871,'TB Apr 24'!$B$13:$AG$103,32,0)</f>
        <v>0</v>
      </c>
    </row>
    <row r="1872" spans="1:8" x14ac:dyDescent="0.35">
      <c r="A1872" s="77">
        <v>45383</v>
      </c>
      <c r="B1872" s="3" t="s">
        <v>193</v>
      </c>
      <c r="C1872" s="4" t="s">
        <v>194</v>
      </c>
      <c r="D1872" s="4" t="s">
        <v>314</v>
      </c>
      <c r="E1872" s="4" t="s">
        <v>254</v>
      </c>
      <c r="F1872" t="s">
        <v>213</v>
      </c>
      <c r="G1872" t="s">
        <v>232</v>
      </c>
      <c r="H1872">
        <f>VLOOKUP(C1872,'TB Apr 24'!$B$13:$AG$103,32,0)</f>
        <v>498690.33</v>
      </c>
    </row>
    <row r="1873" spans="1:8" x14ac:dyDescent="0.35">
      <c r="A1873" s="77">
        <v>45383</v>
      </c>
      <c r="B1873" s="3" t="s">
        <v>195</v>
      </c>
      <c r="C1873" s="4" t="s">
        <v>196</v>
      </c>
      <c r="D1873" s="4" t="s">
        <v>314</v>
      </c>
      <c r="E1873" s="4" t="s">
        <v>255</v>
      </c>
      <c r="F1873" t="s">
        <v>213</v>
      </c>
      <c r="G1873" t="s">
        <v>232</v>
      </c>
      <c r="H1873">
        <f>VLOOKUP(C1873,'TB Apr 24'!$B$13:$AG$103,32,0)</f>
        <v>0</v>
      </c>
    </row>
    <row r="1874" spans="1:8" x14ac:dyDescent="0.35">
      <c r="A1874" s="77">
        <v>45383</v>
      </c>
      <c r="B1874" s="3" t="s">
        <v>197</v>
      </c>
      <c r="C1874" s="4" t="s">
        <v>198</v>
      </c>
      <c r="D1874" s="4" t="s">
        <v>314</v>
      </c>
      <c r="E1874" s="4" t="s">
        <v>255</v>
      </c>
      <c r="F1874" t="s">
        <v>213</v>
      </c>
      <c r="G1874" t="s">
        <v>232</v>
      </c>
      <c r="H1874">
        <f>VLOOKUP(C1874,'TB Apr 24'!$B$13:$AG$103,32,0)</f>
        <v>0</v>
      </c>
    </row>
    <row r="1875" spans="1:8" x14ac:dyDescent="0.35">
      <c r="A1875" s="77">
        <v>45383</v>
      </c>
      <c r="B1875" s="3" t="s">
        <v>199</v>
      </c>
      <c r="C1875" s="4" t="s">
        <v>200</v>
      </c>
      <c r="D1875" s="4" t="s">
        <v>314</v>
      </c>
      <c r="E1875" s="4" t="s">
        <v>254</v>
      </c>
      <c r="F1875" t="s">
        <v>213</v>
      </c>
      <c r="G1875" t="s">
        <v>232</v>
      </c>
      <c r="H1875">
        <f>VLOOKUP(C1875,'TB Apr 24'!$B$13:$AG$103,32,0)</f>
        <v>0</v>
      </c>
    </row>
    <row r="1876" spans="1:8" x14ac:dyDescent="0.35">
      <c r="A1876" s="77">
        <v>45383</v>
      </c>
      <c r="B1876" s="3" t="s">
        <v>201</v>
      </c>
      <c r="C1876" s="4" t="s">
        <v>202</v>
      </c>
      <c r="D1876" s="4" t="s">
        <v>314</v>
      </c>
      <c r="E1876" s="4" t="s">
        <v>254</v>
      </c>
      <c r="F1876" t="s">
        <v>213</v>
      </c>
      <c r="G1876" t="s">
        <v>232</v>
      </c>
      <c r="H1876">
        <f>VLOOKUP(C1876,'TB Apr 24'!$B$13:$AG$103,32,0)</f>
        <v>0</v>
      </c>
    </row>
    <row r="1877" spans="1:8" x14ac:dyDescent="0.35">
      <c r="A1877" s="77">
        <v>45383</v>
      </c>
      <c r="B1877" s="3" t="s">
        <v>203</v>
      </c>
      <c r="C1877" s="4" t="s">
        <v>204</v>
      </c>
      <c r="D1877" s="4" t="s">
        <v>314</v>
      </c>
      <c r="E1877" s="4" t="s">
        <v>256</v>
      </c>
      <c r="F1877" t="s">
        <v>213</v>
      </c>
      <c r="G1877" t="s">
        <v>232</v>
      </c>
      <c r="H1877">
        <f>VLOOKUP(C1877,'TB Apr 24'!$B$13:$AG$103,32,0)</f>
        <v>0</v>
      </c>
    </row>
    <row r="1878" spans="1:8" x14ac:dyDescent="0.35">
      <c r="A1878" s="77">
        <v>45383</v>
      </c>
      <c r="B1878" s="3" t="s">
        <v>205</v>
      </c>
      <c r="C1878" s="6" t="s">
        <v>206</v>
      </c>
      <c r="D1878" s="4" t="s">
        <v>314</v>
      </c>
      <c r="E1878" s="6" t="s">
        <v>322</v>
      </c>
      <c r="F1878" s="79" t="s">
        <v>213</v>
      </c>
      <c r="G1878" s="79" t="s">
        <v>232</v>
      </c>
      <c r="H1878" s="79">
        <f>VLOOKUP(C1878,'TB Apr 24'!$B$13:$AG$103,32,0)</f>
        <v>0</v>
      </c>
    </row>
    <row r="1879" spans="1:8" x14ac:dyDescent="0.35">
      <c r="A1879" s="77">
        <v>45383</v>
      </c>
      <c r="B1879" s="3" t="s">
        <v>57</v>
      </c>
      <c r="C1879" s="4" t="s">
        <v>58</v>
      </c>
      <c r="D1879" s="4" t="s">
        <v>314</v>
      </c>
      <c r="E1879" s="4" t="s">
        <v>253</v>
      </c>
      <c r="F1879" t="s">
        <v>213</v>
      </c>
      <c r="G1879" t="s">
        <v>220</v>
      </c>
      <c r="H1879">
        <f>VLOOKUP(C1879,'TB Apr 24'!$B$13:$AH$103,33,0)</f>
        <v>0</v>
      </c>
    </row>
    <row r="1880" spans="1:8" x14ac:dyDescent="0.35">
      <c r="A1880" s="77">
        <v>45383</v>
      </c>
      <c r="B1880" s="3" t="s">
        <v>307</v>
      </c>
      <c r="C1880" s="4" t="s">
        <v>308</v>
      </c>
      <c r="D1880" s="4" t="s">
        <v>314</v>
      </c>
      <c r="E1880" s="4" t="s">
        <v>253</v>
      </c>
      <c r="F1880" t="s">
        <v>213</v>
      </c>
      <c r="G1880" t="s">
        <v>220</v>
      </c>
      <c r="H1880">
        <f>VLOOKUP(C1880,'TB Apr 24'!$B$13:$AH$103,33,0)</f>
        <v>0</v>
      </c>
    </row>
    <row r="1881" spans="1:8" x14ac:dyDescent="0.35">
      <c r="A1881" s="77">
        <v>45383</v>
      </c>
      <c r="B1881" s="3" t="s">
        <v>59</v>
      </c>
      <c r="C1881" s="4" t="s">
        <v>60</v>
      </c>
      <c r="D1881" s="4" t="s">
        <v>314</v>
      </c>
      <c r="E1881" s="4" t="s">
        <v>253</v>
      </c>
      <c r="F1881" t="s">
        <v>213</v>
      </c>
      <c r="G1881" t="s">
        <v>220</v>
      </c>
      <c r="H1881">
        <f>VLOOKUP(C1881,'TB Apr 24'!$B$13:$AH$103,33,0)</f>
        <v>-44.71</v>
      </c>
    </row>
    <row r="1882" spans="1:8" x14ac:dyDescent="0.35">
      <c r="A1882" s="77">
        <v>45383</v>
      </c>
      <c r="B1882" s="3" t="s">
        <v>61</v>
      </c>
      <c r="C1882" s="4" t="s">
        <v>62</v>
      </c>
      <c r="D1882" s="4" t="s">
        <v>314</v>
      </c>
      <c r="E1882" s="4" t="s">
        <v>66</v>
      </c>
      <c r="F1882" t="s">
        <v>213</v>
      </c>
      <c r="G1882" t="s">
        <v>220</v>
      </c>
      <c r="H1882">
        <f>VLOOKUP(C1882,'TB Apr 24'!$B$13:$AH$103,33,0)</f>
        <v>-588490.54</v>
      </c>
    </row>
    <row r="1883" spans="1:8" x14ac:dyDescent="0.35">
      <c r="A1883" s="77">
        <v>45383</v>
      </c>
      <c r="B1883" s="3" t="s">
        <v>63</v>
      </c>
      <c r="C1883" s="4" t="s">
        <v>64</v>
      </c>
      <c r="D1883" s="4" t="s">
        <v>314</v>
      </c>
      <c r="E1883" s="4" t="s">
        <v>252</v>
      </c>
      <c r="F1883" t="s">
        <v>213</v>
      </c>
      <c r="G1883" t="s">
        <v>220</v>
      </c>
      <c r="H1883">
        <f>VLOOKUP(C1883,'TB Apr 24'!$B$13:$AH$103,33,0)</f>
        <v>0</v>
      </c>
    </row>
    <row r="1884" spans="1:8" x14ac:dyDescent="0.35">
      <c r="A1884" s="77">
        <v>45383</v>
      </c>
      <c r="B1884" s="3" t="s">
        <v>65</v>
      </c>
      <c r="C1884" s="4" t="s">
        <v>66</v>
      </c>
      <c r="D1884" s="4" t="s">
        <v>314</v>
      </c>
      <c r="E1884" s="4" t="s">
        <v>66</v>
      </c>
      <c r="F1884" t="s">
        <v>213</v>
      </c>
      <c r="G1884" t="s">
        <v>220</v>
      </c>
      <c r="H1884">
        <f>VLOOKUP(C1884,'TB Apr 24'!$B$13:$AH$103,33,0)</f>
        <v>-678314.5</v>
      </c>
    </row>
    <row r="1885" spans="1:8" x14ac:dyDescent="0.35">
      <c r="A1885" s="77">
        <v>45383</v>
      </c>
      <c r="B1885" s="3" t="s">
        <v>67</v>
      </c>
      <c r="C1885" s="4" t="s">
        <v>68</v>
      </c>
      <c r="D1885" s="4" t="s">
        <v>314</v>
      </c>
      <c r="E1885" s="4" t="s">
        <v>252</v>
      </c>
      <c r="F1885" t="s">
        <v>213</v>
      </c>
      <c r="G1885" t="s">
        <v>220</v>
      </c>
      <c r="H1885">
        <f>VLOOKUP(C1885,'TB Apr 24'!$B$13:$AH$103,33,0)</f>
        <v>-125558.47</v>
      </c>
    </row>
    <row r="1886" spans="1:8" x14ac:dyDescent="0.35">
      <c r="A1886" s="77">
        <v>45383</v>
      </c>
      <c r="B1886" s="3" t="s">
        <v>69</v>
      </c>
      <c r="C1886" s="4" t="s">
        <v>70</v>
      </c>
      <c r="D1886" s="4" t="s">
        <v>314</v>
      </c>
      <c r="E1886" s="4" t="s">
        <v>70</v>
      </c>
      <c r="F1886" t="s">
        <v>213</v>
      </c>
      <c r="G1886" t="s">
        <v>220</v>
      </c>
      <c r="H1886">
        <f>VLOOKUP(C1886,'TB Apr 24'!$B$13:$AH$103,33,0)</f>
        <v>-324707.21000000002</v>
      </c>
    </row>
    <row r="1887" spans="1:8" x14ac:dyDescent="0.35">
      <c r="A1887" s="77">
        <v>45383</v>
      </c>
      <c r="B1887" s="3" t="s">
        <v>71</v>
      </c>
      <c r="C1887" s="4" t="s">
        <v>72</v>
      </c>
      <c r="D1887" s="4" t="s">
        <v>314</v>
      </c>
      <c r="E1887" s="4" t="s">
        <v>253</v>
      </c>
      <c r="F1887" t="s">
        <v>213</v>
      </c>
      <c r="G1887" t="s">
        <v>220</v>
      </c>
      <c r="H1887">
        <f>VLOOKUP(C1887,'TB Apr 24'!$B$13:$AH$103,33,0)</f>
        <v>0</v>
      </c>
    </row>
    <row r="1888" spans="1:8" x14ac:dyDescent="0.35">
      <c r="A1888" s="77">
        <v>45383</v>
      </c>
      <c r="B1888" s="3" t="s">
        <v>73</v>
      </c>
      <c r="C1888" s="4" t="s">
        <v>74</v>
      </c>
      <c r="D1888" s="4" t="s">
        <v>314</v>
      </c>
      <c r="E1888" s="4" t="s">
        <v>253</v>
      </c>
      <c r="F1888" t="s">
        <v>213</v>
      </c>
      <c r="G1888" t="s">
        <v>220</v>
      </c>
      <c r="H1888">
        <f>VLOOKUP(C1888,'TB Apr 24'!$B$13:$AH$103,33,0)</f>
        <v>-30965.86</v>
      </c>
    </row>
    <row r="1889" spans="1:8" x14ac:dyDescent="0.35">
      <c r="A1889" s="77">
        <v>45383</v>
      </c>
      <c r="B1889" s="3" t="s">
        <v>75</v>
      </c>
      <c r="C1889" s="4" t="s">
        <v>76</v>
      </c>
      <c r="D1889" s="4" t="s">
        <v>314</v>
      </c>
      <c r="E1889" s="4" t="s">
        <v>253</v>
      </c>
      <c r="F1889" t="s">
        <v>213</v>
      </c>
      <c r="G1889" t="s">
        <v>220</v>
      </c>
      <c r="H1889">
        <f>VLOOKUP(C1889,'TB Apr 24'!$B$13:$AH$103,33,0)</f>
        <v>0</v>
      </c>
    </row>
    <row r="1890" spans="1:8" x14ac:dyDescent="0.35">
      <c r="A1890" s="77">
        <v>45383</v>
      </c>
      <c r="B1890" s="3" t="s">
        <v>77</v>
      </c>
      <c r="C1890" s="4" t="s">
        <v>78</v>
      </c>
      <c r="D1890" s="4" t="s">
        <v>314</v>
      </c>
      <c r="E1890" s="4" t="s">
        <v>253</v>
      </c>
      <c r="F1890" t="s">
        <v>213</v>
      </c>
      <c r="G1890" t="s">
        <v>220</v>
      </c>
      <c r="H1890">
        <f>VLOOKUP(C1890,'TB Apr 24'!$B$13:$AH$103,33,0)</f>
        <v>230.38</v>
      </c>
    </row>
    <row r="1891" spans="1:8" x14ac:dyDescent="0.35">
      <c r="A1891" s="77">
        <v>45383</v>
      </c>
      <c r="B1891" s="3" t="s">
        <v>79</v>
      </c>
      <c r="C1891" s="4" t="s">
        <v>80</v>
      </c>
      <c r="D1891" s="4" t="s">
        <v>314</v>
      </c>
      <c r="E1891" s="4" t="s">
        <v>253</v>
      </c>
      <c r="F1891" t="s">
        <v>213</v>
      </c>
      <c r="G1891" t="s">
        <v>220</v>
      </c>
      <c r="H1891">
        <f>VLOOKUP(C1891,'TB Apr 24'!$B$13:$AH$103,33,0)</f>
        <v>-27812.5</v>
      </c>
    </row>
    <row r="1892" spans="1:8" x14ac:dyDescent="0.35">
      <c r="A1892" s="77">
        <v>45383</v>
      </c>
      <c r="B1892" s="3" t="s">
        <v>81</v>
      </c>
      <c r="C1892" s="4" t="s">
        <v>82</v>
      </c>
      <c r="D1892" s="4" t="s">
        <v>314</v>
      </c>
      <c r="E1892" s="4" t="s">
        <v>319</v>
      </c>
      <c r="F1892" t="s">
        <v>213</v>
      </c>
      <c r="G1892" t="s">
        <v>220</v>
      </c>
      <c r="H1892">
        <f>VLOOKUP(C1892,'TB Apr 24'!$B$13:$AH$103,33,0)</f>
        <v>0</v>
      </c>
    </row>
    <row r="1893" spans="1:8" x14ac:dyDescent="0.35">
      <c r="A1893" s="77">
        <v>45383</v>
      </c>
      <c r="B1893" s="3" t="s">
        <v>83</v>
      </c>
      <c r="C1893" s="4" t="s">
        <v>84</v>
      </c>
      <c r="D1893" s="4" t="s">
        <v>314</v>
      </c>
      <c r="E1893" s="4" t="s">
        <v>319</v>
      </c>
      <c r="F1893" t="s">
        <v>213</v>
      </c>
      <c r="G1893" t="s">
        <v>220</v>
      </c>
      <c r="H1893">
        <f>VLOOKUP(C1893,'TB Apr 24'!$B$13:$AH$103,33,0)</f>
        <v>0</v>
      </c>
    </row>
    <row r="1894" spans="1:8" x14ac:dyDescent="0.35">
      <c r="A1894" s="77">
        <v>45383</v>
      </c>
      <c r="B1894" s="3" t="s">
        <v>85</v>
      </c>
      <c r="C1894" s="4" t="s">
        <v>86</v>
      </c>
      <c r="D1894" s="4" t="s">
        <v>314</v>
      </c>
      <c r="E1894" s="4" t="s">
        <v>291</v>
      </c>
      <c r="F1894" t="s">
        <v>213</v>
      </c>
      <c r="G1894" t="s">
        <v>220</v>
      </c>
      <c r="H1894">
        <f>VLOOKUP(C1894,'TB Apr 24'!$B$13:$AH$103,33,0)</f>
        <v>0</v>
      </c>
    </row>
    <row r="1895" spans="1:8" x14ac:dyDescent="0.35">
      <c r="A1895" s="77">
        <v>45383</v>
      </c>
      <c r="B1895" s="3" t="s">
        <v>88</v>
      </c>
      <c r="C1895" s="4" t="s">
        <v>89</v>
      </c>
      <c r="D1895" s="4" t="s">
        <v>314</v>
      </c>
      <c r="E1895" s="4" t="s">
        <v>300</v>
      </c>
      <c r="F1895" t="s">
        <v>213</v>
      </c>
      <c r="G1895" t="s">
        <v>220</v>
      </c>
      <c r="H1895">
        <f>VLOOKUP(C1895,'TB Apr 24'!$B$13:$AH$103,33,0)</f>
        <v>0</v>
      </c>
    </row>
    <row r="1896" spans="1:8" x14ac:dyDescent="0.35">
      <c r="A1896" s="77">
        <v>45383</v>
      </c>
      <c r="B1896" s="3" t="s">
        <v>90</v>
      </c>
      <c r="C1896" s="4" t="s">
        <v>91</v>
      </c>
      <c r="D1896" s="4" t="s">
        <v>314</v>
      </c>
      <c r="E1896" s="4" t="s">
        <v>300</v>
      </c>
      <c r="F1896" t="s">
        <v>213</v>
      </c>
      <c r="G1896" t="s">
        <v>220</v>
      </c>
      <c r="H1896">
        <f>VLOOKUP(C1896,'TB Apr 24'!$B$13:$AH$103,33,0)</f>
        <v>11146</v>
      </c>
    </row>
    <row r="1897" spans="1:8" x14ac:dyDescent="0.35">
      <c r="A1897" s="77">
        <v>45383</v>
      </c>
      <c r="B1897" s="3" t="s">
        <v>92</v>
      </c>
      <c r="C1897" s="4" t="s">
        <v>93</v>
      </c>
      <c r="D1897" s="4" t="s">
        <v>314</v>
      </c>
      <c r="E1897" s="4" t="s">
        <v>300</v>
      </c>
      <c r="F1897" t="s">
        <v>213</v>
      </c>
      <c r="G1897" t="s">
        <v>220</v>
      </c>
      <c r="H1897">
        <f>VLOOKUP(C1897,'TB Apr 24'!$B$13:$AH$103,33,0)</f>
        <v>11250</v>
      </c>
    </row>
    <row r="1898" spans="1:8" x14ac:dyDescent="0.35">
      <c r="A1898" s="77">
        <v>45383</v>
      </c>
      <c r="B1898" s="3" t="s">
        <v>94</v>
      </c>
      <c r="C1898" s="4" t="s">
        <v>95</v>
      </c>
      <c r="D1898" s="4" t="s">
        <v>314</v>
      </c>
      <c r="E1898" s="4" t="s">
        <v>289</v>
      </c>
      <c r="F1898" t="s">
        <v>213</v>
      </c>
      <c r="G1898" t="s">
        <v>220</v>
      </c>
      <c r="H1898">
        <f>VLOOKUP(C1898,'TB Apr 24'!$B$13:$AH$103,33,0)</f>
        <v>433942.5</v>
      </c>
    </row>
    <row r="1899" spans="1:8" x14ac:dyDescent="0.35">
      <c r="A1899" s="77">
        <v>45383</v>
      </c>
      <c r="B1899" s="3" t="s">
        <v>96</v>
      </c>
      <c r="C1899" s="4" t="s">
        <v>97</v>
      </c>
      <c r="D1899" s="4" t="s">
        <v>314</v>
      </c>
      <c r="E1899" s="4" t="s">
        <v>289</v>
      </c>
      <c r="F1899" t="s">
        <v>213</v>
      </c>
      <c r="G1899" t="s">
        <v>220</v>
      </c>
      <c r="H1899">
        <f>VLOOKUP(C1899,'TB Apr 24'!$B$13:$AH$103,33,0)</f>
        <v>0</v>
      </c>
    </row>
    <row r="1900" spans="1:8" x14ac:dyDescent="0.35">
      <c r="A1900" s="77">
        <v>45383</v>
      </c>
      <c r="B1900" s="3" t="s">
        <v>309</v>
      </c>
      <c r="C1900" s="4" t="s">
        <v>310</v>
      </c>
      <c r="D1900" s="4" t="s">
        <v>314</v>
      </c>
      <c r="E1900" s="4" t="s">
        <v>289</v>
      </c>
      <c r="F1900" t="s">
        <v>213</v>
      </c>
      <c r="G1900" t="s">
        <v>220</v>
      </c>
      <c r="H1900">
        <f>VLOOKUP(C1900,'TB Apr 24'!$B$13:$AH$103,33,0)</f>
        <v>0</v>
      </c>
    </row>
    <row r="1901" spans="1:8" x14ac:dyDescent="0.35">
      <c r="A1901" s="77">
        <v>45383</v>
      </c>
      <c r="B1901" s="3" t="s">
        <v>98</v>
      </c>
      <c r="C1901" s="4" t="s">
        <v>99</v>
      </c>
      <c r="D1901" s="4" t="s">
        <v>314</v>
      </c>
      <c r="E1901" s="4" t="s">
        <v>289</v>
      </c>
      <c r="F1901" t="s">
        <v>213</v>
      </c>
      <c r="G1901" t="s">
        <v>220</v>
      </c>
      <c r="H1901">
        <f>VLOOKUP(C1901,'TB Apr 24'!$B$13:$AH$103,33,0)</f>
        <v>0</v>
      </c>
    </row>
    <row r="1902" spans="1:8" x14ac:dyDescent="0.35">
      <c r="A1902" s="77">
        <v>45383</v>
      </c>
      <c r="B1902" s="3" t="s">
        <v>100</v>
      </c>
      <c r="C1902" s="4" t="s">
        <v>101</v>
      </c>
      <c r="D1902" s="4" t="s">
        <v>314</v>
      </c>
      <c r="E1902" s="4" t="s">
        <v>291</v>
      </c>
      <c r="F1902" t="s">
        <v>213</v>
      </c>
      <c r="G1902" t="s">
        <v>220</v>
      </c>
      <c r="H1902">
        <f>VLOOKUP(C1902,'TB Apr 24'!$B$13:$AH$103,33,0)</f>
        <v>0</v>
      </c>
    </row>
    <row r="1903" spans="1:8" x14ac:dyDescent="0.35">
      <c r="A1903" s="77">
        <v>45383</v>
      </c>
      <c r="B1903" s="3" t="s">
        <v>102</v>
      </c>
      <c r="C1903" s="4" t="s">
        <v>103</v>
      </c>
      <c r="D1903" s="4" t="s">
        <v>314</v>
      </c>
      <c r="E1903" s="4" t="s">
        <v>291</v>
      </c>
      <c r="F1903" t="s">
        <v>213</v>
      </c>
      <c r="G1903" t="s">
        <v>220</v>
      </c>
      <c r="H1903">
        <f>VLOOKUP(C1903,'TB Apr 24'!$B$13:$AH$103,33,0)</f>
        <v>0</v>
      </c>
    </row>
    <row r="1904" spans="1:8" x14ac:dyDescent="0.35">
      <c r="A1904" s="77">
        <v>45383</v>
      </c>
      <c r="B1904" s="3" t="s">
        <v>104</v>
      </c>
      <c r="C1904" s="4" t="s">
        <v>105</v>
      </c>
      <c r="D1904" s="4" t="s">
        <v>314</v>
      </c>
      <c r="E1904" s="4" t="s">
        <v>291</v>
      </c>
      <c r="F1904" t="s">
        <v>213</v>
      </c>
      <c r="G1904" t="s">
        <v>220</v>
      </c>
      <c r="H1904">
        <f>VLOOKUP(C1904,'TB Apr 24'!$B$13:$AH$103,33,0)</f>
        <v>568.75</v>
      </c>
    </row>
    <row r="1905" spans="1:8" x14ac:dyDescent="0.35">
      <c r="A1905" s="77">
        <v>45383</v>
      </c>
      <c r="B1905" s="3" t="s">
        <v>106</v>
      </c>
      <c r="C1905" s="4" t="s">
        <v>107</v>
      </c>
      <c r="D1905" s="4" t="s">
        <v>314</v>
      </c>
      <c r="E1905" s="4" t="s">
        <v>321</v>
      </c>
      <c r="F1905" t="s">
        <v>213</v>
      </c>
      <c r="G1905" t="s">
        <v>220</v>
      </c>
      <c r="H1905">
        <f>VLOOKUP(C1905,'TB Apr 24'!$B$13:$AH$103,33,0)</f>
        <v>0</v>
      </c>
    </row>
    <row r="1906" spans="1:8" x14ac:dyDescent="0.35">
      <c r="A1906" s="77">
        <v>45383</v>
      </c>
      <c r="B1906" s="3" t="s">
        <v>108</v>
      </c>
      <c r="C1906" s="4" t="s">
        <v>109</v>
      </c>
      <c r="D1906" s="4" t="s">
        <v>314</v>
      </c>
      <c r="E1906" s="4" t="s">
        <v>321</v>
      </c>
      <c r="F1906" t="s">
        <v>213</v>
      </c>
      <c r="G1906" t="s">
        <v>220</v>
      </c>
      <c r="H1906">
        <f>VLOOKUP(C1906,'TB Apr 24'!$B$13:$AH$103,33,0)</f>
        <v>0</v>
      </c>
    </row>
    <row r="1907" spans="1:8" x14ac:dyDescent="0.35">
      <c r="A1907" s="77">
        <v>45383</v>
      </c>
      <c r="B1907" s="3" t="s">
        <v>110</v>
      </c>
      <c r="C1907" s="4" t="s">
        <v>111</v>
      </c>
      <c r="D1907" s="4" t="s">
        <v>314</v>
      </c>
      <c r="E1907" s="4" t="s">
        <v>320</v>
      </c>
      <c r="F1907" t="s">
        <v>213</v>
      </c>
      <c r="G1907" t="s">
        <v>220</v>
      </c>
      <c r="H1907">
        <f>VLOOKUP(C1907,'TB Apr 24'!$B$13:$AH$103,33,0)</f>
        <v>0</v>
      </c>
    </row>
    <row r="1908" spans="1:8" x14ac:dyDescent="0.35">
      <c r="A1908" s="77">
        <v>45383</v>
      </c>
      <c r="B1908" s="3" t="s">
        <v>112</v>
      </c>
      <c r="C1908" s="4" t="s">
        <v>113</v>
      </c>
      <c r="D1908" s="4" t="s">
        <v>314</v>
      </c>
      <c r="E1908" s="4" t="s">
        <v>321</v>
      </c>
      <c r="F1908" t="s">
        <v>213</v>
      </c>
      <c r="G1908" t="s">
        <v>220</v>
      </c>
      <c r="H1908">
        <f>VLOOKUP(C1908,'TB Apr 24'!$B$13:$AH$103,33,0)</f>
        <v>1800</v>
      </c>
    </row>
    <row r="1909" spans="1:8" x14ac:dyDescent="0.35">
      <c r="A1909" s="77">
        <v>45383</v>
      </c>
      <c r="B1909" s="3" t="s">
        <v>311</v>
      </c>
      <c r="C1909" s="4" t="s">
        <v>312</v>
      </c>
      <c r="D1909" s="4" t="s">
        <v>314</v>
      </c>
      <c r="E1909" s="4" t="s">
        <v>288</v>
      </c>
      <c r="F1909" t="s">
        <v>213</v>
      </c>
      <c r="G1909" t="s">
        <v>220</v>
      </c>
      <c r="H1909">
        <f>VLOOKUP(C1909,'TB Apr 24'!$B$13:$AH$103,33,0)</f>
        <v>0</v>
      </c>
    </row>
    <row r="1910" spans="1:8" x14ac:dyDescent="0.35">
      <c r="A1910" s="77">
        <v>45383</v>
      </c>
      <c r="B1910" s="3" t="s">
        <v>114</v>
      </c>
      <c r="C1910" s="4" t="s">
        <v>115</v>
      </c>
      <c r="D1910" s="4" t="s">
        <v>314</v>
      </c>
      <c r="E1910" s="4" t="s">
        <v>294</v>
      </c>
      <c r="F1910" t="s">
        <v>213</v>
      </c>
      <c r="G1910" t="s">
        <v>220</v>
      </c>
      <c r="H1910">
        <f>VLOOKUP(C1910,'TB Apr 24'!$B$13:$AH$103,33,0)</f>
        <v>0</v>
      </c>
    </row>
    <row r="1911" spans="1:8" x14ac:dyDescent="0.35">
      <c r="A1911" s="77">
        <v>45383</v>
      </c>
      <c r="B1911" s="3" t="s">
        <v>116</v>
      </c>
      <c r="C1911" s="4" t="s">
        <v>117</v>
      </c>
      <c r="D1911" s="4" t="s">
        <v>314</v>
      </c>
      <c r="E1911" s="4" t="s">
        <v>296</v>
      </c>
      <c r="F1911" t="s">
        <v>213</v>
      </c>
      <c r="G1911" t="s">
        <v>220</v>
      </c>
      <c r="H1911">
        <f>VLOOKUP(C1911,'TB Apr 24'!$B$13:$AH$103,33,0)</f>
        <v>0</v>
      </c>
    </row>
    <row r="1912" spans="1:8" x14ac:dyDescent="0.35">
      <c r="A1912" s="77">
        <v>45383</v>
      </c>
      <c r="B1912" s="3" t="s">
        <v>118</v>
      </c>
      <c r="C1912" s="4" t="s">
        <v>119</v>
      </c>
      <c r="D1912" s="4" t="s">
        <v>314</v>
      </c>
      <c r="E1912" s="4" t="s">
        <v>296</v>
      </c>
      <c r="F1912" t="s">
        <v>213</v>
      </c>
      <c r="G1912" t="s">
        <v>220</v>
      </c>
      <c r="H1912">
        <f>VLOOKUP(C1912,'TB Apr 24'!$B$13:$AH$103,33,0)</f>
        <v>13600</v>
      </c>
    </row>
    <row r="1913" spans="1:8" x14ac:dyDescent="0.35">
      <c r="A1913" s="77">
        <v>45383</v>
      </c>
      <c r="B1913" s="3" t="s">
        <v>120</v>
      </c>
      <c r="C1913" s="4" t="s">
        <v>121</v>
      </c>
      <c r="D1913" s="4" t="s">
        <v>314</v>
      </c>
      <c r="E1913" s="4" t="s">
        <v>322</v>
      </c>
      <c r="F1913" t="s">
        <v>213</v>
      </c>
      <c r="G1913" t="s">
        <v>220</v>
      </c>
      <c r="H1913">
        <f>VLOOKUP(C1913,'TB Apr 24'!$B$13:$AH$103,33,0)</f>
        <v>1000</v>
      </c>
    </row>
    <row r="1914" spans="1:8" x14ac:dyDescent="0.35">
      <c r="A1914" s="77">
        <v>45383</v>
      </c>
      <c r="B1914" s="3" t="s">
        <v>122</v>
      </c>
      <c r="C1914" s="4" t="s">
        <v>123</v>
      </c>
      <c r="D1914" s="4" t="s">
        <v>314</v>
      </c>
      <c r="E1914" s="4" t="s">
        <v>322</v>
      </c>
      <c r="F1914" t="s">
        <v>213</v>
      </c>
      <c r="G1914" t="s">
        <v>220</v>
      </c>
      <c r="H1914">
        <f>VLOOKUP(C1914,'TB Apr 24'!$B$13:$AH$103,33,0)</f>
        <v>0</v>
      </c>
    </row>
    <row r="1915" spans="1:8" x14ac:dyDescent="0.35">
      <c r="A1915" s="77">
        <v>45383</v>
      </c>
      <c r="B1915" s="3" t="s">
        <v>124</v>
      </c>
      <c r="C1915" s="4" t="s">
        <v>125</v>
      </c>
      <c r="D1915" s="4" t="s">
        <v>314</v>
      </c>
      <c r="E1915" s="4" t="s">
        <v>322</v>
      </c>
      <c r="F1915" t="s">
        <v>213</v>
      </c>
      <c r="G1915" t="s">
        <v>220</v>
      </c>
      <c r="H1915">
        <f>VLOOKUP(C1915,'TB Apr 24'!$B$13:$AH$103,33,0)</f>
        <v>0</v>
      </c>
    </row>
    <row r="1916" spans="1:8" x14ac:dyDescent="0.35">
      <c r="A1916" s="77">
        <v>45383</v>
      </c>
      <c r="B1916" s="3" t="s">
        <v>126</v>
      </c>
      <c r="C1916" s="4" t="s">
        <v>127</v>
      </c>
      <c r="D1916" s="4" t="s">
        <v>314</v>
      </c>
      <c r="E1916" s="4" t="s">
        <v>291</v>
      </c>
      <c r="F1916" t="s">
        <v>213</v>
      </c>
      <c r="G1916" t="s">
        <v>220</v>
      </c>
      <c r="H1916">
        <f>VLOOKUP(C1916,'TB Apr 24'!$B$13:$AH$103,33,0)</f>
        <v>0</v>
      </c>
    </row>
    <row r="1917" spans="1:8" x14ac:dyDescent="0.35">
      <c r="A1917" s="77">
        <v>45383</v>
      </c>
      <c r="B1917" s="3" t="s">
        <v>128</v>
      </c>
      <c r="C1917" s="4" t="s">
        <v>129</v>
      </c>
      <c r="D1917" s="4" t="s">
        <v>314</v>
      </c>
      <c r="E1917" s="4" t="s">
        <v>322</v>
      </c>
      <c r="F1917" t="s">
        <v>213</v>
      </c>
      <c r="G1917" t="s">
        <v>220</v>
      </c>
      <c r="H1917">
        <f>VLOOKUP(C1917,'TB Apr 24'!$B$13:$AH$103,33,0)</f>
        <v>9696.875</v>
      </c>
    </row>
    <row r="1918" spans="1:8" x14ac:dyDescent="0.35">
      <c r="A1918" s="77">
        <v>45383</v>
      </c>
      <c r="B1918" s="3" t="s">
        <v>130</v>
      </c>
      <c r="C1918" s="4" t="s">
        <v>131</v>
      </c>
      <c r="D1918" s="4" t="s">
        <v>314</v>
      </c>
      <c r="E1918" s="4" t="s">
        <v>322</v>
      </c>
      <c r="F1918" t="s">
        <v>213</v>
      </c>
      <c r="G1918" t="s">
        <v>220</v>
      </c>
      <c r="H1918">
        <f>VLOOKUP(C1918,'TB Apr 24'!$B$13:$AH$103,33,0)</f>
        <v>300</v>
      </c>
    </row>
    <row r="1919" spans="1:8" x14ac:dyDescent="0.35">
      <c r="A1919" s="77">
        <v>45383</v>
      </c>
      <c r="B1919" s="3" t="s">
        <v>132</v>
      </c>
      <c r="C1919" s="4" t="s">
        <v>133</v>
      </c>
      <c r="D1919" s="4" t="s">
        <v>314</v>
      </c>
      <c r="E1919" s="4" t="s">
        <v>320</v>
      </c>
      <c r="F1919" t="s">
        <v>213</v>
      </c>
      <c r="G1919" t="s">
        <v>220</v>
      </c>
      <c r="H1919">
        <f>VLOOKUP(C1919,'TB Apr 24'!$B$13:$AH$103,33,0)</f>
        <v>32415</v>
      </c>
    </row>
    <row r="1920" spans="1:8" x14ac:dyDescent="0.35">
      <c r="A1920" s="77">
        <v>45383</v>
      </c>
      <c r="B1920" s="3" t="s">
        <v>134</v>
      </c>
      <c r="C1920" s="4" t="s">
        <v>135</v>
      </c>
      <c r="D1920" s="4" t="s">
        <v>314</v>
      </c>
      <c r="E1920" s="4" t="s">
        <v>299</v>
      </c>
      <c r="F1920" t="s">
        <v>213</v>
      </c>
      <c r="G1920" t="s">
        <v>220</v>
      </c>
      <c r="H1920">
        <f>VLOOKUP(C1920,'TB Apr 24'!$B$13:$AH$103,33,0)</f>
        <v>0</v>
      </c>
    </row>
    <row r="1921" spans="1:8" x14ac:dyDescent="0.35">
      <c r="A1921" s="77">
        <v>45383</v>
      </c>
      <c r="B1921" s="3" t="s">
        <v>136</v>
      </c>
      <c r="C1921" s="4" t="s">
        <v>137</v>
      </c>
      <c r="D1921" s="4" t="s">
        <v>314</v>
      </c>
      <c r="E1921" s="4" t="s">
        <v>322</v>
      </c>
      <c r="F1921" t="s">
        <v>213</v>
      </c>
      <c r="G1921" t="s">
        <v>220</v>
      </c>
      <c r="H1921">
        <f>VLOOKUP(C1921,'TB Apr 24'!$B$13:$AH$103,33,0)</f>
        <v>0</v>
      </c>
    </row>
    <row r="1922" spans="1:8" x14ac:dyDescent="0.35">
      <c r="A1922" s="77">
        <v>45383</v>
      </c>
      <c r="B1922" s="3" t="s">
        <v>138</v>
      </c>
      <c r="C1922" s="4" t="s">
        <v>139</v>
      </c>
      <c r="D1922" s="4" t="s">
        <v>314</v>
      </c>
      <c r="E1922" s="4" t="s">
        <v>294</v>
      </c>
      <c r="F1922" t="s">
        <v>213</v>
      </c>
      <c r="G1922" t="s">
        <v>220</v>
      </c>
      <c r="H1922">
        <f>VLOOKUP(C1922,'TB Apr 24'!$B$13:$AH$103,33,0)</f>
        <v>1680.1</v>
      </c>
    </row>
    <row r="1923" spans="1:8" x14ac:dyDescent="0.35">
      <c r="A1923" s="77">
        <v>45383</v>
      </c>
      <c r="B1923" s="3" t="s">
        <v>140</v>
      </c>
      <c r="C1923" s="4" t="s">
        <v>141</v>
      </c>
      <c r="D1923" s="4" t="s">
        <v>314</v>
      </c>
      <c r="E1923" s="4" t="s">
        <v>268</v>
      </c>
      <c r="F1923" t="s">
        <v>213</v>
      </c>
      <c r="G1923" t="s">
        <v>220</v>
      </c>
      <c r="H1923">
        <f>VLOOKUP(C1923,'TB Apr 24'!$B$13:$AH$103,33,0)</f>
        <v>159809.70689999999</v>
      </c>
    </row>
    <row r="1924" spans="1:8" x14ac:dyDescent="0.35">
      <c r="A1924" s="77">
        <v>45383</v>
      </c>
      <c r="B1924" s="3" t="s">
        <v>142</v>
      </c>
      <c r="C1924" s="4" t="s">
        <v>143</v>
      </c>
      <c r="D1924" s="4" t="s">
        <v>314</v>
      </c>
      <c r="E1924" s="4" t="s">
        <v>269</v>
      </c>
      <c r="F1924" t="s">
        <v>213</v>
      </c>
      <c r="G1924" t="s">
        <v>220</v>
      </c>
      <c r="H1924">
        <f>VLOOKUP(C1924,'TB Apr 24'!$B$13:$AH$103,33,0)</f>
        <v>59449</v>
      </c>
    </row>
    <row r="1925" spans="1:8" x14ac:dyDescent="0.35">
      <c r="A1925" s="77">
        <v>45383</v>
      </c>
      <c r="B1925" s="3" t="s">
        <v>144</v>
      </c>
      <c r="C1925" s="4" t="s">
        <v>145</v>
      </c>
      <c r="D1925" s="4" t="s">
        <v>314</v>
      </c>
      <c r="E1925" s="4" t="s">
        <v>288</v>
      </c>
      <c r="F1925" t="s">
        <v>213</v>
      </c>
      <c r="G1925" t="s">
        <v>220</v>
      </c>
      <c r="H1925">
        <f>VLOOKUP(C1925,'TB Apr 24'!$B$13:$AH$103,33,0)</f>
        <v>40148</v>
      </c>
    </row>
    <row r="1926" spans="1:8" x14ac:dyDescent="0.35">
      <c r="A1926" s="77">
        <v>45383</v>
      </c>
      <c r="B1926" s="3" t="s">
        <v>146</v>
      </c>
      <c r="C1926" s="4" t="s">
        <v>147</v>
      </c>
      <c r="D1926" s="4" t="s">
        <v>314</v>
      </c>
      <c r="E1926" s="4" t="s">
        <v>288</v>
      </c>
      <c r="F1926" t="s">
        <v>213</v>
      </c>
      <c r="G1926" t="s">
        <v>220</v>
      </c>
      <c r="H1926">
        <f>VLOOKUP(C1926,'TB Apr 24'!$B$13:$AH$103,33,0)</f>
        <v>19159.583333333332</v>
      </c>
    </row>
    <row r="1927" spans="1:8" x14ac:dyDescent="0.35">
      <c r="A1927" s="77">
        <v>45383</v>
      </c>
      <c r="B1927" s="3" t="s">
        <v>148</v>
      </c>
      <c r="C1927" s="4" t="s">
        <v>149</v>
      </c>
      <c r="D1927" s="4" t="s">
        <v>314</v>
      </c>
      <c r="E1927" s="4" t="s">
        <v>287</v>
      </c>
      <c r="F1927" t="s">
        <v>213</v>
      </c>
      <c r="G1927" t="s">
        <v>220</v>
      </c>
      <c r="H1927">
        <f>VLOOKUP(C1927,'TB Apr 24'!$B$13:$AH$103,33,0)</f>
        <v>172565</v>
      </c>
    </row>
    <row r="1928" spans="1:8" x14ac:dyDescent="0.35">
      <c r="A1928" s="77">
        <v>45383</v>
      </c>
      <c r="B1928" s="3" t="s">
        <v>150</v>
      </c>
      <c r="C1928" s="4" t="s">
        <v>87</v>
      </c>
      <c r="D1928" s="4" t="s">
        <v>314</v>
      </c>
      <c r="E1928" s="4" t="s">
        <v>288</v>
      </c>
      <c r="F1928" t="s">
        <v>213</v>
      </c>
      <c r="G1928" t="s">
        <v>220</v>
      </c>
      <c r="H1928">
        <f>VLOOKUP(C1928,'TB Apr 24'!$B$13:$AH$103,33,0)</f>
        <v>48219</v>
      </c>
    </row>
    <row r="1929" spans="1:8" x14ac:dyDescent="0.35">
      <c r="A1929" s="77">
        <v>45383</v>
      </c>
      <c r="B1929" s="3" t="s">
        <v>151</v>
      </c>
      <c r="C1929" s="4" t="s">
        <v>152</v>
      </c>
      <c r="D1929" s="4" t="s">
        <v>314</v>
      </c>
      <c r="E1929" s="4" t="s">
        <v>288</v>
      </c>
      <c r="F1929" t="s">
        <v>213</v>
      </c>
      <c r="G1929" t="s">
        <v>220</v>
      </c>
      <c r="H1929">
        <f>VLOOKUP(C1929,'TB Apr 24'!$B$13:$AH$103,33,0)</f>
        <v>7220</v>
      </c>
    </row>
    <row r="1930" spans="1:8" x14ac:dyDescent="0.35">
      <c r="A1930" s="77">
        <v>45383</v>
      </c>
      <c r="B1930" s="3" t="s">
        <v>153</v>
      </c>
      <c r="C1930" s="4" t="s">
        <v>154</v>
      </c>
      <c r="D1930" s="4" t="s">
        <v>314</v>
      </c>
      <c r="E1930" s="4" t="s">
        <v>288</v>
      </c>
      <c r="F1930" t="s">
        <v>213</v>
      </c>
      <c r="G1930" t="s">
        <v>220</v>
      </c>
      <c r="H1930">
        <f>VLOOKUP(C1930,'TB Apr 24'!$B$13:$AH$103,33,0)</f>
        <v>11598</v>
      </c>
    </row>
    <row r="1931" spans="1:8" x14ac:dyDescent="0.35">
      <c r="A1931" s="77">
        <v>45383</v>
      </c>
      <c r="B1931" s="3" t="s">
        <v>155</v>
      </c>
      <c r="C1931" s="4" t="s">
        <v>156</v>
      </c>
      <c r="D1931" s="4" t="s">
        <v>314</v>
      </c>
      <c r="E1931" s="4" t="s">
        <v>288</v>
      </c>
      <c r="F1931" t="s">
        <v>213</v>
      </c>
      <c r="G1931" t="s">
        <v>220</v>
      </c>
      <c r="H1931">
        <f>VLOOKUP(C1931,'TB Apr 24'!$B$13:$AH$103,33,0)</f>
        <v>0</v>
      </c>
    </row>
    <row r="1932" spans="1:8" x14ac:dyDescent="0.35">
      <c r="A1932" s="77">
        <v>45383</v>
      </c>
      <c r="B1932" s="3" t="s">
        <v>157</v>
      </c>
      <c r="C1932" s="4" t="s">
        <v>158</v>
      </c>
      <c r="D1932" s="4" t="s">
        <v>314</v>
      </c>
      <c r="E1932" s="4" t="s">
        <v>292</v>
      </c>
      <c r="F1932" t="s">
        <v>213</v>
      </c>
      <c r="G1932" t="s">
        <v>220</v>
      </c>
      <c r="H1932">
        <f>VLOOKUP(C1932,'TB Apr 24'!$B$13:$AH$103,33,0)</f>
        <v>0</v>
      </c>
    </row>
    <row r="1933" spans="1:8" x14ac:dyDescent="0.35">
      <c r="A1933" s="77">
        <v>45383</v>
      </c>
      <c r="B1933" s="3" t="s">
        <v>159</v>
      </c>
      <c r="C1933" s="4" t="s">
        <v>160</v>
      </c>
      <c r="D1933" s="4" t="s">
        <v>314</v>
      </c>
      <c r="E1933" s="4" t="s">
        <v>323</v>
      </c>
      <c r="F1933" t="s">
        <v>213</v>
      </c>
      <c r="G1933" t="s">
        <v>220</v>
      </c>
      <c r="H1933">
        <f>VLOOKUP(C1933,'TB Apr 24'!$B$13:$AH$103,33,0)</f>
        <v>0</v>
      </c>
    </row>
    <row r="1934" spans="1:8" x14ac:dyDescent="0.35">
      <c r="A1934" s="77">
        <v>45383</v>
      </c>
      <c r="B1934" s="3" t="s">
        <v>161</v>
      </c>
      <c r="C1934" s="4" t="s">
        <v>162</v>
      </c>
      <c r="D1934" s="4" t="s">
        <v>314</v>
      </c>
      <c r="E1934" s="4" t="s">
        <v>323</v>
      </c>
      <c r="F1934" t="s">
        <v>213</v>
      </c>
      <c r="G1934" t="s">
        <v>220</v>
      </c>
      <c r="H1934">
        <f>VLOOKUP(C1934,'TB Apr 24'!$B$13:$AH$103,33,0)</f>
        <v>0</v>
      </c>
    </row>
    <row r="1935" spans="1:8" x14ac:dyDescent="0.35">
      <c r="A1935" s="77">
        <v>45383</v>
      </c>
      <c r="B1935" s="3" t="s">
        <v>163</v>
      </c>
      <c r="C1935" s="4" t="s">
        <v>164</v>
      </c>
      <c r="D1935" s="4" t="s">
        <v>314</v>
      </c>
      <c r="E1935" s="4" t="s">
        <v>319</v>
      </c>
      <c r="F1935" t="s">
        <v>213</v>
      </c>
      <c r="G1935" t="s">
        <v>220</v>
      </c>
      <c r="H1935">
        <f>VLOOKUP(C1935,'TB Apr 24'!$B$13:$AH$103,33,0)</f>
        <v>0</v>
      </c>
    </row>
    <row r="1936" spans="1:8" x14ac:dyDescent="0.35">
      <c r="A1936" s="77">
        <v>45383</v>
      </c>
      <c r="B1936" s="3" t="s">
        <v>165</v>
      </c>
      <c r="C1936" s="4" t="s">
        <v>166</v>
      </c>
      <c r="D1936" s="4" t="s">
        <v>314</v>
      </c>
      <c r="E1936" s="4" t="s">
        <v>304</v>
      </c>
      <c r="F1936" t="s">
        <v>213</v>
      </c>
      <c r="G1936" t="s">
        <v>220</v>
      </c>
      <c r="H1936">
        <f>VLOOKUP(C1936,'TB Apr 24'!$B$13:$AH$103,33,0)</f>
        <v>29233</v>
      </c>
    </row>
    <row r="1937" spans="1:8" x14ac:dyDescent="0.35">
      <c r="A1937" s="77">
        <v>45383</v>
      </c>
      <c r="B1937" s="3" t="s">
        <v>167</v>
      </c>
      <c r="C1937" s="4" t="s">
        <v>168</v>
      </c>
      <c r="D1937" s="4" t="s">
        <v>314</v>
      </c>
      <c r="E1937" s="4" t="s">
        <v>322</v>
      </c>
      <c r="F1937" t="s">
        <v>213</v>
      </c>
      <c r="G1937" t="s">
        <v>220</v>
      </c>
      <c r="H1937">
        <f>VLOOKUP(C1937,'TB Apr 24'!$B$13:$AH$103,33,0)</f>
        <v>0</v>
      </c>
    </row>
    <row r="1938" spans="1:8" x14ac:dyDescent="0.35">
      <c r="A1938" s="77">
        <v>45383</v>
      </c>
      <c r="B1938" s="3" t="s">
        <v>169</v>
      </c>
      <c r="C1938" s="4" t="s">
        <v>170</v>
      </c>
      <c r="D1938" s="4" t="s">
        <v>314</v>
      </c>
      <c r="E1938" s="4" t="s">
        <v>304</v>
      </c>
      <c r="F1938" t="s">
        <v>213</v>
      </c>
      <c r="G1938" t="s">
        <v>220</v>
      </c>
      <c r="H1938">
        <f>VLOOKUP(C1938,'TB Apr 24'!$B$13:$AH$103,33,0)</f>
        <v>94749</v>
      </c>
    </row>
    <row r="1939" spans="1:8" x14ac:dyDescent="0.35">
      <c r="A1939" s="77">
        <v>45383</v>
      </c>
      <c r="B1939" s="3" t="s">
        <v>171</v>
      </c>
      <c r="C1939" s="4" t="s">
        <v>172</v>
      </c>
      <c r="D1939" s="4" t="s">
        <v>314</v>
      </c>
      <c r="E1939" s="4" t="s">
        <v>303</v>
      </c>
      <c r="F1939" t="s">
        <v>213</v>
      </c>
      <c r="G1939" t="s">
        <v>220</v>
      </c>
      <c r="H1939">
        <f>VLOOKUP(C1939,'TB Apr 24'!$B$13:$AH$103,33,0)</f>
        <v>0</v>
      </c>
    </row>
    <row r="1940" spans="1:8" x14ac:dyDescent="0.35">
      <c r="A1940" s="77">
        <v>45383</v>
      </c>
      <c r="B1940" s="3" t="s">
        <v>173</v>
      </c>
      <c r="C1940" s="4" t="s">
        <v>174</v>
      </c>
      <c r="D1940" s="4" t="s">
        <v>314</v>
      </c>
      <c r="E1940" s="4" t="s">
        <v>257</v>
      </c>
      <c r="F1940" t="s">
        <v>213</v>
      </c>
      <c r="G1940" t="s">
        <v>220</v>
      </c>
      <c r="H1940">
        <f>VLOOKUP(C1940,'TB Apr 24'!$B$13:$AH$103,33,0)</f>
        <v>0</v>
      </c>
    </row>
    <row r="1941" spans="1:8" x14ac:dyDescent="0.35">
      <c r="A1941" s="77">
        <v>45383</v>
      </c>
      <c r="B1941" s="3" t="s">
        <v>175</v>
      </c>
      <c r="C1941" s="4" t="s">
        <v>176</v>
      </c>
      <c r="D1941" s="4" t="s">
        <v>314</v>
      </c>
      <c r="E1941" s="4" t="s">
        <v>257</v>
      </c>
      <c r="F1941" t="s">
        <v>213</v>
      </c>
      <c r="G1941" t="s">
        <v>220</v>
      </c>
      <c r="H1941">
        <f>VLOOKUP(C1941,'TB Apr 24'!$B$13:$AH$103,33,0)</f>
        <v>0</v>
      </c>
    </row>
    <row r="1942" spans="1:8" x14ac:dyDescent="0.35">
      <c r="A1942" s="77">
        <v>45383</v>
      </c>
      <c r="B1942" s="3" t="s">
        <v>177</v>
      </c>
      <c r="C1942" s="4" t="s">
        <v>178</v>
      </c>
      <c r="D1942" s="4" t="s">
        <v>314</v>
      </c>
      <c r="E1942" s="4" t="s">
        <v>257</v>
      </c>
      <c r="F1942" t="s">
        <v>213</v>
      </c>
      <c r="G1942" t="s">
        <v>220</v>
      </c>
      <c r="H1942">
        <f>VLOOKUP(C1942,'TB Apr 24'!$B$13:$AH$103,33,0)</f>
        <v>0</v>
      </c>
    </row>
    <row r="1943" spans="1:8" x14ac:dyDescent="0.35">
      <c r="A1943" s="77">
        <v>45383</v>
      </c>
      <c r="B1943" s="3" t="s">
        <v>179</v>
      </c>
      <c r="C1943" s="4" t="s">
        <v>180</v>
      </c>
      <c r="D1943" s="4" t="s">
        <v>314</v>
      </c>
      <c r="E1943" s="4" t="s">
        <v>322</v>
      </c>
      <c r="F1943" t="s">
        <v>213</v>
      </c>
      <c r="G1943" t="s">
        <v>220</v>
      </c>
      <c r="H1943">
        <f>VLOOKUP(C1943,'TB Apr 24'!$B$13:$AH$103,33,0)</f>
        <v>0</v>
      </c>
    </row>
    <row r="1944" spans="1:8" x14ac:dyDescent="0.35">
      <c r="A1944" s="77">
        <v>45383</v>
      </c>
      <c r="B1944" s="3" t="s">
        <v>181</v>
      </c>
      <c r="C1944" s="4" t="s">
        <v>182</v>
      </c>
      <c r="D1944" s="4" t="s">
        <v>314</v>
      </c>
      <c r="E1944" s="4" t="s">
        <v>290</v>
      </c>
      <c r="F1944" t="s">
        <v>213</v>
      </c>
      <c r="G1944" t="s">
        <v>220</v>
      </c>
      <c r="H1944">
        <f>VLOOKUP(C1944,'TB Apr 24'!$B$13:$AH$103,33,0)</f>
        <v>0</v>
      </c>
    </row>
    <row r="1945" spans="1:8" x14ac:dyDescent="0.35">
      <c r="A1945" s="77">
        <v>45383</v>
      </c>
      <c r="B1945" s="3" t="s">
        <v>183</v>
      </c>
      <c r="C1945" s="4" t="s">
        <v>184</v>
      </c>
      <c r="D1945" s="4" t="s">
        <v>314</v>
      </c>
      <c r="E1945" s="4" t="s">
        <v>290</v>
      </c>
      <c r="F1945" t="s">
        <v>213</v>
      </c>
      <c r="G1945" t="s">
        <v>220</v>
      </c>
      <c r="H1945">
        <f>VLOOKUP(C1945,'TB Apr 24'!$B$13:$AH$103,33,0)</f>
        <v>0</v>
      </c>
    </row>
    <row r="1946" spans="1:8" x14ac:dyDescent="0.35">
      <c r="A1946" s="77">
        <v>45383</v>
      </c>
      <c r="B1946" s="3" t="s">
        <v>185</v>
      </c>
      <c r="C1946" s="4" t="s">
        <v>186</v>
      </c>
      <c r="D1946" s="4" t="s">
        <v>314</v>
      </c>
      <c r="E1946" s="4" t="s">
        <v>290</v>
      </c>
      <c r="F1946" t="s">
        <v>213</v>
      </c>
      <c r="G1946" t="s">
        <v>220</v>
      </c>
      <c r="H1946">
        <f>VLOOKUP(C1946,'TB Apr 24'!$B$13:$AH$103,33,0)</f>
        <v>2500</v>
      </c>
    </row>
    <row r="1947" spans="1:8" x14ac:dyDescent="0.35">
      <c r="A1947" s="77">
        <v>45383</v>
      </c>
      <c r="B1947" s="3" t="s">
        <v>187</v>
      </c>
      <c r="C1947" s="4" t="s">
        <v>188</v>
      </c>
      <c r="D1947" s="4" t="s">
        <v>314</v>
      </c>
      <c r="E1947" s="4" t="s">
        <v>291</v>
      </c>
      <c r="F1947" t="s">
        <v>213</v>
      </c>
      <c r="G1947" t="s">
        <v>220</v>
      </c>
      <c r="H1947">
        <f>VLOOKUP(C1947,'TB Apr 24'!$B$13:$AH$103,33,0)</f>
        <v>24404.126000000004</v>
      </c>
    </row>
    <row r="1948" spans="1:8" x14ac:dyDescent="0.35">
      <c r="A1948" s="77">
        <v>45383</v>
      </c>
      <c r="B1948" s="3" t="s">
        <v>189</v>
      </c>
      <c r="C1948" s="4" t="s">
        <v>190</v>
      </c>
      <c r="D1948" s="4" t="s">
        <v>314</v>
      </c>
      <c r="E1948" s="4" t="s">
        <v>254</v>
      </c>
      <c r="F1948" t="s">
        <v>213</v>
      </c>
      <c r="G1948" t="s">
        <v>220</v>
      </c>
      <c r="H1948">
        <f>VLOOKUP(C1948,'TB Apr 24'!$B$13:$AH$103,33,0)</f>
        <v>0</v>
      </c>
    </row>
    <row r="1949" spans="1:8" x14ac:dyDescent="0.35">
      <c r="A1949" s="77">
        <v>45383</v>
      </c>
      <c r="B1949" s="3" t="s">
        <v>191</v>
      </c>
      <c r="C1949" s="4" t="s">
        <v>192</v>
      </c>
      <c r="D1949" s="4" t="s">
        <v>314</v>
      </c>
      <c r="E1949" s="4" t="s">
        <v>254</v>
      </c>
      <c r="F1949" t="s">
        <v>213</v>
      </c>
      <c r="G1949" t="s">
        <v>220</v>
      </c>
      <c r="H1949">
        <f>VLOOKUP(C1949,'TB Apr 24'!$B$13:$AH$103,33,0)</f>
        <v>0</v>
      </c>
    </row>
    <row r="1950" spans="1:8" x14ac:dyDescent="0.35">
      <c r="A1950" s="77">
        <v>45383</v>
      </c>
      <c r="B1950" s="3" t="s">
        <v>193</v>
      </c>
      <c r="C1950" s="4" t="s">
        <v>194</v>
      </c>
      <c r="D1950" s="4" t="s">
        <v>314</v>
      </c>
      <c r="E1950" s="4" t="s">
        <v>254</v>
      </c>
      <c r="F1950" t="s">
        <v>213</v>
      </c>
      <c r="G1950" t="s">
        <v>220</v>
      </c>
      <c r="H1950">
        <f>VLOOKUP(C1950,'TB Apr 24'!$B$13:$AH$103,33,0)</f>
        <v>640793.20870957593</v>
      </c>
    </row>
    <row r="1951" spans="1:8" x14ac:dyDescent="0.35">
      <c r="A1951" s="77">
        <v>45383</v>
      </c>
      <c r="B1951" s="3" t="s">
        <v>195</v>
      </c>
      <c r="C1951" s="4" t="s">
        <v>196</v>
      </c>
      <c r="D1951" s="4" t="s">
        <v>314</v>
      </c>
      <c r="E1951" s="4" t="s">
        <v>255</v>
      </c>
      <c r="F1951" t="s">
        <v>213</v>
      </c>
      <c r="G1951" t="s">
        <v>220</v>
      </c>
      <c r="H1951">
        <f>VLOOKUP(C1951,'TB Apr 24'!$B$13:$AH$103,33,0)</f>
        <v>0</v>
      </c>
    </row>
    <row r="1952" spans="1:8" x14ac:dyDescent="0.35">
      <c r="A1952" s="77">
        <v>45383</v>
      </c>
      <c r="B1952" s="3" t="s">
        <v>197</v>
      </c>
      <c r="C1952" s="4" t="s">
        <v>198</v>
      </c>
      <c r="D1952" s="4" t="s">
        <v>314</v>
      </c>
      <c r="E1952" s="4" t="s">
        <v>255</v>
      </c>
      <c r="F1952" t="s">
        <v>213</v>
      </c>
      <c r="G1952" t="s">
        <v>220</v>
      </c>
      <c r="H1952">
        <f>VLOOKUP(C1952,'TB Apr 24'!$B$13:$AH$103,33,0)</f>
        <v>0</v>
      </c>
    </row>
    <row r="1953" spans="1:8" x14ac:dyDescent="0.35">
      <c r="A1953" s="77">
        <v>45383</v>
      </c>
      <c r="B1953" s="3" t="s">
        <v>199</v>
      </c>
      <c r="C1953" s="4" t="s">
        <v>200</v>
      </c>
      <c r="D1953" s="4" t="s">
        <v>314</v>
      </c>
      <c r="E1953" s="4" t="s">
        <v>254</v>
      </c>
      <c r="F1953" t="s">
        <v>213</v>
      </c>
      <c r="G1953" t="s">
        <v>220</v>
      </c>
      <c r="H1953">
        <f>VLOOKUP(C1953,'TB Apr 24'!$B$13:$AH$103,33,0)</f>
        <v>0</v>
      </c>
    </row>
    <row r="1954" spans="1:8" x14ac:dyDescent="0.35">
      <c r="A1954" s="77">
        <v>45383</v>
      </c>
      <c r="B1954" s="3" t="s">
        <v>201</v>
      </c>
      <c r="C1954" s="4" t="s">
        <v>202</v>
      </c>
      <c r="D1954" s="4" t="s">
        <v>314</v>
      </c>
      <c r="E1954" s="4" t="s">
        <v>254</v>
      </c>
      <c r="F1954" t="s">
        <v>213</v>
      </c>
      <c r="G1954" t="s">
        <v>220</v>
      </c>
      <c r="H1954">
        <f>VLOOKUP(C1954,'TB Apr 24'!$B$13:$AH$103,33,0)</f>
        <v>0</v>
      </c>
    </row>
    <row r="1955" spans="1:8" x14ac:dyDescent="0.35">
      <c r="A1955" s="77">
        <v>45383</v>
      </c>
      <c r="B1955" s="3" t="s">
        <v>203</v>
      </c>
      <c r="C1955" s="4" t="s">
        <v>204</v>
      </c>
      <c r="D1955" s="4" t="s">
        <v>314</v>
      </c>
      <c r="E1955" s="4" t="s">
        <v>256</v>
      </c>
      <c r="F1955" t="s">
        <v>213</v>
      </c>
      <c r="G1955" t="s">
        <v>220</v>
      </c>
      <c r="H1955">
        <f>VLOOKUP(C1955,'TB Apr 24'!$B$13:$AH$103,33,0)</f>
        <v>172855.42449111104</v>
      </c>
    </row>
    <row r="1956" spans="1:8" x14ac:dyDescent="0.35">
      <c r="A1956" s="77">
        <v>45383</v>
      </c>
      <c r="B1956" s="3" t="s">
        <v>205</v>
      </c>
      <c r="C1956" s="6" t="s">
        <v>206</v>
      </c>
      <c r="D1956" s="4" t="s">
        <v>314</v>
      </c>
      <c r="E1956" s="6" t="s">
        <v>322</v>
      </c>
      <c r="F1956" s="79" t="s">
        <v>213</v>
      </c>
      <c r="G1956" s="79" t="s">
        <v>220</v>
      </c>
      <c r="H1956" s="79">
        <f>VLOOKUP(C1956,'TB Apr 24'!$B$13:$AH$103,33,0)</f>
        <v>0</v>
      </c>
    </row>
    <row r="1957" spans="1:8" x14ac:dyDescent="0.35">
      <c r="A1957" s="77">
        <v>45383</v>
      </c>
      <c r="B1957" s="3" t="s">
        <v>57</v>
      </c>
      <c r="C1957" s="4" t="s">
        <v>58</v>
      </c>
      <c r="D1957" s="4" t="s">
        <v>314</v>
      </c>
      <c r="E1957" s="4" t="s">
        <v>253</v>
      </c>
      <c r="F1957" t="s">
        <v>233</v>
      </c>
      <c r="G1957" t="s">
        <v>216</v>
      </c>
      <c r="H1957">
        <f>VLOOKUP(C1957,'TB Apr 24'!$B$13:$AI$103,34,0)</f>
        <v>0</v>
      </c>
    </row>
    <row r="1958" spans="1:8" x14ac:dyDescent="0.35">
      <c r="A1958" s="77">
        <v>45383</v>
      </c>
      <c r="B1958" s="3" t="s">
        <v>307</v>
      </c>
      <c r="C1958" s="4" t="s">
        <v>308</v>
      </c>
      <c r="D1958" s="4" t="s">
        <v>314</v>
      </c>
      <c r="E1958" s="4" t="s">
        <v>253</v>
      </c>
      <c r="F1958" t="s">
        <v>233</v>
      </c>
      <c r="G1958" t="s">
        <v>216</v>
      </c>
      <c r="H1958">
        <f>VLOOKUP(C1958,'TB Apr 24'!$B$13:$AI$103,34,0)</f>
        <v>0</v>
      </c>
    </row>
    <row r="1959" spans="1:8" x14ac:dyDescent="0.35">
      <c r="A1959" s="77">
        <v>45383</v>
      </c>
      <c r="B1959" s="3" t="s">
        <v>59</v>
      </c>
      <c r="C1959" s="4" t="s">
        <v>60</v>
      </c>
      <c r="D1959" s="4" t="s">
        <v>314</v>
      </c>
      <c r="E1959" s="4" t="s">
        <v>253</v>
      </c>
      <c r="F1959" t="s">
        <v>233</v>
      </c>
      <c r="G1959" t="s">
        <v>216</v>
      </c>
      <c r="H1959">
        <f>VLOOKUP(C1959,'TB Apr 24'!$B$13:$AI$103,34,0)</f>
        <v>-22.95</v>
      </c>
    </row>
    <row r="1960" spans="1:8" x14ac:dyDescent="0.35">
      <c r="A1960" s="77">
        <v>45383</v>
      </c>
      <c r="B1960" s="3" t="s">
        <v>61</v>
      </c>
      <c r="C1960" s="4" t="s">
        <v>62</v>
      </c>
      <c r="D1960" s="4" t="s">
        <v>314</v>
      </c>
      <c r="E1960" s="4" t="s">
        <v>66</v>
      </c>
      <c r="F1960" t="s">
        <v>233</v>
      </c>
      <c r="G1960" t="s">
        <v>216</v>
      </c>
      <c r="H1960">
        <f>VLOOKUP(C1960,'TB Apr 24'!$B$13:$AI$103,34,0)</f>
        <v>0</v>
      </c>
    </row>
    <row r="1961" spans="1:8" x14ac:dyDescent="0.35">
      <c r="A1961" s="77">
        <v>45383</v>
      </c>
      <c r="B1961" s="3" t="s">
        <v>63</v>
      </c>
      <c r="C1961" s="4" t="s">
        <v>64</v>
      </c>
      <c r="D1961" s="4" t="s">
        <v>314</v>
      </c>
      <c r="E1961" s="4" t="s">
        <v>252</v>
      </c>
      <c r="F1961" t="s">
        <v>233</v>
      </c>
      <c r="G1961" t="s">
        <v>216</v>
      </c>
      <c r="H1961">
        <f>VLOOKUP(C1961,'TB Apr 24'!$B$13:$AI$103,34,0)</f>
        <v>0</v>
      </c>
    </row>
    <row r="1962" spans="1:8" x14ac:dyDescent="0.35">
      <c r="A1962" s="77">
        <v>45383</v>
      </c>
      <c r="B1962" s="3" t="s">
        <v>65</v>
      </c>
      <c r="C1962" s="4" t="s">
        <v>66</v>
      </c>
      <c r="D1962" s="4" t="s">
        <v>314</v>
      </c>
      <c r="E1962" s="4" t="s">
        <v>66</v>
      </c>
      <c r="F1962" t="s">
        <v>233</v>
      </c>
      <c r="G1962" t="s">
        <v>216</v>
      </c>
      <c r="H1962">
        <f>VLOOKUP(C1962,'TB Apr 24'!$B$13:$AI$103,34,0)</f>
        <v>-1190789.77</v>
      </c>
    </row>
    <row r="1963" spans="1:8" x14ac:dyDescent="0.35">
      <c r="A1963" s="77">
        <v>45383</v>
      </c>
      <c r="B1963" s="3" t="s">
        <v>67</v>
      </c>
      <c r="C1963" s="4" t="s">
        <v>68</v>
      </c>
      <c r="D1963" s="4" t="s">
        <v>314</v>
      </c>
      <c r="E1963" s="4" t="s">
        <v>252</v>
      </c>
      <c r="F1963" t="s">
        <v>233</v>
      </c>
      <c r="G1963" t="s">
        <v>216</v>
      </c>
      <c r="H1963">
        <f>VLOOKUP(C1963,'TB Apr 24'!$B$13:$AI$103,34,0)</f>
        <v>-324037.96999999997</v>
      </c>
    </row>
    <row r="1964" spans="1:8" x14ac:dyDescent="0.35">
      <c r="A1964" s="77">
        <v>45383</v>
      </c>
      <c r="B1964" s="3" t="s">
        <v>69</v>
      </c>
      <c r="C1964" s="4" t="s">
        <v>70</v>
      </c>
      <c r="D1964" s="4" t="s">
        <v>314</v>
      </c>
      <c r="E1964" s="4" t="s">
        <v>70</v>
      </c>
      <c r="F1964" t="s">
        <v>233</v>
      </c>
      <c r="G1964" t="s">
        <v>216</v>
      </c>
      <c r="H1964">
        <f>VLOOKUP(C1964,'TB Apr 24'!$B$13:$AI$103,34,0)</f>
        <v>-274449.12</v>
      </c>
    </row>
    <row r="1965" spans="1:8" x14ac:dyDescent="0.35">
      <c r="A1965" s="77">
        <v>45383</v>
      </c>
      <c r="B1965" s="3" t="s">
        <v>71</v>
      </c>
      <c r="C1965" s="4" t="s">
        <v>72</v>
      </c>
      <c r="D1965" s="4" t="s">
        <v>314</v>
      </c>
      <c r="E1965" s="4" t="s">
        <v>253</v>
      </c>
      <c r="F1965" t="s">
        <v>233</v>
      </c>
      <c r="G1965" t="s">
        <v>216</v>
      </c>
      <c r="H1965">
        <f>VLOOKUP(C1965,'TB Apr 24'!$B$13:$AI$103,34,0)</f>
        <v>0</v>
      </c>
    </row>
    <row r="1966" spans="1:8" x14ac:dyDescent="0.35">
      <c r="A1966" s="77">
        <v>45383</v>
      </c>
      <c r="B1966" s="3" t="s">
        <v>73</v>
      </c>
      <c r="C1966" s="4" t="s">
        <v>74</v>
      </c>
      <c r="D1966" s="4" t="s">
        <v>314</v>
      </c>
      <c r="E1966" s="4" t="s">
        <v>253</v>
      </c>
      <c r="F1966" t="s">
        <v>233</v>
      </c>
      <c r="G1966" t="s">
        <v>216</v>
      </c>
      <c r="H1966">
        <f>VLOOKUP(C1966,'TB Apr 24'!$B$13:$AI$103,34,0)</f>
        <v>0</v>
      </c>
    </row>
    <row r="1967" spans="1:8" x14ac:dyDescent="0.35">
      <c r="A1967" s="77">
        <v>45383</v>
      </c>
      <c r="B1967" s="3" t="s">
        <v>75</v>
      </c>
      <c r="C1967" s="4" t="s">
        <v>76</v>
      </c>
      <c r="D1967" s="4" t="s">
        <v>314</v>
      </c>
      <c r="E1967" s="4" t="s">
        <v>253</v>
      </c>
      <c r="F1967" t="s">
        <v>233</v>
      </c>
      <c r="G1967" t="s">
        <v>216</v>
      </c>
      <c r="H1967">
        <f>VLOOKUP(C1967,'TB Apr 24'!$B$13:$AI$103,34,0)</f>
        <v>0</v>
      </c>
    </row>
    <row r="1968" spans="1:8" x14ac:dyDescent="0.35">
      <c r="A1968" s="77">
        <v>45383</v>
      </c>
      <c r="B1968" s="3" t="s">
        <v>77</v>
      </c>
      <c r="C1968" s="4" t="s">
        <v>78</v>
      </c>
      <c r="D1968" s="4" t="s">
        <v>314</v>
      </c>
      <c r="E1968" s="4" t="s">
        <v>253</v>
      </c>
      <c r="F1968" t="s">
        <v>233</v>
      </c>
      <c r="G1968" t="s">
        <v>216</v>
      </c>
      <c r="H1968">
        <f>VLOOKUP(C1968,'TB Apr 24'!$B$13:$AI$103,34,0)</f>
        <v>35129.43</v>
      </c>
    </row>
    <row r="1969" spans="1:8" x14ac:dyDescent="0.35">
      <c r="A1969" s="77">
        <v>45383</v>
      </c>
      <c r="B1969" s="3" t="s">
        <v>79</v>
      </c>
      <c r="C1969" s="4" t="s">
        <v>80</v>
      </c>
      <c r="D1969" s="4" t="s">
        <v>314</v>
      </c>
      <c r="E1969" s="4" t="s">
        <v>253</v>
      </c>
      <c r="F1969" t="s">
        <v>233</v>
      </c>
      <c r="G1969" t="s">
        <v>216</v>
      </c>
      <c r="H1969">
        <f>VLOOKUP(C1969,'TB Apr 24'!$B$13:$AI$103,34,0)</f>
        <v>-24576.720000000001</v>
      </c>
    </row>
    <row r="1970" spans="1:8" x14ac:dyDescent="0.35">
      <c r="A1970" s="77">
        <v>45383</v>
      </c>
      <c r="B1970" s="3" t="s">
        <v>81</v>
      </c>
      <c r="C1970" s="4" t="s">
        <v>82</v>
      </c>
      <c r="D1970" s="4" t="s">
        <v>314</v>
      </c>
      <c r="E1970" s="4" t="s">
        <v>319</v>
      </c>
      <c r="F1970" t="s">
        <v>233</v>
      </c>
      <c r="G1970" t="s">
        <v>216</v>
      </c>
      <c r="H1970">
        <f>VLOOKUP(C1970,'TB Apr 24'!$B$13:$AI$103,34,0)</f>
        <v>0</v>
      </c>
    </row>
    <row r="1971" spans="1:8" x14ac:dyDescent="0.35">
      <c r="A1971" s="77">
        <v>45383</v>
      </c>
      <c r="B1971" s="3" t="s">
        <v>83</v>
      </c>
      <c r="C1971" s="4" t="s">
        <v>84</v>
      </c>
      <c r="D1971" s="4" t="s">
        <v>314</v>
      </c>
      <c r="E1971" s="4" t="s">
        <v>319</v>
      </c>
      <c r="F1971" t="s">
        <v>233</v>
      </c>
      <c r="G1971" t="s">
        <v>216</v>
      </c>
      <c r="H1971">
        <f>VLOOKUP(C1971,'TB Apr 24'!$B$13:$AI$103,34,0)</f>
        <v>0</v>
      </c>
    </row>
    <row r="1972" spans="1:8" x14ac:dyDescent="0.35">
      <c r="A1972" s="77">
        <v>45383</v>
      </c>
      <c r="B1972" s="3" t="s">
        <v>85</v>
      </c>
      <c r="C1972" s="4" t="s">
        <v>86</v>
      </c>
      <c r="D1972" s="4" t="s">
        <v>314</v>
      </c>
      <c r="E1972" s="4" t="s">
        <v>291</v>
      </c>
      <c r="F1972" t="s">
        <v>233</v>
      </c>
      <c r="G1972" t="s">
        <v>216</v>
      </c>
      <c r="H1972">
        <f>VLOOKUP(C1972,'TB Apr 24'!$B$13:$AI$103,34,0)</f>
        <v>5879.2</v>
      </c>
    </row>
    <row r="1973" spans="1:8" x14ac:dyDescent="0.35">
      <c r="A1973" s="77">
        <v>45383</v>
      </c>
      <c r="B1973" s="3" t="s">
        <v>88</v>
      </c>
      <c r="C1973" s="4" t="s">
        <v>89</v>
      </c>
      <c r="D1973" s="4" t="s">
        <v>314</v>
      </c>
      <c r="E1973" s="4" t="s">
        <v>300</v>
      </c>
      <c r="F1973" t="s">
        <v>233</v>
      </c>
      <c r="G1973" t="s">
        <v>216</v>
      </c>
      <c r="H1973">
        <f>VLOOKUP(C1973,'TB Apr 24'!$B$13:$AI$103,34,0)</f>
        <v>0</v>
      </c>
    </row>
    <row r="1974" spans="1:8" x14ac:dyDescent="0.35">
      <c r="A1974" s="77">
        <v>45383</v>
      </c>
      <c r="B1974" s="3" t="s">
        <v>90</v>
      </c>
      <c r="C1974" s="4" t="s">
        <v>91</v>
      </c>
      <c r="D1974" s="4" t="s">
        <v>314</v>
      </c>
      <c r="E1974" s="4" t="s">
        <v>300</v>
      </c>
      <c r="F1974" t="s">
        <v>233</v>
      </c>
      <c r="G1974" t="s">
        <v>216</v>
      </c>
      <c r="H1974">
        <f>VLOOKUP(C1974,'TB Apr 24'!$B$13:$AI$103,34,0)</f>
        <v>3714</v>
      </c>
    </row>
    <row r="1975" spans="1:8" x14ac:dyDescent="0.35">
      <c r="A1975" s="77">
        <v>45383</v>
      </c>
      <c r="B1975" s="3" t="s">
        <v>92</v>
      </c>
      <c r="C1975" s="4" t="s">
        <v>93</v>
      </c>
      <c r="D1975" s="4" t="s">
        <v>314</v>
      </c>
      <c r="E1975" s="4" t="s">
        <v>300</v>
      </c>
      <c r="F1975" t="s">
        <v>233</v>
      </c>
      <c r="G1975" t="s">
        <v>216</v>
      </c>
      <c r="H1975">
        <f>VLOOKUP(C1975,'TB Apr 24'!$B$13:$AI$103,34,0)</f>
        <v>0</v>
      </c>
    </row>
    <row r="1976" spans="1:8" x14ac:dyDescent="0.35">
      <c r="A1976" s="77">
        <v>45383</v>
      </c>
      <c r="B1976" s="3" t="s">
        <v>94</v>
      </c>
      <c r="C1976" s="4" t="s">
        <v>95</v>
      </c>
      <c r="D1976" s="4" t="s">
        <v>314</v>
      </c>
      <c r="E1976" s="4" t="s">
        <v>289</v>
      </c>
      <c r="F1976" t="s">
        <v>233</v>
      </c>
      <c r="G1976" t="s">
        <v>216</v>
      </c>
      <c r="H1976">
        <f>VLOOKUP(C1976,'TB Apr 24'!$B$13:$AI$103,34,0)</f>
        <v>782242</v>
      </c>
    </row>
    <row r="1977" spans="1:8" x14ac:dyDescent="0.35">
      <c r="A1977" s="77">
        <v>45383</v>
      </c>
      <c r="B1977" s="3" t="s">
        <v>96</v>
      </c>
      <c r="C1977" s="4" t="s">
        <v>97</v>
      </c>
      <c r="D1977" s="4" t="s">
        <v>314</v>
      </c>
      <c r="E1977" s="4" t="s">
        <v>289</v>
      </c>
      <c r="F1977" t="s">
        <v>233</v>
      </c>
      <c r="G1977" t="s">
        <v>216</v>
      </c>
      <c r="H1977">
        <f>VLOOKUP(C1977,'TB Apr 24'!$B$13:$AI$103,34,0)</f>
        <v>0</v>
      </c>
    </row>
    <row r="1978" spans="1:8" x14ac:dyDescent="0.35">
      <c r="A1978" s="77">
        <v>45383</v>
      </c>
      <c r="B1978" s="3" t="s">
        <v>309</v>
      </c>
      <c r="C1978" s="4" t="s">
        <v>310</v>
      </c>
      <c r="D1978" s="4" t="s">
        <v>314</v>
      </c>
      <c r="E1978" s="4" t="s">
        <v>289</v>
      </c>
      <c r="F1978" t="s">
        <v>233</v>
      </c>
      <c r="G1978" t="s">
        <v>216</v>
      </c>
      <c r="H1978">
        <f>VLOOKUP(C1978,'TB Apr 24'!$B$13:$AI$103,34,0)</f>
        <v>0</v>
      </c>
    </row>
    <row r="1979" spans="1:8" x14ac:dyDescent="0.35">
      <c r="A1979" s="77">
        <v>45383</v>
      </c>
      <c r="B1979" s="3" t="s">
        <v>98</v>
      </c>
      <c r="C1979" s="4" t="s">
        <v>99</v>
      </c>
      <c r="D1979" s="4" t="s">
        <v>314</v>
      </c>
      <c r="E1979" s="4" t="s">
        <v>289</v>
      </c>
      <c r="F1979" t="s">
        <v>233</v>
      </c>
      <c r="G1979" t="s">
        <v>216</v>
      </c>
      <c r="H1979">
        <f>VLOOKUP(C1979,'TB Apr 24'!$B$13:$AI$103,34,0)</f>
        <v>0</v>
      </c>
    </row>
    <row r="1980" spans="1:8" x14ac:dyDescent="0.35">
      <c r="A1980" s="77">
        <v>45383</v>
      </c>
      <c r="B1980" s="3" t="s">
        <v>100</v>
      </c>
      <c r="C1980" s="4" t="s">
        <v>101</v>
      </c>
      <c r="D1980" s="4" t="s">
        <v>314</v>
      </c>
      <c r="E1980" s="4" t="s">
        <v>291</v>
      </c>
      <c r="F1980" t="s">
        <v>233</v>
      </c>
      <c r="G1980" t="s">
        <v>216</v>
      </c>
      <c r="H1980">
        <f>VLOOKUP(C1980,'TB Apr 24'!$B$13:$AI$103,34,0)</f>
        <v>0</v>
      </c>
    </row>
    <row r="1981" spans="1:8" x14ac:dyDescent="0.35">
      <c r="A1981" s="77">
        <v>45383</v>
      </c>
      <c r="B1981" s="3" t="s">
        <v>102</v>
      </c>
      <c r="C1981" s="4" t="s">
        <v>103</v>
      </c>
      <c r="D1981" s="4" t="s">
        <v>314</v>
      </c>
      <c r="E1981" s="4" t="s">
        <v>291</v>
      </c>
      <c r="F1981" t="s">
        <v>233</v>
      </c>
      <c r="G1981" t="s">
        <v>216</v>
      </c>
      <c r="H1981">
        <f>VLOOKUP(C1981,'TB Apr 24'!$B$13:$AI$103,34,0)</f>
        <v>0</v>
      </c>
    </row>
    <row r="1982" spans="1:8" x14ac:dyDescent="0.35">
      <c r="A1982" s="77">
        <v>45383</v>
      </c>
      <c r="B1982" s="3" t="s">
        <v>104</v>
      </c>
      <c r="C1982" s="4" t="s">
        <v>105</v>
      </c>
      <c r="D1982" s="4" t="s">
        <v>314</v>
      </c>
      <c r="E1982" s="4" t="s">
        <v>291</v>
      </c>
      <c r="F1982" t="s">
        <v>233</v>
      </c>
      <c r="G1982" t="s">
        <v>216</v>
      </c>
      <c r="H1982">
        <f>VLOOKUP(C1982,'TB Apr 24'!$B$13:$AI$103,34,0)</f>
        <v>0</v>
      </c>
    </row>
    <row r="1983" spans="1:8" x14ac:dyDescent="0.35">
      <c r="A1983" s="77">
        <v>45383</v>
      </c>
      <c r="B1983" s="3" t="s">
        <v>106</v>
      </c>
      <c r="C1983" s="4" t="s">
        <v>107</v>
      </c>
      <c r="D1983" s="4" t="s">
        <v>314</v>
      </c>
      <c r="E1983" s="4" t="s">
        <v>321</v>
      </c>
      <c r="F1983" t="s">
        <v>233</v>
      </c>
      <c r="G1983" t="s">
        <v>216</v>
      </c>
      <c r="H1983">
        <f>VLOOKUP(C1983,'TB Apr 24'!$B$13:$AI$103,34,0)</f>
        <v>0</v>
      </c>
    </row>
    <row r="1984" spans="1:8" x14ac:dyDescent="0.35">
      <c r="A1984" s="77">
        <v>45383</v>
      </c>
      <c r="B1984" s="3" t="s">
        <v>108</v>
      </c>
      <c r="C1984" s="4" t="s">
        <v>109</v>
      </c>
      <c r="D1984" s="4" t="s">
        <v>314</v>
      </c>
      <c r="E1984" s="4" t="s">
        <v>321</v>
      </c>
      <c r="F1984" t="s">
        <v>233</v>
      </c>
      <c r="G1984" t="s">
        <v>216</v>
      </c>
      <c r="H1984">
        <f>VLOOKUP(C1984,'TB Apr 24'!$B$13:$AI$103,34,0)</f>
        <v>0</v>
      </c>
    </row>
    <row r="1985" spans="1:8" x14ac:dyDescent="0.35">
      <c r="A1985" s="77">
        <v>45383</v>
      </c>
      <c r="B1985" s="3" t="s">
        <v>110</v>
      </c>
      <c r="C1985" s="4" t="s">
        <v>111</v>
      </c>
      <c r="D1985" s="4" t="s">
        <v>314</v>
      </c>
      <c r="E1985" s="4" t="s">
        <v>320</v>
      </c>
      <c r="F1985" t="s">
        <v>233</v>
      </c>
      <c r="G1985" t="s">
        <v>216</v>
      </c>
      <c r="H1985">
        <f>VLOOKUP(C1985,'TB Apr 24'!$B$13:$AI$103,34,0)</f>
        <v>0</v>
      </c>
    </row>
    <row r="1986" spans="1:8" x14ac:dyDescent="0.35">
      <c r="A1986" s="77">
        <v>45383</v>
      </c>
      <c r="B1986" s="3" t="s">
        <v>112</v>
      </c>
      <c r="C1986" s="4" t="s">
        <v>113</v>
      </c>
      <c r="D1986" s="4" t="s">
        <v>314</v>
      </c>
      <c r="E1986" s="4" t="s">
        <v>321</v>
      </c>
      <c r="F1986" t="s">
        <v>233</v>
      </c>
      <c r="G1986" t="s">
        <v>216</v>
      </c>
      <c r="H1986">
        <f>VLOOKUP(C1986,'TB Apr 24'!$B$13:$AI$103,34,0)</f>
        <v>0</v>
      </c>
    </row>
    <row r="1987" spans="1:8" x14ac:dyDescent="0.35">
      <c r="A1987" s="77">
        <v>45383</v>
      </c>
      <c r="B1987" s="3" t="s">
        <v>311</v>
      </c>
      <c r="C1987" s="4" t="s">
        <v>312</v>
      </c>
      <c r="D1987" s="4" t="s">
        <v>314</v>
      </c>
      <c r="E1987" s="4" t="s">
        <v>288</v>
      </c>
      <c r="F1987" t="s">
        <v>233</v>
      </c>
      <c r="G1987" t="s">
        <v>216</v>
      </c>
      <c r="H1987">
        <f>VLOOKUP(C1987,'TB Apr 24'!$B$13:$AI$103,34,0)</f>
        <v>0</v>
      </c>
    </row>
    <row r="1988" spans="1:8" x14ac:dyDescent="0.35">
      <c r="A1988" s="77">
        <v>45383</v>
      </c>
      <c r="B1988" s="3" t="s">
        <v>114</v>
      </c>
      <c r="C1988" s="4" t="s">
        <v>115</v>
      </c>
      <c r="D1988" s="4" t="s">
        <v>314</v>
      </c>
      <c r="E1988" s="4" t="s">
        <v>294</v>
      </c>
      <c r="F1988" t="s">
        <v>233</v>
      </c>
      <c r="G1988" t="s">
        <v>216</v>
      </c>
      <c r="H1988">
        <f>VLOOKUP(C1988,'TB Apr 24'!$B$13:$AI$103,34,0)</f>
        <v>0</v>
      </c>
    </row>
    <row r="1989" spans="1:8" x14ac:dyDescent="0.35">
      <c r="A1989" s="77">
        <v>45383</v>
      </c>
      <c r="B1989" s="3" t="s">
        <v>116</v>
      </c>
      <c r="C1989" s="4" t="s">
        <v>117</v>
      </c>
      <c r="D1989" s="4" t="s">
        <v>314</v>
      </c>
      <c r="E1989" s="4" t="s">
        <v>296</v>
      </c>
      <c r="F1989" t="s">
        <v>233</v>
      </c>
      <c r="G1989" t="s">
        <v>216</v>
      </c>
      <c r="H1989">
        <f>VLOOKUP(C1989,'TB Apr 24'!$B$13:$AI$103,34,0)</f>
        <v>0</v>
      </c>
    </row>
    <row r="1990" spans="1:8" x14ac:dyDescent="0.35">
      <c r="A1990" s="77">
        <v>45383</v>
      </c>
      <c r="B1990" s="3" t="s">
        <v>118</v>
      </c>
      <c r="C1990" s="4" t="s">
        <v>119</v>
      </c>
      <c r="D1990" s="4" t="s">
        <v>314</v>
      </c>
      <c r="E1990" s="4" t="s">
        <v>296</v>
      </c>
      <c r="F1990" t="s">
        <v>233</v>
      </c>
      <c r="G1990" t="s">
        <v>216</v>
      </c>
      <c r="H1990">
        <f>VLOOKUP(C1990,'TB Apr 24'!$B$13:$AI$103,34,0)</f>
        <v>0</v>
      </c>
    </row>
    <row r="1991" spans="1:8" x14ac:dyDescent="0.35">
      <c r="A1991" s="77">
        <v>45383</v>
      </c>
      <c r="B1991" s="3" t="s">
        <v>120</v>
      </c>
      <c r="C1991" s="4" t="s">
        <v>121</v>
      </c>
      <c r="D1991" s="4" t="s">
        <v>314</v>
      </c>
      <c r="E1991" s="4" t="s">
        <v>322</v>
      </c>
      <c r="F1991" t="s">
        <v>233</v>
      </c>
      <c r="G1991" t="s">
        <v>216</v>
      </c>
      <c r="H1991">
        <f>VLOOKUP(C1991,'TB Apr 24'!$B$13:$AI$103,34,0)</f>
        <v>0</v>
      </c>
    </row>
    <row r="1992" spans="1:8" x14ac:dyDescent="0.35">
      <c r="A1992" s="77">
        <v>45383</v>
      </c>
      <c r="B1992" s="3" t="s">
        <v>122</v>
      </c>
      <c r="C1992" s="4" t="s">
        <v>123</v>
      </c>
      <c r="D1992" s="4" t="s">
        <v>314</v>
      </c>
      <c r="E1992" s="4" t="s">
        <v>322</v>
      </c>
      <c r="F1992" t="s">
        <v>233</v>
      </c>
      <c r="G1992" t="s">
        <v>216</v>
      </c>
      <c r="H1992">
        <f>VLOOKUP(C1992,'TB Apr 24'!$B$13:$AI$103,34,0)</f>
        <v>28335.5</v>
      </c>
    </row>
    <row r="1993" spans="1:8" x14ac:dyDescent="0.35">
      <c r="A1993" s="77">
        <v>45383</v>
      </c>
      <c r="B1993" s="3" t="s">
        <v>124</v>
      </c>
      <c r="C1993" s="4" t="s">
        <v>125</v>
      </c>
      <c r="D1993" s="4" t="s">
        <v>314</v>
      </c>
      <c r="E1993" s="4" t="s">
        <v>322</v>
      </c>
      <c r="F1993" t="s">
        <v>233</v>
      </c>
      <c r="G1993" t="s">
        <v>216</v>
      </c>
      <c r="H1993">
        <f>VLOOKUP(C1993,'TB Apr 24'!$B$13:$AI$103,34,0)</f>
        <v>0</v>
      </c>
    </row>
    <row r="1994" spans="1:8" x14ac:dyDescent="0.35">
      <c r="A1994" s="77">
        <v>45383</v>
      </c>
      <c r="B1994" s="3" t="s">
        <v>126</v>
      </c>
      <c r="C1994" s="4" t="s">
        <v>127</v>
      </c>
      <c r="D1994" s="4" t="s">
        <v>314</v>
      </c>
      <c r="E1994" s="4" t="s">
        <v>291</v>
      </c>
      <c r="F1994" t="s">
        <v>233</v>
      </c>
      <c r="G1994" t="s">
        <v>216</v>
      </c>
      <c r="H1994">
        <f>VLOOKUP(C1994,'TB Apr 24'!$B$13:$AI$103,34,0)</f>
        <v>0</v>
      </c>
    </row>
    <row r="1995" spans="1:8" x14ac:dyDescent="0.35">
      <c r="A1995" s="77">
        <v>45383</v>
      </c>
      <c r="B1995" s="3" t="s">
        <v>128</v>
      </c>
      <c r="C1995" s="4" t="s">
        <v>129</v>
      </c>
      <c r="D1995" s="4" t="s">
        <v>314</v>
      </c>
      <c r="E1995" s="4" t="s">
        <v>322</v>
      </c>
      <c r="F1995" t="s">
        <v>233</v>
      </c>
      <c r="G1995" t="s">
        <v>216</v>
      </c>
      <c r="H1995">
        <f>VLOOKUP(C1995,'TB Apr 24'!$B$13:$AI$103,34,0)</f>
        <v>7778</v>
      </c>
    </row>
    <row r="1996" spans="1:8" x14ac:dyDescent="0.35">
      <c r="A1996" s="77">
        <v>45383</v>
      </c>
      <c r="B1996" s="3" t="s">
        <v>130</v>
      </c>
      <c r="C1996" s="4" t="s">
        <v>131</v>
      </c>
      <c r="D1996" s="4" t="s">
        <v>314</v>
      </c>
      <c r="E1996" s="4" t="s">
        <v>322</v>
      </c>
      <c r="F1996" t="s">
        <v>233</v>
      </c>
      <c r="G1996" t="s">
        <v>216</v>
      </c>
      <c r="H1996">
        <f>VLOOKUP(C1996,'TB Apr 24'!$B$13:$AI$103,34,0)</f>
        <v>6750</v>
      </c>
    </row>
    <row r="1997" spans="1:8" x14ac:dyDescent="0.35">
      <c r="A1997" s="77">
        <v>45383</v>
      </c>
      <c r="B1997" s="3" t="s">
        <v>132</v>
      </c>
      <c r="C1997" s="4" t="s">
        <v>133</v>
      </c>
      <c r="D1997" s="4" t="s">
        <v>314</v>
      </c>
      <c r="E1997" s="4" t="s">
        <v>320</v>
      </c>
      <c r="F1997" t="s">
        <v>233</v>
      </c>
      <c r="G1997" t="s">
        <v>216</v>
      </c>
      <c r="H1997">
        <f>VLOOKUP(C1997,'TB Apr 24'!$B$13:$AI$103,34,0)</f>
        <v>57458.8</v>
      </c>
    </row>
    <row r="1998" spans="1:8" x14ac:dyDescent="0.35">
      <c r="A1998" s="77">
        <v>45383</v>
      </c>
      <c r="B1998" s="3" t="s">
        <v>134</v>
      </c>
      <c r="C1998" s="4" t="s">
        <v>135</v>
      </c>
      <c r="D1998" s="4" t="s">
        <v>314</v>
      </c>
      <c r="E1998" s="4" t="s">
        <v>299</v>
      </c>
      <c r="F1998" t="s">
        <v>233</v>
      </c>
      <c r="G1998" t="s">
        <v>216</v>
      </c>
      <c r="H1998">
        <f>VLOOKUP(C1998,'TB Apr 24'!$B$13:$AI$103,34,0)</f>
        <v>0</v>
      </c>
    </row>
    <row r="1999" spans="1:8" x14ac:dyDescent="0.35">
      <c r="A1999" s="77">
        <v>45383</v>
      </c>
      <c r="B1999" s="3" t="s">
        <v>136</v>
      </c>
      <c r="C1999" s="4" t="s">
        <v>137</v>
      </c>
      <c r="D1999" s="4" t="s">
        <v>314</v>
      </c>
      <c r="E1999" s="4" t="s">
        <v>322</v>
      </c>
      <c r="F1999" t="s">
        <v>233</v>
      </c>
      <c r="G1999" t="s">
        <v>216</v>
      </c>
      <c r="H1999">
        <f>VLOOKUP(C1999,'TB Apr 24'!$B$13:$AI$103,34,0)</f>
        <v>0</v>
      </c>
    </row>
    <row r="2000" spans="1:8" x14ac:dyDescent="0.35">
      <c r="A2000" s="77">
        <v>45383</v>
      </c>
      <c r="B2000" s="3" t="s">
        <v>138</v>
      </c>
      <c r="C2000" s="4" t="s">
        <v>139</v>
      </c>
      <c r="D2000" s="4" t="s">
        <v>314</v>
      </c>
      <c r="E2000" s="4" t="s">
        <v>294</v>
      </c>
      <c r="F2000" t="s">
        <v>233</v>
      </c>
      <c r="G2000" t="s">
        <v>216</v>
      </c>
      <c r="H2000">
        <f>VLOOKUP(C2000,'TB Apr 24'!$B$13:$AI$103,34,0)</f>
        <v>52756.7</v>
      </c>
    </row>
    <row r="2001" spans="1:8" x14ac:dyDescent="0.35">
      <c r="A2001" s="77">
        <v>45383</v>
      </c>
      <c r="B2001" s="3" t="s">
        <v>140</v>
      </c>
      <c r="C2001" s="4" t="s">
        <v>141</v>
      </c>
      <c r="D2001" s="4" t="s">
        <v>314</v>
      </c>
      <c r="E2001" s="4" t="s">
        <v>268</v>
      </c>
      <c r="F2001" t="s">
        <v>233</v>
      </c>
      <c r="G2001" t="s">
        <v>216</v>
      </c>
      <c r="H2001">
        <f>VLOOKUP(C2001,'TB Apr 24'!$B$13:$AI$103,34,0)</f>
        <v>201563.58309999999</v>
      </c>
    </row>
    <row r="2002" spans="1:8" x14ac:dyDescent="0.35">
      <c r="A2002" s="77">
        <v>45383</v>
      </c>
      <c r="B2002" s="3" t="s">
        <v>142</v>
      </c>
      <c r="C2002" s="4" t="s">
        <v>143</v>
      </c>
      <c r="D2002" s="4" t="s">
        <v>314</v>
      </c>
      <c r="E2002" s="4" t="s">
        <v>269</v>
      </c>
      <c r="F2002" t="s">
        <v>233</v>
      </c>
      <c r="G2002" t="s">
        <v>216</v>
      </c>
      <c r="H2002">
        <f>VLOOKUP(C2002,'TB Apr 24'!$B$13:$AI$103,34,0)</f>
        <v>114354</v>
      </c>
    </row>
    <row r="2003" spans="1:8" x14ac:dyDescent="0.35">
      <c r="A2003" s="77">
        <v>45383</v>
      </c>
      <c r="B2003" s="3" t="s">
        <v>144</v>
      </c>
      <c r="C2003" s="4" t="s">
        <v>145</v>
      </c>
      <c r="D2003" s="4" t="s">
        <v>314</v>
      </c>
      <c r="E2003" s="4" t="s">
        <v>288</v>
      </c>
      <c r="F2003" t="s">
        <v>233</v>
      </c>
      <c r="G2003" t="s">
        <v>216</v>
      </c>
      <c r="H2003">
        <f>VLOOKUP(C2003,'TB Apr 24'!$B$13:$AI$103,34,0)</f>
        <v>9266</v>
      </c>
    </row>
    <row r="2004" spans="1:8" x14ac:dyDescent="0.35">
      <c r="A2004" s="77">
        <v>45383</v>
      </c>
      <c r="B2004" s="3" t="s">
        <v>146</v>
      </c>
      <c r="C2004" s="4" t="s">
        <v>147</v>
      </c>
      <c r="D2004" s="4" t="s">
        <v>314</v>
      </c>
      <c r="E2004" s="4" t="s">
        <v>288</v>
      </c>
      <c r="F2004" t="s">
        <v>233</v>
      </c>
      <c r="G2004" t="s">
        <v>216</v>
      </c>
      <c r="H2004">
        <f>VLOOKUP(C2004,'TB Apr 24'!$B$13:$AI$103,34,0)</f>
        <v>0</v>
      </c>
    </row>
    <row r="2005" spans="1:8" x14ac:dyDescent="0.35">
      <c r="A2005" s="77">
        <v>45383</v>
      </c>
      <c r="B2005" s="3" t="s">
        <v>148</v>
      </c>
      <c r="C2005" s="4" t="s">
        <v>149</v>
      </c>
      <c r="D2005" s="4" t="s">
        <v>314</v>
      </c>
      <c r="E2005" s="4" t="s">
        <v>287</v>
      </c>
      <c r="F2005" t="s">
        <v>233</v>
      </c>
      <c r="G2005" t="s">
        <v>216</v>
      </c>
      <c r="H2005">
        <f>VLOOKUP(C2005,'TB Apr 24'!$B$13:$AI$103,34,0)</f>
        <v>0</v>
      </c>
    </row>
    <row r="2006" spans="1:8" x14ac:dyDescent="0.35">
      <c r="A2006" s="77">
        <v>45383</v>
      </c>
      <c r="B2006" s="3" t="s">
        <v>150</v>
      </c>
      <c r="C2006" s="4" t="s">
        <v>87</v>
      </c>
      <c r="D2006" s="4" t="s">
        <v>314</v>
      </c>
      <c r="E2006" s="4" t="s">
        <v>288</v>
      </c>
      <c r="F2006" t="s">
        <v>233</v>
      </c>
      <c r="G2006" t="s">
        <v>216</v>
      </c>
      <c r="H2006">
        <f>VLOOKUP(C2006,'TB Apr 24'!$B$13:$AI$103,34,0)</f>
        <v>0</v>
      </c>
    </row>
    <row r="2007" spans="1:8" x14ac:dyDescent="0.35">
      <c r="A2007" s="77">
        <v>45383</v>
      </c>
      <c r="B2007" s="3" t="s">
        <v>151</v>
      </c>
      <c r="C2007" s="4" t="s">
        <v>152</v>
      </c>
      <c r="D2007" s="4" t="s">
        <v>314</v>
      </c>
      <c r="E2007" s="4" t="s">
        <v>288</v>
      </c>
      <c r="F2007" t="s">
        <v>233</v>
      </c>
      <c r="G2007" t="s">
        <v>216</v>
      </c>
      <c r="H2007">
        <f>VLOOKUP(C2007,'TB Apr 24'!$B$13:$AI$103,34,0)</f>
        <v>0</v>
      </c>
    </row>
    <row r="2008" spans="1:8" x14ac:dyDescent="0.35">
      <c r="A2008" s="77">
        <v>45383</v>
      </c>
      <c r="B2008" s="3" t="s">
        <v>153</v>
      </c>
      <c r="C2008" s="4" t="s">
        <v>154</v>
      </c>
      <c r="D2008" s="4" t="s">
        <v>314</v>
      </c>
      <c r="E2008" s="4" t="s">
        <v>288</v>
      </c>
      <c r="F2008" t="s">
        <v>233</v>
      </c>
      <c r="G2008" t="s">
        <v>216</v>
      </c>
      <c r="H2008">
        <f>VLOOKUP(C2008,'TB Apr 24'!$B$13:$AI$103,34,0)</f>
        <v>0</v>
      </c>
    </row>
    <row r="2009" spans="1:8" x14ac:dyDescent="0.35">
      <c r="A2009" s="77">
        <v>45383</v>
      </c>
      <c r="B2009" s="3" t="s">
        <v>155</v>
      </c>
      <c r="C2009" s="4" t="s">
        <v>156</v>
      </c>
      <c r="D2009" s="4" t="s">
        <v>314</v>
      </c>
      <c r="E2009" s="4" t="s">
        <v>288</v>
      </c>
      <c r="F2009" t="s">
        <v>233</v>
      </c>
      <c r="G2009" t="s">
        <v>216</v>
      </c>
      <c r="H2009">
        <f>VLOOKUP(C2009,'TB Apr 24'!$B$13:$AI$103,34,0)</f>
        <v>0</v>
      </c>
    </row>
    <row r="2010" spans="1:8" x14ac:dyDescent="0.35">
      <c r="A2010" s="77">
        <v>45383</v>
      </c>
      <c r="B2010" s="3" t="s">
        <v>157</v>
      </c>
      <c r="C2010" s="4" t="s">
        <v>158</v>
      </c>
      <c r="D2010" s="4" t="s">
        <v>314</v>
      </c>
      <c r="E2010" s="4" t="s">
        <v>292</v>
      </c>
      <c r="F2010" t="s">
        <v>233</v>
      </c>
      <c r="G2010" t="s">
        <v>216</v>
      </c>
      <c r="H2010">
        <f>VLOOKUP(C2010,'TB Apr 24'!$B$13:$AI$103,34,0)</f>
        <v>4290.2</v>
      </c>
    </row>
    <row r="2011" spans="1:8" x14ac:dyDescent="0.35">
      <c r="A2011" s="77">
        <v>45383</v>
      </c>
      <c r="B2011" s="3" t="s">
        <v>159</v>
      </c>
      <c r="C2011" s="4" t="s">
        <v>160</v>
      </c>
      <c r="D2011" s="4" t="s">
        <v>314</v>
      </c>
      <c r="E2011" s="4" t="s">
        <v>323</v>
      </c>
      <c r="F2011" t="s">
        <v>233</v>
      </c>
      <c r="G2011" t="s">
        <v>216</v>
      </c>
      <c r="H2011">
        <f>VLOOKUP(C2011,'TB Apr 24'!$B$13:$AI$103,34,0)</f>
        <v>3400</v>
      </c>
    </row>
    <row r="2012" spans="1:8" x14ac:dyDescent="0.35">
      <c r="A2012" s="77">
        <v>45383</v>
      </c>
      <c r="B2012" s="3" t="s">
        <v>161</v>
      </c>
      <c r="C2012" s="4" t="s">
        <v>162</v>
      </c>
      <c r="D2012" s="4" t="s">
        <v>314</v>
      </c>
      <c r="E2012" s="4" t="s">
        <v>323</v>
      </c>
      <c r="F2012" t="s">
        <v>233</v>
      </c>
      <c r="G2012" t="s">
        <v>216</v>
      </c>
      <c r="H2012">
        <f>VLOOKUP(C2012,'TB Apr 24'!$B$13:$AI$103,34,0)</f>
        <v>0</v>
      </c>
    </row>
    <row r="2013" spans="1:8" x14ac:dyDescent="0.35">
      <c r="A2013" s="77">
        <v>45383</v>
      </c>
      <c r="B2013" s="3" t="s">
        <v>163</v>
      </c>
      <c r="C2013" s="4" t="s">
        <v>164</v>
      </c>
      <c r="D2013" s="4" t="s">
        <v>314</v>
      </c>
      <c r="E2013" s="4" t="s">
        <v>319</v>
      </c>
      <c r="F2013" t="s">
        <v>233</v>
      </c>
      <c r="G2013" t="s">
        <v>216</v>
      </c>
      <c r="H2013">
        <f>VLOOKUP(C2013,'TB Apr 24'!$B$13:$AI$103,34,0)</f>
        <v>0</v>
      </c>
    </row>
    <row r="2014" spans="1:8" x14ac:dyDescent="0.35">
      <c r="A2014" s="77">
        <v>45383</v>
      </c>
      <c r="B2014" s="3" t="s">
        <v>165</v>
      </c>
      <c r="C2014" s="4" t="s">
        <v>166</v>
      </c>
      <c r="D2014" s="4" t="s">
        <v>314</v>
      </c>
      <c r="E2014" s="4" t="s">
        <v>304</v>
      </c>
      <c r="F2014" t="s">
        <v>233</v>
      </c>
      <c r="G2014" t="s">
        <v>216</v>
      </c>
      <c r="H2014">
        <f>VLOOKUP(C2014,'TB Apr 24'!$B$13:$AI$103,34,0)</f>
        <v>175722</v>
      </c>
    </row>
    <row r="2015" spans="1:8" x14ac:dyDescent="0.35">
      <c r="A2015" s="77">
        <v>45383</v>
      </c>
      <c r="B2015" s="3" t="s">
        <v>167</v>
      </c>
      <c r="C2015" s="4" t="s">
        <v>168</v>
      </c>
      <c r="D2015" s="4" t="s">
        <v>314</v>
      </c>
      <c r="E2015" s="4" t="s">
        <v>322</v>
      </c>
      <c r="F2015" t="s">
        <v>233</v>
      </c>
      <c r="G2015" t="s">
        <v>216</v>
      </c>
      <c r="H2015">
        <f>VLOOKUP(C2015,'TB Apr 24'!$B$13:$AI$103,34,0)</f>
        <v>0</v>
      </c>
    </row>
    <row r="2016" spans="1:8" x14ac:dyDescent="0.35">
      <c r="A2016" s="77">
        <v>45383</v>
      </c>
      <c r="B2016" s="3" t="s">
        <v>169</v>
      </c>
      <c r="C2016" s="4" t="s">
        <v>170</v>
      </c>
      <c r="D2016" s="4" t="s">
        <v>314</v>
      </c>
      <c r="E2016" s="4" t="s">
        <v>304</v>
      </c>
      <c r="F2016" t="s">
        <v>233</v>
      </c>
      <c r="G2016" t="s">
        <v>216</v>
      </c>
      <c r="H2016">
        <f>VLOOKUP(C2016,'TB Apr 24'!$B$13:$AI$103,34,0)</f>
        <v>27259</v>
      </c>
    </row>
    <row r="2017" spans="1:8" x14ac:dyDescent="0.35">
      <c r="A2017" s="77">
        <v>45383</v>
      </c>
      <c r="B2017" s="3" t="s">
        <v>171</v>
      </c>
      <c r="C2017" s="4" t="s">
        <v>172</v>
      </c>
      <c r="D2017" s="4" t="s">
        <v>314</v>
      </c>
      <c r="E2017" s="4" t="s">
        <v>303</v>
      </c>
      <c r="F2017" t="s">
        <v>233</v>
      </c>
      <c r="G2017" t="s">
        <v>216</v>
      </c>
      <c r="H2017">
        <f>VLOOKUP(C2017,'TB Apr 24'!$B$13:$AI$103,34,0)</f>
        <v>0</v>
      </c>
    </row>
    <row r="2018" spans="1:8" x14ac:dyDescent="0.35">
      <c r="A2018" s="77">
        <v>45383</v>
      </c>
      <c r="B2018" s="3" t="s">
        <v>173</v>
      </c>
      <c r="C2018" s="4" t="s">
        <v>174</v>
      </c>
      <c r="D2018" s="4" t="s">
        <v>314</v>
      </c>
      <c r="E2018" s="4" t="s">
        <v>257</v>
      </c>
      <c r="F2018" t="s">
        <v>233</v>
      </c>
      <c r="G2018" t="s">
        <v>216</v>
      </c>
      <c r="H2018">
        <f>VLOOKUP(C2018,'TB Apr 24'!$B$13:$AI$103,34,0)</f>
        <v>0</v>
      </c>
    </row>
    <row r="2019" spans="1:8" x14ac:dyDescent="0.35">
      <c r="A2019" s="77">
        <v>45383</v>
      </c>
      <c r="B2019" s="3" t="s">
        <v>175</v>
      </c>
      <c r="C2019" s="4" t="s">
        <v>176</v>
      </c>
      <c r="D2019" s="4" t="s">
        <v>314</v>
      </c>
      <c r="E2019" s="4" t="s">
        <v>257</v>
      </c>
      <c r="F2019" t="s">
        <v>233</v>
      </c>
      <c r="G2019" t="s">
        <v>216</v>
      </c>
      <c r="H2019">
        <f>VLOOKUP(C2019,'TB Apr 24'!$B$13:$AI$103,34,0)</f>
        <v>0</v>
      </c>
    </row>
    <row r="2020" spans="1:8" x14ac:dyDescent="0.35">
      <c r="A2020" s="77">
        <v>45383</v>
      </c>
      <c r="B2020" s="3" t="s">
        <v>177</v>
      </c>
      <c r="C2020" s="4" t="s">
        <v>178</v>
      </c>
      <c r="D2020" s="4" t="s">
        <v>314</v>
      </c>
      <c r="E2020" s="4" t="s">
        <v>257</v>
      </c>
      <c r="F2020" t="s">
        <v>233</v>
      </c>
      <c r="G2020" t="s">
        <v>216</v>
      </c>
      <c r="H2020">
        <f>VLOOKUP(C2020,'TB Apr 24'!$B$13:$AI$103,34,0)</f>
        <v>0</v>
      </c>
    </row>
    <row r="2021" spans="1:8" x14ac:dyDescent="0.35">
      <c r="A2021" s="77">
        <v>45383</v>
      </c>
      <c r="B2021" s="3" t="s">
        <v>179</v>
      </c>
      <c r="C2021" s="4" t="s">
        <v>180</v>
      </c>
      <c r="D2021" s="4" t="s">
        <v>314</v>
      </c>
      <c r="E2021" s="4" t="s">
        <v>322</v>
      </c>
      <c r="F2021" t="s">
        <v>233</v>
      </c>
      <c r="G2021" t="s">
        <v>216</v>
      </c>
      <c r="H2021">
        <f>VLOOKUP(C2021,'TB Apr 24'!$B$13:$AI$103,34,0)</f>
        <v>0</v>
      </c>
    </row>
    <row r="2022" spans="1:8" x14ac:dyDescent="0.35">
      <c r="A2022" s="77">
        <v>45383</v>
      </c>
      <c r="B2022" s="3" t="s">
        <v>181</v>
      </c>
      <c r="C2022" s="4" t="s">
        <v>182</v>
      </c>
      <c r="D2022" s="4" t="s">
        <v>314</v>
      </c>
      <c r="E2022" s="4" t="s">
        <v>290</v>
      </c>
      <c r="F2022" t="s">
        <v>233</v>
      </c>
      <c r="G2022" t="s">
        <v>216</v>
      </c>
      <c r="H2022">
        <f>VLOOKUP(C2022,'TB Apr 24'!$B$13:$AI$103,34,0)</f>
        <v>0</v>
      </c>
    </row>
    <row r="2023" spans="1:8" x14ac:dyDescent="0.35">
      <c r="A2023" s="77">
        <v>45383</v>
      </c>
      <c r="B2023" s="3" t="s">
        <v>183</v>
      </c>
      <c r="C2023" s="4" t="s">
        <v>184</v>
      </c>
      <c r="D2023" s="4" t="s">
        <v>314</v>
      </c>
      <c r="E2023" s="4" t="s">
        <v>290</v>
      </c>
      <c r="F2023" t="s">
        <v>233</v>
      </c>
      <c r="G2023" t="s">
        <v>216</v>
      </c>
      <c r="H2023">
        <f>VLOOKUP(C2023,'TB Apr 24'!$B$13:$AI$103,34,0)</f>
        <v>0</v>
      </c>
    </row>
    <row r="2024" spans="1:8" x14ac:dyDescent="0.35">
      <c r="A2024" s="77">
        <v>45383</v>
      </c>
      <c r="B2024" s="3" t="s">
        <v>185</v>
      </c>
      <c r="C2024" s="4" t="s">
        <v>186</v>
      </c>
      <c r="D2024" s="4" t="s">
        <v>314</v>
      </c>
      <c r="E2024" s="4" t="s">
        <v>290</v>
      </c>
      <c r="F2024" t="s">
        <v>233</v>
      </c>
      <c r="G2024" t="s">
        <v>216</v>
      </c>
      <c r="H2024">
        <f>VLOOKUP(C2024,'TB Apr 24'!$B$13:$AI$103,34,0)</f>
        <v>108890</v>
      </c>
    </row>
    <row r="2025" spans="1:8" x14ac:dyDescent="0.35">
      <c r="A2025" s="77">
        <v>45383</v>
      </c>
      <c r="B2025" s="3" t="s">
        <v>187</v>
      </c>
      <c r="C2025" s="4" t="s">
        <v>188</v>
      </c>
      <c r="D2025" s="4" t="s">
        <v>314</v>
      </c>
      <c r="E2025" s="4" t="s">
        <v>291</v>
      </c>
      <c r="F2025" t="s">
        <v>233</v>
      </c>
      <c r="G2025" t="s">
        <v>216</v>
      </c>
      <c r="H2025">
        <f>VLOOKUP(C2025,'TB Apr 24'!$B$13:$AI$103,34,0)</f>
        <v>33159.629999999997</v>
      </c>
    </row>
    <row r="2026" spans="1:8" x14ac:dyDescent="0.35">
      <c r="A2026" s="77">
        <v>45383</v>
      </c>
      <c r="B2026" s="3" t="s">
        <v>189</v>
      </c>
      <c r="C2026" s="4" t="s">
        <v>190</v>
      </c>
      <c r="D2026" s="4" t="s">
        <v>314</v>
      </c>
      <c r="E2026" s="4" t="s">
        <v>254</v>
      </c>
      <c r="F2026" t="s">
        <v>233</v>
      </c>
      <c r="G2026" t="s">
        <v>216</v>
      </c>
      <c r="H2026">
        <f>VLOOKUP(C2026,'TB Apr 24'!$B$13:$AI$103,34,0)</f>
        <v>0</v>
      </c>
    </row>
    <row r="2027" spans="1:8" x14ac:dyDescent="0.35">
      <c r="A2027" s="77">
        <v>45383</v>
      </c>
      <c r="B2027" s="3" t="s">
        <v>191</v>
      </c>
      <c r="C2027" s="4" t="s">
        <v>192</v>
      </c>
      <c r="D2027" s="4" t="s">
        <v>314</v>
      </c>
      <c r="E2027" s="4" t="s">
        <v>254</v>
      </c>
      <c r="F2027" t="s">
        <v>233</v>
      </c>
      <c r="G2027" t="s">
        <v>216</v>
      </c>
      <c r="H2027">
        <f>VLOOKUP(C2027,'TB Apr 24'!$B$13:$AI$103,34,0)</f>
        <v>0</v>
      </c>
    </row>
    <row r="2028" spans="1:8" x14ac:dyDescent="0.35">
      <c r="A2028" s="77">
        <v>45383</v>
      </c>
      <c r="B2028" s="3" t="s">
        <v>193</v>
      </c>
      <c r="C2028" s="4" t="s">
        <v>194</v>
      </c>
      <c r="D2028" s="4" t="s">
        <v>314</v>
      </c>
      <c r="E2028" s="4" t="s">
        <v>254</v>
      </c>
      <c r="F2028" t="s">
        <v>233</v>
      </c>
      <c r="G2028" t="s">
        <v>216</v>
      </c>
      <c r="H2028">
        <f>VLOOKUP(C2028,'TB Apr 24'!$B$13:$AI$103,34,0)</f>
        <v>496620.55766666663</v>
      </c>
    </row>
    <row r="2029" spans="1:8" x14ac:dyDescent="0.35">
      <c r="A2029" s="77">
        <v>45383</v>
      </c>
      <c r="B2029" s="3" t="s">
        <v>195</v>
      </c>
      <c r="C2029" s="4" t="s">
        <v>196</v>
      </c>
      <c r="D2029" s="4" t="s">
        <v>314</v>
      </c>
      <c r="E2029" s="4" t="s">
        <v>255</v>
      </c>
      <c r="F2029" t="s">
        <v>233</v>
      </c>
      <c r="G2029" t="s">
        <v>216</v>
      </c>
      <c r="H2029">
        <f>VLOOKUP(C2029,'TB Apr 24'!$B$13:$AI$103,34,0)</f>
        <v>0</v>
      </c>
    </row>
    <row r="2030" spans="1:8" x14ac:dyDescent="0.35">
      <c r="A2030" s="77">
        <v>45383</v>
      </c>
      <c r="B2030" s="3" t="s">
        <v>197</v>
      </c>
      <c r="C2030" s="4" t="s">
        <v>198</v>
      </c>
      <c r="D2030" s="4" t="s">
        <v>314</v>
      </c>
      <c r="E2030" s="4" t="s">
        <v>255</v>
      </c>
      <c r="F2030" t="s">
        <v>233</v>
      </c>
      <c r="G2030" t="s">
        <v>216</v>
      </c>
      <c r="H2030">
        <f>VLOOKUP(C2030,'TB Apr 24'!$B$13:$AI$103,34,0)</f>
        <v>0</v>
      </c>
    </row>
    <row r="2031" spans="1:8" x14ac:dyDescent="0.35">
      <c r="A2031" s="77">
        <v>45383</v>
      </c>
      <c r="B2031" s="3" t="s">
        <v>199</v>
      </c>
      <c r="C2031" s="4" t="s">
        <v>200</v>
      </c>
      <c r="D2031" s="4" t="s">
        <v>314</v>
      </c>
      <c r="E2031" s="4" t="s">
        <v>254</v>
      </c>
      <c r="F2031" t="s">
        <v>233</v>
      </c>
      <c r="G2031" t="s">
        <v>216</v>
      </c>
      <c r="H2031">
        <f>VLOOKUP(C2031,'TB Apr 24'!$B$13:$AI$103,34,0)</f>
        <v>0</v>
      </c>
    </row>
    <row r="2032" spans="1:8" x14ac:dyDescent="0.35">
      <c r="A2032" s="77">
        <v>45383</v>
      </c>
      <c r="B2032" s="3" t="s">
        <v>201</v>
      </c>
      <c r="C2032" s="4" t="s">
        <v>202</v>
      </c>
      <c r="D2032" s="4" t="s">
        <v>314</v>
      </c>
      <c r="E2032" s="4" t="s">
        <v>254</v>
      </c>
      <c r="F2032" t="s">
        <v>233</v>
      </c>
      <c r="G2032" t="s">
        <v>216</v>
      </c>
      <c r="H2032">
        <f>VLOOKUP(C2032,'TB Apr 24'!$B$13:$AI$103,34,0)</f>
        <v>0</v>
      </c>
    </row>
    <row r="2033" spans="1:8" x14ac:dyDescent="0.35">
      <c r="A2033" s="77">
        <v>45383</v>
      </c>
      <c r="B2033" s="3" t="s">
        <v>203</v>
      </c>
      <c r="C2033" s="4" t="s">
        <v>204</v>
      </c>
      <c r="D2033" s="4" t="s">
        <v>314</v>
      </c>
      <c r="E2033" s="4" t="s">
        <v>256</v>
      </c>
      <c r="F2033" t="s">
        <v>233</v>
      </c>
      <c r="G2033" t="s">
        <v>216</v>
      </c>
      <c r="H2033">
        <f>VLOOKUP(C2033,'TB Apr 24'!$B$13:$AI$103,34,0)</f>
        <v>23875.595999999998</v>
      </c>
    </row>
    <row r="2034" spans="1:8" x14ac:dyDescent="0.35">
      <c r="A2034" s="77">
        <v>45383</v>
      </c>
      <c r="B2034" s="3" t="s">
        <v>205</v>
      </c>
      <c r="C2034" s="6" t="s">
        <v>206</v>
      </c>
      <c r="D2034" s="4" t="s">
        <v>314</v>
      </c>
      <c r="E2034" s="6" t="s">
        <v>322</v>
      </c>
      <c r="F2034" s="79" t="s">
        <v>233</v>
      </c>
      <c r="G2034" s="79" t="s">
        <v>216</v>
      </c>
      <c r="H2034" s="79">
        <f>VLOOKUP(C2034,'TB Apr 24'!$B$13:$AI$103,34,0)</f>
        <v>0</v>
      </c>
    </row>
    <row r="2035" spans="1:8" x14ac:dyDescent="0.35">
      <c r="A2035" s="77">
        <v>45383</v>
      </c>
      <c r="B2035" s="3" t="s">
        <v>57</v>
      </c>
      <c r="C2035" s="4" t="s">
        <v>58</v>
      </c>
      <c r="D2035" s="4" t="s">
        <v>314</v>
      </c>
      <c r="E2035" s="4" t="s">
        <v>253</v>
      </c>
      <c r="F2035" t="s">
        <v>233</v>
      </c>
      <c r="G2035" t="s">
        <v>217</v>
      </c>
      <c r="H2035">
        <f>VLOOKUP(C2035,'TB Apr 24'!$B$13:$AJ$103,35,0)</f>
        <v>0</v>
      </c>
    </row>
    <row r="2036" spans="1:8" x14ac:dyDescent="0.35">
      <c r="A2036" s="77">
        <v>45383</v>
      </c>
      <c r="B2036" s="3" t="s">
        <v>307</v>
      </c>
      <c r="C2036" s="4" t="s">
        <v>308</v>
      </c>
      <c r="D2036" s="4" t="s">
        <v>314</v>
      </c>
      <c r="E2036" s="4" t="s">
        <v>253</v>
      </c>
      <c r="F2036" t="s">
        <v>233</v>
      </c>
      <c r="G2036" t="s">
        <v>217</v>
      </c>
      <c r="H2036">
        <f>VLOOKUP(C2036,'TB Apr 24'!$B$13:$AJ$103,35,0)</f>
        <v>0</v>
      </c>
    </row>
    <row r="2037" spans="1:8" x14ac:dyDescent="0.35">
      <c r="A2037" s="77">
        <v>45383</v>
      </c>
      <c r="B2037" s="3" t="s">
        <v>59</v>
      </c>
      <c r="C2037" s="4" t="s">
        <v>60</v>
      </c>
      <c r="D2037" s="4" t="s">
        <v>314</v>
      </c>
      <c r="E2037" s="4" t="s">
        <v>253</v>
      </c>
      <c r="F2037" t="s">
        <v>233</v>
      </c>
      <c r="G2037" t="s">
        <v>217</v>
      </c>
      <c r="H2037">
        <f>VLOOKUP(C2037,'TB Apr 24'!$B$13:$AJ$103,35,0)</f>
        <v>-26.78</v>
      </c>
    </row>
    <row r="2038" spans="1:8" x14ac:dyDescent="0.35">
      <c r="A2038" s="77">
        <v>45383</v>
      </c>
      <c r="B2038" s="3" t="s">
        <v>61</v>
      </c>
      <c r="C2038" s="4" t="s">
        <v>62</v>
      </c>
      <c r="D2038" s="4" t="s">
        <v>314</v>
      </c>
      <c r="E2038" s="4" t="s">
        <v>66</v>
      </c>
      <c r="F2038" t="s">
        <v>233</v>
      </c>
      <c r="G2038" t="s">
        <v>217</v>
      </c>
      <c r="H2038">
        <f>VLOOKUP(C2038,'TB Apr 24'!$B$13:$AJ$103,35,0)</f>
        <v>0</v>
      </c>
    </row>
    <row r="2039" spans="1:8" x14ac:dyDescent="0.35">
      <c r="A2039" s="77">
        <v>45383</v>
      </c>
      <c r="B2039" s="3" t="s">
        <v>63</v>
      </c>
      <c r="C2039" s="4" t="s">
        <v>64</v>
      </c>
      <c r="D2039" s="4" t="s">
        <v>314</v>
      </c>
      <c r="E2039" s="4" t="s">
        <v>252</v>
      </c>
      <c r="F2039" t="s">
        <v>233</v>
      </c>
      <c r="G2039" t="s">
        <v>217</v>
      </c>
      <c r="H2039">
        <f>VLOOKUP(C2039,'TB Apr 24'!$B$13:$AJ$103,35,0)</f>
        <v>0</v>
      </c>
    </row>
    <row r="2040" spans="1:8" x14ac:dyDescent="0.35">
      <c r="A2040" s="77">
        <v>45383</v>
      </c>
      <c r="B2040" s="3" t="s">
        <v>65</v>
      </c>
      <c r="C2040" s="4" t="s">
        <v>66</v>
      </c>
      <c r="D2040" s="4" t="s">
        <v>314</v>
      </c>
      <c r="E2040" s="4" t="s">
        <v>66</v>
      </c>
      <c r="F2040" t="s">
        <v>233</v>
      </c>
      <c r="G2040" t="s">
        <v>217</v>
      </c>
      <c r="H2040">
        <f>VLOOKUP(C2040,'TB Apr 24'!$B$13:$AJ$103,35,0)</f>
        <v>-1619618.45</v>
      </c>
    </row>
    <row r="2041" spans="1:8" x14ac:dyDescent="0.35">
      <c r="A2041" s="77">
        <v>45383</v>
      </c>
      <c r="B2041" s="3" t="s">
        <v>67</v>
      </c>
      <c r="C2041" s="4" t="s">
        <v>68</v>
      </c>
      <c r="D2041" s="4" t="s">
        <v>314</v>
      </c>
      <c r="E2041" s="4" t="s">
        <v>252</v>
      </c>
      <c r="F2041" t="s">
        <v>233</v>
      </c>
      <c r="G2041" t="s">
        <v>217</v>
      </c>
      <c r="H2041">
        <f>VLOOKUP(C2041,'TB Apr 24'!$B$13:$AJ$103,35,0)</f>
        <v>-151343.49</v>
      </c>
    </row>
    <row r="2042" spans="1:8" x14ac:dyDescent="0.35">
      <c r="A2042" s="77">
        <v>45383</v>
      </c>
      <c r="B2042" s="3" t="s">
        <v>69</v>
      </c>
      <c r="C2042" s="4" t="s">
        <v>70</v>
      </c>
      <c r="D2042" s="4" t="s">
        <v>314</v>
      </c>
      <c r="E2042" s="4" t="s">
        <v>70</v>
      </c>
      <c r="F2042" t="s">
        <v>233</v>
      </c>
      <c r="G2042" t="s">
        <v>217</v>
      </c>
      <c r="H2042">
        <f>VLOOKUP(C2042,'TB Apr 24'!$B$13:$AJ$103,35,0)</f>
        <v>-227143.37</v>
      </c>
    </row>
    <row r="2043" spans="1:8" x14ac:dyDescent="0.35">
      <c r="A2043" s="77">
        <v>45383</v>
      </c>
      <c r="B2043" s="3" t="s">
        <v>71</v>
      </c>
      <c r="C2043" s="4" t="s">
        <v>72</v>
      </c>
      <c r="D2043" s="4" t="s">
        <v>314</v>
      </c>
      <c r="E2043" s="4" t="s">
        <v>253</v>
      </c>
      <c r="F2043" t="s">
        <v>233</v>
      </c>
      <c r="G2043" t="s">
        <v>217</v>
      </c>
      <c r="H2043">
        <f>VLOOKUP(C2043,'TB Apr 24'!$B$13:$AJ$103,35,0)</f>
        <v>0</v>
      </c>
    </row>
    <row r="2044" spans="1:8" x14ac:dyDescent="0.35">
      <c r="A2044" s="77">
        <v>45383</v>
      </c>
      <c r="B2044" s="3" t="s">
        <v>73</v>
      </c>
      <c r="C2044" s="4" t="s">
        <v>74</v>
      </c>
      <c r="D2044" s="4" t="s">
        <v>314</v>
      </c>
      <c r="E2044" s="4" t="s">
        <v>253</v>
      </c>
      <c r="F2044" t="s">
        <v>233</v>
      </c>
      <c r="G2044" t="s">
        <v>217</v>
      </c>
      <c r="H2044">
        <f>VLOOKUP(C2044,'TB Apr 24'!$B$13:$AJ$103,35,0)</f>
        <v>0</v>
      </c>
    </row>
    <row r="2045" spans="1:8" x14ac:dyDescent="0.35">
      <c r="A2045" s="77">
        <v>45383</v>
      </c>
      <c r="B2045" s="3" t="s">
        <v>75</v>
      </c>
      <c r="C2045" s="4" t="s">
        <v>76</v>
      </c>
      <c r="D2045" s="4" t="s">
        <v>314</v>
      </c>
      <c r="E2045" s="4" t="s">
        <v>253</v>
      </c>
      <c r="F2045" t="s">
        <v>233</v>
      </c>
      <c r="G2045" t="s">
        <v>217</v>
      </c>
      <c r="H2045">
        <f>VLOOKUP(C2045,'TB Apr 24'!$B$13:$AJ$103,35,0)</f>
        <v>0</v>
      </c>
    </row>
    <row r="2046" spans="1:8" x14ac:dyDescent="0.35">
      <c r="A2046" s="77">
        <v>45383</v>
      </c>
      <c r="B2046" s="3" t="s">
        <v>77</v>
      </c>
      <c r="C2046" s="4" t="s">
        <v>78</v>
      </c>
      <c r="D2046" s="4" t="s">
        <v>314</v>
      </c>
      <c r="E2046" s="4" t="s">
        <v>253</v>
      </c>
      <c r="F2046" t="s">
        <v>233</v>
      </c>
      <c r="G2046" t="s">
        <v>217</v>
      </c>
      <c r="H2046">
        <f>VLOOKUP(C2046,'TB Apr 24'!$B$13:$AJ$103,35,0)</f>
        <v>-156165.19</v>
      </c>
    </row>
    <row r="2047" spans="1:8" x14ac:dyDescent="0.35">
      <c r="A2047" s="77">
        <v>45383</v>
      </c>
      <c r="B2047" s="3" t="s">
        <v>79</v>
      </c>
      <c r="C2047" s="4" t="s">
        <v>80</v>
      </c>
      <c r="D2047" s="4" t="s">
        <v>314</v>
      </c>
      <c r="E2047" s="4" t="s">
        <v>253</v>
      </c>
      <c r="F2047" t="s">
        <v>233</v>
      </c>
      <c r="G2047" t="s">
        <v>217</v>
      </c>
      <c r="H2047">
        <f>VLOOKUP(C2047,'TB Apr 24'!$B$13:$AJ$103,35,0)</f>
        <v>-19640.43</v>
      </c>
    </row>
    <row r="2048" spans="1:8" x14ac:dyDescent="0.35">
      <c r="A2048" s="77">
        <v>45383</v>
      </c>
      <c r="B2048" s="3" t="s">
        <v>81</v>
      </c>
      <c r="C2048" s="4" t="s">
        <v>82</v>
      </c>
      <c r="D2048" s="4" t="s">
        <v>314</v>
      </c>
      <c r="E2048" s="4" t="s">
        <v>319</v>
      </c>
      <c r="F2048" t="s">
        <v>233</v>
      </c>
      <c r="G2048" t="s">
        <v>217</v>
      </c>
      <c r="H2048">
        <f>VLOOKUP(C2048,'TB Apr 24'!$B$13:$AJ$103,35,0)</f>
        <v>0</v>
      </c>
    </row>
    <row r="2049" spans="1:8" x14ac:dyDescent="0.35">
      <c r="A2049" s="77">
        <v>45383</v>
      </c>
      <c r="B2049" s="3" t="s">
        <v>83</v>
      </c>
      <c r="C2049" s="4" t="s">
        <v>84</v>
      </c>
      <c r="D2049" s="4" t="s">
        <v>314</v>
      </c>
      <c r="E2049" s="4" t="s">
        <v>319</v>
      </c>
      <c r="F2049" t="s">
        <v>233</v>
      </c>
      <c r="G2049" t="s">
        <v>217</v>
      </c>
      <c r="H2049">
        <f>VLOOKUP(C2049,'TB Apr 24'!$B$13:$AJ$103,35,0)</f>
        <v>0</v>
      </c>
    </row>
    <row r="2050" spans="1:8" x14ac:dyDescent="0.35">
      <c r="A2050" s="77">
        <v>45383</v>
      </c>
      <c r="B2050" s="3" t="s">
        <v>85</v>
      </c>
      <c r="C2050" s="4" t="s">
        <v>86</v>
      </c>
      <c r="D2050" s="4" t="s">
        <v>314</v>
      </c>
      <c r="E2050" s="4" t="s">
        <v>291</v>
      </c>
      <c r="F2050" t="s">
        <v>233</v>
      </c>
      <c r="G2050" t="s">
        <v>217</v>
      </c>
      <c r="H2050">
        <f>VLOOKUP(C2050,'TB Apr 24'!$B$13:$AJ$103,35,0)</f>
        <v>14260.2</v>
      </c>
    </row>
    <row r="2051" spans="1:8" x14ac:dyDescent="0.35">
      <c r="A2051" s="77">
        <v>45383</v>
      </c>
      <c r="B2051" s="3" t="s">
        <v>88</v>
      </c>
      <c r="C2051" s="4" t="s">
        <v>89</v>
      </c>
      <c r="D2051" s="4" t="s">
        <v>314</v>
      </c>
      <c r="E2051" s="4" t="s">
        <v>300</v>
      </c>
      <c r="F2051" t="s">
        <v>233</v>
      </c>
      <c r="G2051" t="s">
        <v>217</v>
      </c>
      <c r="H2051">
        <f>VLOOKUP(C2051,'TB Apr 24'!$B$13:$AJ$103,35,0)</f>
        <v>0</v>
      </c>
    </row>
    <row r="2052" spans="1:8" x14ac:dyDescent="0.35">
      <c r="A2052" s="77">
        <v>45383</v>
      </c>
      <c r="B2052" s="3" t="s">
        <v>90</v>
      </c>
      <c r="C2052" s="4" t="s">
        <v>91</v>
      </c>
      <c r="D2052" s="4" t="s">
        <v>314</v>
      </c>
      <c r="E2052" s="4" t="s">
        <v>300</v>
      </c>
      <c r="F2052" t="s">
        <v>233</v>
      </c>
      <c r="G2052" t="s">
        <v>217</v>
      </c>
      <c r="H2052">
        <f>VLOOKUP(C2052,'TB Apr 24'!$B$13:$AJ$103,35,0)</f>
        <v>2504</v>
      </c>
    </row>
    <row r="2053" spans="1:8" x14ac:dyDescent="0.35">
      <c r="A2053" s="77">
        <v>45383</v>
      </c>
      <c r="B2053" s="3" t="s">
        <v>92</v>
      </c>
      <c r="C2053" s="4" t="s">
        <v>93</v>
      </c>
      <c r="D2053" s="4" t="s">
        <v>314</v>
      </c>
      <c r="E2053" s="4" t="s">
        <v>300</v>
      </c>
      <c r="F2053" t="s">
        <v>233</v>
      </c>
      <c r="G2053" t="s">
        <v>217</v>
      </c>
      <c r="H2053">
        <f>VLOOKUP(C2053,'TB Apr 24'!$B$13:$AJ$103,35,0)</f>
        <v>0</v>
      </c>
    </row>
    <row r="2054" spans="1:8" x14ac:dyDescent="0.35">
      <c r="A2054" s="77">
        <v>45383</v>
      </c>
      <c r="B2054" s="3" t="s">
        <v>94</v>
      </c>
      <c r="C2054" s="4" t="s">
        <v>95</v>
      </c>
      <c r="D2054" s="4" t="s">
        <v>314</v>
      </c>
      <c r="E2054" s="4" t="s">
        <v>289</v>
      </c>
      <c r="F2054" t="s">
        <v>233</v>
      </c>
      <c r="G2054" t="s">
        <v>217</v>
      </c>
      <c r="H2054">
        <f>VLOOKUP(C2054,'TB Apr 24'!$B$13:$AJ$103,35,0)</f>
        <v>1113266</v>
      </c>
    </row>
    <row r="2055" spans="1:8" x14ac:dyDescent="0.35">
      <c r="A2055" s="77">
        <v>45383</v>
      </c>
      <c r="B2055" s="3" t="s">
        <v>96</v>
      </c>
      <c r="C2055" s="4" t="s">
        <v>97</v>
      </c>
      <c r="D2055" s="4" t="s">
        <v>314</v>
      </c>
      <c r="E2055" s="4" t="s">
        <v>289</v>
      </c>
      <c r="F2055" t="s">
        <v>233</v>
      </c>
      <c r="G2055" t="s">
        <v>217</v>
      </c>
      <c r="H2055">
        <f>VLOOKUP(C2055,'TB Apr 24'!$B$13:$AJ$103,35,0)</f>
        <v>0</v>
      </c>
    </row>
    <row r="2056" spans="1:8" x14ac:dyDescent="0.35">
      <c r="A2056" s="77">
        <v>45383</v>
      </c>
      <c r="B2056" s="3" t="s">
        <v>309</v>
      </c>
      <c r="C2056" s="4" t="s">
        <v>310</v>
      </c>
      <c r="D2056" s="4" t="s">
        <v>314</v>
      </c>
      <c r="E2056" s="4" t="s">
        <v>289</v>
      </c>
      <c r="F2056" t="s">
        <v>233</v>
      </c>
      <c r="G2056" t="s">
        <v>217</v>
      </c>
      <c r="H2056">
        <f>VLOOKUP(C2056,'TB Apr 24'!$B$13:$AJ$103,35,0)</f>
        <v>0</v>
      </c>
    </row>
    <row r="2057" spans="1:8" x14ac:dyDescent="0.35">
      <c r="A2057" s="77">
        <v>45383</v>
      </c>
      <c r="B2057" s="3" t="s">
        <v>98</v>
      </c>
      <c r="C2057" s="4" t="s">
        <v>99</v>
      </c>
      <c r="D2057" s="4" t="s">
        <v>314</v>
      </c>
      <c r="E2057" s="4" t="s">
        <v>289</v>
      </c>
      <c r="F2057" t="s">
        <v>233</v>
      </c>
      <c r="G2057" t="s">
        <v>217</v>
      </c>
      <c r="H2057">
        <f>VLOOKUP(C2057,'TB Apr 24'!$B$13:$AJ$103,35,0)</f>
        <v>0</v>
      </c>
    </row>
    <row r="2058" spans="1:8" x14ac:dyDescent="0.35">
      <c r="A2058" s="77">
        <v>45383</v>
      </c>
      <c r="B2058" s="3" t="s">
        <v>100</v>
      </c>
      <c r="C2058" s="4" t="s">
        <v>101</v>
      </c>
      <c r="D2058" s="4" t="s">
        <v>314</v>
      </c>
      <c r="E2058" s="4" t="s">
        <v>291</v>
      </c>
      <c r="F2058" t="s">
        <v>233</v>
      </c>
      <c r="G2058" t="s">
        <v>217</v>
      </c>
      <c r="H2058">
        <f>VLOOKUP(C2058,'TB Apr 24'!$B$13:$AJ$103,35,0)</f>
        <v>0</v>
      </c>
    </row>
    <row r="2059" spans="1:8" x14ac:dyDescent="0.35">
      <c r="A2059" s="77">
        <v>45383</v>
      </c>
      <c r="B2059" s="3" t="s">
        <v>102</v>
      </c>
      <c r="C2059" s="4" t="s">
        <v>103</v>
      </c>
      <c r="D2059" s="4" t="s">
        <v>314</v>
      </c>
      <c r="E2059" s="4" t="s">
        <v>291</v>
      </c>
      <c r="F2059" t="s">
        <v>233</v>
      </c>
      <c r="G2059" t="s">
        <v>217</v>
      </c>
      <c r="H2059">
        <f>VLOOKUP(C2059,'TB Apr 24'!$B$13:$AJ$103,35,0)</f>
        <v>0</v>
      </c>
    </row>
    <row r="2060" spans="1:8" x14ac:dyDescent="0.35">
      <c r="A2060" s="77">
        <v>45383</v>
      </c>
      <c r="B2060" s="3" t="s">
        <v>104</v>
      </c>
      <c r="C2060" s="4" t="s">
        <v>105</v>
      </c>
      <c r="D2060" s="4" t="s">
        <v>314</v>
      </c>
      <c r="E2060" s="4" t="s">
        <v>291</v>
      </c>
      <c r="F2060" t="s">
        <v>233</v>
      </c>
      <c r="G2060" t="s">
        <v>217</v>
      </c>
      <c r="H2060">
        <f>VLOOKUP(C2060,'TB Apr 24'!$B$13:$AJ$103,35,0)</f>
        <v>0</v>
      </c>
    </row>
    <row r="2061" spans="1:8" x14ac:dyDescent="0.35">
      <c r="A2061" s="77">
        <v>45383</v>
      </c>
      <c r="B2061" s="3" t="s">
        <v>106</v>
      </c>
      <c r="C2061" s="4" t="s">
        <v>107</v>
      </c>
      <c r="D2061" s="4" t="s">
        <v>314</v>
      </c>
      <c r="E2061" s="4" t="s">
        <v>321</v>
      </c>
      <c r="F2061" t="s">
        <v>233</v>
      </c>
      <c r="G2061" t="s">
        <v>217</v>
      </c>
      <c r="H2061">
        <f>VLOOKUP(C2061,'TB Apr 24'!$B$13:$AJ$103,35,0)</f>
        <v>0</v>
      </c>
    </row>
    <row r="2062" spans="1:8" x14ac:dyDescent="0.35">
      <c r="A2062" s="77">
        <v>45383</v>
      </c>
      <c r="B2062" s="3" t="s">
        <v>108</v>
      </c>
      <c r="C2062" s="4" t="s">
        <v>109</v>
      </c>
      <c r="D2062" s="4" t="s">
        <v>314</v>
      </c>
      <c r="E2062" s="4" t="s">
        <v>321</v>
      </c>
      <c r="F2062" t="s">
        <v>233</v>
      </c>
      <c r="G2062" t="s">
        <v>217</v>
      </c>
      <c r="H2062">
        <f>VLOOKUP(C2062,'TB Apr 24'!$B$13:$AJ$103,35,0)</f>
        <v>0</v>
      </c>
    </row>
    <row r="2063" spans="1:8" x14ac:dyDescent="0.35">
      <c r="A2063" s="77">
        <v>45383</v>
      </c>
      <c r="B2063" s="3" t="s">
        <v>110</v>
      </c>
      <c r="C2063" s="4" t="s">
        <v>111</v>
      </c>
      <c r="D2063" s="4" t="s">
        <v>314</v>
      </c>
      <c r="E2063" s="4" t="s">
        <v>320</v>
      </c>
      <c r="F2063" t="s">
        <v>233</v>
      </c>
      <c r="G2063" t="s">
        <v>217</v>
      </c>
      <c r="H2063">
        <f>VLOOKUP(C2063,'TB Apr 24'!$B$13:$AJ$103,35,0)</f>
        <v>0</v>
      </c>
    </row>
    <row r="2064" spans="1:8" x14ac:dyDescent="0.35">
      <c r="A2064" s="77">
        <v>45383</v>
      </c>
      <c r="B2064" s="3" t="s">
        <v>112</v>
      </c>
      <c r="C2064" s="4" t="s">
        <v>113</v>
      </c>
      <c r="D2064" s="4" t="s">
        <v>314</v>
      </c>
      <c r="E2064" s="4" t="s">
        <v>321</v>
      </c>
      <c r="F2064" t="s">
        <v>233</v>
      </c>
      <c r="G2064" t="s">
        <v>217</v>
      </c>
      <c r="H2064">
        <f>VLOOKUP(C2064,'TB Apr 24'!$B$13:$AJ$103,35,0)</f>
        <v>0</v>
      </c>
    </row>
    <row r="2065" spans="1:8" x14ac:dyDescent="0.35">
      <c r="A2065" s="77">
        <v>45383</v>
      </c>
      <c r="B2065" s="3" t="s">
        <v>311</v>
      </c>
      <c r="C2065" s="4" t="s">
        <v>312</v>
      </c>
      <c r="D2065" s="4" t="s">
        <v>314</v>
      </c>
      <c r="E2065" s="4" t="s">
        <v>288</v>
      </c>
      <c r="F2065" t="s">
        <v>233</v>
      </c>
      <c r="G2065" t="s">
        <v>217</v>
      </c>
      <c r="H2065">
        <f>VLOOKUP(C2065,'TB Apr 24'!$B$13:$AJ$103,35,0)</f>
        <v>0</v>
      </c>
    </row>
    <row r="2066" spans="1:8" x14ac:dyDescent="0.35">
      <c r="A2066" s="77">
        <v>45383</v>
      </c>
      <c r="B2066" s="3" t="s">
        <v>114</v>
      </c>
      <c r="C2066" s="4" t="s">
        <v>115</v>
      </c>
      <c r="D2066" s="4" t="s">
        <v>314</v>
      </c>
      <c r="E2066" s="4" t="s">
        <v>294</v>
      </c>
      <c r="F2066" t="s">
        <v>233</v>
      </c>
      <c r="G2066" t="s">
        <v>217</v>
      </c>
      <c r="H2066">
        <f>VLOOKUP(C2066,'TB Apr 24'!$B$13:$AJ$103,35,0)</f>
        <v>0</v>
      </c>
    </row>
    <row r="2067" spans="1:8" x14ac:dyDescent="0.35">
      <c r="A2067" s="77">
        <v>45383</v>
      </c>
      <c r="B2067" s="3" t="s">
        <v>116</v>
      </c>
      <c r="C2067" s="4" t="s">
        <v>117</v>
      </c>
      <c r="D2067" s="4" t="s">
        <v>314</v>
      </c>
      <c r="E2067" s="4" t="s">
        <v>296</v>
      </c>
      <c r="F2067" t="s">
        <v>233</v>
      </c>
      <c r="G2067" t="s">
        <v>217</v>
      </c>
      <c r="H2067">
        <f>VLOOKUP(C2067,'TB Apr 24'!$B$13:$AJ$103,35,0)</f>
        <v>0</v>
      </c>
    </row>
    <row r="2068" spans="1:8" x14ac:dyDescent="0.35">
      <c r="A2068" s="77">
        <v>45383</v>
      </c>
      <c r="B2068" s="3" t="s">
        <v>118</v>
      </c>
      <c r="C2068" s="4" t="s">
        <v>119</v>
      </c>
      <c r="D2068" s="4" t="s">
        <v>314</v>
      </c>
      <c r="E2068" s="4" t="s">
        <v>296</v>
      </c>
      <c r="F2068" t="s">
        <v>233</v>
      </c>
      <c r="G2068" t="s">
        <v>217</v>
      </c>
      <c r="H2068">
        <f>VLOOKUP(C2068,'TB Apr 24'!$B$13:$AJ$103,35,0)</f>
        <v>0</v>
      </c>
    </row>
    <row r="2069" spans="1:8" x14ac:dyDescent="0.35">
      <c r="A2069" s="77">
        <v>45383</v>
      </c>
      <c r="B2069" s="3" t="s">
        <v>120</v>
      </c>
      <c r="C2069" s="4" t="s">
        <v>121</v>
      </c>
      <c r="D2069" s="4" t="s">
        <v>314</v>
      </c>
      <c r="E2069" s="4" t="s">
        <v>322</v>
      </c>
      <c r="F2069" t="s">
        <v>233</v>
      </c>
      <c r="G2069" t="s">
        <v>217</v>
      </c>
      <c r="H2069">
        <f>VLOOKUP(C2069,'TB Apr 24'!$B$13:$AJ$103,35,0)</f>
        <v>5372</v>
      </c>
    </row>
    <row r="2070" spans="1:8" x14ac:dyDescent="0.35">
      <c r="A2070" s="77">
        <v>45383</v>
      </c>
      <c r="B2070" s="3" t="s">
        <v>122</v>
      </c>
      <c r="C2070" s="4" t="s">
        <v>123</v>
      </c>
      <c r="D2070" s="4" t="s">
        <v>314</v>
      </c>
      <c r="E2070" s="4" t="s">
        <v>322</v>
      </c>
      <c r="F2070" t="s">
        <v>233</v>
      </c>
      <c r="G2070" t="s">
        <v>217</v>
      </c>
      <c r="H2070">
        <f>VLOOKUP(C2070,'TB Apr 24'!$B$13:$AJ$103,35,0)</f>
        <v>13003.5</v>
      </c>
    </row>
    <row r="2071" spans="1:8" x14ac:dyDescent="0.35">
      <c r="A2071" s="77">
        <v>45383</v>
      </c>
      <c r="B2071" s="3" t="s">
        <v>124</v>
      </c>
      <c r="C2071" s="4" t="s">
        <v>125</v>
      </c>
      <c r="D2071" s="4" t="s">
        <v>314</v>
      </c>
      <c r="E2071" s="4" t="s">
        <v>322</v>
      </c>
      <c r="F2071" t="s">
        <v>233</v>
      </c>
      <c r="G2071" t="s">
        <v>217</v>
      </c>
      <c r="H2071">
        <f>VLOOKUP(C2071,'TB Apr 24'!$B$13:$AJ$103,35,0)</f>
        <v>0</v>
      </c>
    </row>
    <row r="2072" spans="1:8" x14ac:dyDescent="0.35">
      <c r="A2072" s="77">
        <v>45383</v>
      </c>
      <c r="B2072" s="3" t="s">
        <v>126</v>
      </c>
      <c r="C2072" s="4" t="s">
        <v>127</v>
      </c>
      <c r="D2072" s="4" t="s">
        <v>314</v>
      </c>
      <c r="E2072" s="4" t="s">
        <v>291</v>
      </c>
      <c r="F2072" t="s">
        <v>233</v>
      </c>
      <c r="G2072" t="s">
        <v>217</v>
      </c>
      <c r="H2072">
        <f>VLOOKUP(C2072,'TB Apr 24'!$B$13:$AJ$103,35,0)</f>
        <v>0</v>
      </c>
    </row>
    <row r="2073" spans="1:8" x14ac:dyDescent="0.35">
      <c r="A2073" s="77">
        <v>45383</v>
      </c>
      <c r="B2073" s="3" t="s">
        <v>128</v>
      </c>
      <c r="C2073" s="4" t="s">
        <v>129</v>
      </c>
      <c r="D2073" s="4" t="s">
        <v>314</v>
      </c>
      <c r="E2073" s="4" t="s">
        <v>322</v>
      </c>
      <c r="F2073" t="s">
        <v>233</v>
      </c>
      <c r="G2073" t="s">
        <v>217</v>
      </c>
      <c r="H2073">
        <f>VLOOKUP(C2073,'TB Apr 24'!$B$13:$AJ$103,35,0)</f>
        <v>5708</v>
      </c>
    </row>
    <row r="2074" spans="1:8" x14ac:dyDescent="0.35">
      <c r="A2074" s="77">
        <v>45383</v>
      </c>
      <c r="B2074" s="3" t="s">
        <v>130</v>
      </c>
      <c r="C2074" s="4" t="s">
        <v>131</v>
      </c>
      <c r="D2074" s="4" t="s">
        <v>314</v>
      </c>
      <c r="E2074" s="4" t="s">
        <v>322</v>
      </c>
      <c r="F2074" t="s">
        <v>233</v>
      </c>
      <c r="G2074" t="s">
        <v>217</v>
      </c>
      <c r="H2074">
        <f>VLOOKUP(C2074,'TB Apr 24'!$B$13:$AJ$103,35,0)</f>
        <v>6750</v>
      </c>
    </row>
    <row r="2075" spans="1:8" x14ac:dyDescent="0.35">
      <c r="A2075" s="77">
        <v>45383</v>
      </c>
      <c r="B2075" s="3" t="s">
        <v>132</v>
      </c>
      <c r="C2075" s="4" t="s">
        <v>133</v>
      </c>
      <c r="D2075" s="4" t="s">
        <v>314</v>
      </c>
      <c r="E2075" s="4" t="s">
        <v>320</v>
      </c>
      <c r="F2075" t="s">
        <v>233</v>
      </c>
      <c r="G2075" t="s">
        <v>217</v>
      </c>
      <c r="H2075">
        <f>VLOOKUP(C2075,'TB Apr 24'!$B$13:$AJ$103,35,0)</f>
        <v>5349.8</v>
      </c>
    </row>
    <row r="2076" spans="1:8" x14ac:dyDescent="0.35">
      <c r="A2076" s="77">
        <v>45383</v>
      </c>
      <c r="B2076" s="3" t="s">
        <v>134</v>
      </c>
      <c r="C2076" s="4" t="s">
        <v>135</v>
      </c>
      <c r="D2076" s="4" t="s">
        <v>314</v>
      </c>
      <c r="E2076" s="4" t="s">
        <v>299</v>
      </c>
      <c r="F2076" t="s">
        <v>233</v>
      </c>
      <c r="G2076" t="s">
        <v>217</v>
      </c>
      <c r="H2076">
        <f>VLOOKUP(C2076,'TB Apr 24'!$B$13:$AJ$103,35,0)</f>
        <v>0</v>
      </c>
    </row>
    <row r="2077" spans="1:8" x14ac:dyDescent="0.35">
      <c r="A2077" s="77">
        <v>45383</v>
      </c>
      <c r="B2077" s="3" t="s">
        <v>136</v>
      </c>
      <c r="C2077" s="4" t="s">
        <v>137</v>
      </c>
      <c r="D2077" s="4" t="s">
        <v>314</v>
      </c>
      <c r="E2077" s="4" t="s">
        <v>322</v>
      </c>
      <c r="F2077" t="s">
        <v>233</v>
      </c>
      <c r="G2077" t="s">
        <v>217</v>
      </c>
      <c r="H2077">
        <f>VLOOKUP(C2077,'TB Apr 24'!$B$13:$AJ$103,35,0)</f>
        <v>0</v>
      </c>
    </row>
    <row r="2078" spans="1:8" x14ac:dyDescent="0.35">
      <c r="A2078" s="77">
        <v>45383</v>
      </c>
      <c r="B2078" s="3" t="s">
        <v>138</v>
      </c>
      <c r="C2078" s="4" t="s">
        <v>139</v>
      </c>
      <c r="D2078" s="4" t="s">
        <v>314</v>
      </c>
      <c r="E2078" s="4" t="s">
        <v>294</v>
      </c>
      <c r="F2078" t="s">
        <v>233</v>
      </c>
      <c r="G2078" t="s">
        <v>217</v>
      </c>
      <c r="H2078">
        <f>VLOOKUP(C2078,'TB Apr 24'!$B$13:$AJ$103,35,0)</f>
        <v>135614.772</v>
      </c>
    </row>
    <row r="2079" spans="1:8" x14ac:dyDescent="0.35">
      <c r="A2079" s="77">
        <v>45383</v>
      </c>
      <c r="B2079" s="3" t="s">
        <v>140</v>
      </c>
      <c r="C2079" s="4" t="s">
        <v>141</v>
      </c>
      <c r="D2079" s="4" t="s">
        <v>314</v>
      </c>
      <c r="E2079" s="4" t="s">
        <v>268</v>
      </c>
      <c r="F2079" t="s">
        <v>233</v>
      </c>
      <c r="G2079" t="s">
        <v>217</v>
      </c>
      <c r="H2079">
        <f>VLOOKUP(C2079,'TB Apr 24'!$B$13:$AJ$103,35,0)</f>
        <v>239133.14809999999</v>
      </c>
    </row>
    <row r="2080" spans="1:8" x14ac:dyDescent="0.35">
      <c r="A2080" s="77">
        <v>45383</v>
      </c>
      <c r="B2080" s="3" t="s">
        <v>142</v>
      </c>
      <c r="C2080" s="4" t="s">
        <v>143</v>
      </c>
      <c r="D2080" s="4" t="s">
        <v>314</v>
      </c>
      <c r="E2080" s="4" t="s">
        <v>269</v>
      </c>
      <c r="F2080" t="s">
        <v>233</v>
      </c>
      <c r="G2080" t="s">
        <v>217</v>
      </c>
      <c r="H2080">
        <f>VLOOKUP(C2080,'TB Apr 24'!$B$13:$AJ$103,35,0)</f>
        <v>69448</v>
      </c>
    </row>
    <row r="2081" spans="1:8" x14ac:dyDescent="0.35">
      <c r="A2081" s="77">
        <v>45383</v>
      </c>
      <c r="B2081" s="3" t="s">
        <v>144</v>
      </c>
      <c r="C2081" s="4" t="s">
        <v>145</v>
      </c>
      <c r="D2081" s="4" t="s">
        <v>314</v>
      </c>
      <c r="E2081" s="4" t="s">
        <v>288</v>
      </c>
      <c r="F2081" t="s">
        <v>233</v>
      </c>
      <c r="G2081" t="s">
        <v>217</v>
      </c>
      <c r="H2081">
        <f>VLOOKUP(C2081,'TB Apr 24'!$B$13:$AJ$103,35,0)</f>
        <v>0</v>
      </c>
    </row>
    <row r="2082" spans="1:8" x14ac:dyDescent="0.35">
      <c r="A2082" s="77">
        <v>45383</v>
      </c>
      <c r="B2082" s="3" t="s">
        <v>146</v>
      </c>
      <c r="C2082" s="4" t="s">
        <v>147</v>
      </c>
      <c r="D2082" s="4" t="s">
        <v>314</v>
      </c>
      <c r="E2082" s="4" t="s">
        <v>288</v>
      </c>
      <c r="F2082" t="s">
        <v>233</v>
      </c>
      <c r="G2082" t="s">
        <v>217</v>
      </c>
      <c r="H2082">
        <f>VLOOKUP(C2082,'TB Apr 24'!$B$13:$AJ$103,35,0)</f>
        <v>69537</v>
      </c>
    </row>
    <row r="2083" spans="1:8" x14ac:dyDescent="0.35">
      <c r="A2083" s="77">
        <v>45383</v>
      </c>
      <c r="B2083" s="3" t="s">
        <v>148</v>
      </c>
      <c r="C2083" s="4" t="s">
        <v>149</v>
      </c>
      <c r="D2083" s="4" t="s">
        <v>314</v>
      </c>
      <c r="E2083" s="4" t="s">
        <v>287</v>
      </c>
      <c r="F2083" t="s">
        <v>233</v>
      </c>
      <c r="G2083" t="s">
        <v>217</v>
      </c>
      <c r="H2083">
        <f>VLOOKUP(C2083,'TB Apr 24'!$B$13:$AJ$103,35,0)</f>
        <v>0</v>
      </c>
    </row>
    <row r="2084" spans="1:8" x14ac:dyDescent="0.35">
      <c r="A2084" s="77">
        <v>45383</v>
      </c>
      <c r="B2084" s="3" t="s">
        <v>150</v>
      </c>
      <c r="C2084" s="4" t="s">
        <v>87</v>
      </c>
      <c r="D2084" s="4" t="s">
        <v>314</v>
      </c>
      <c r="E2084" s="4" t="s">
        <v>288</v>
      </c>
      <c r="F2084" t="s">
        <v>233</v>
      </c>
      <c r="G2084" t="s">
        <v>217</v>
      </c>
      <c r="H2084">
        <f>VLOOKUP(C2084,'TB Apr 24'!$B$13:$AJ$103,35,0)</f>
        <v>0</v>
      </c>
    </row>
    <row r="2085" spans="1:8" x14ac:dyDescent="0.35">
      <c r="A2085" s="77">
        <v>45383</v>
      </c>
      <c r="B2085" s="3" t="s">
        <v>151</v>
      </c>
      <c r="C2085" s="4" t="s">
        <v>152</v>
      </c>
      <c r="D2085" s="4" t="s">
        <v>314</v>
      </c>
      <c r="E2085" s="4" t="s">
        <v>288</v>
      </c>
      <c r="F2085" t="s">
        <v>233</v>
      </c>
      <c r="G2085" t="s">
        <v>217</v>
      </c>
      <c r="H2085">
        <f>VLOOKUP(C2085,'TB Apr 24'!$B$13:$AJ$103,35,0)</f>
        <v>0</v>
      </c>
    </row>
    <row r="2086" spans="1:8" x14ac:dyDescent="0.35">
      <c r="A2086" s="77">
        <v>45383</v>
      </c>
      <c r="B2086" s="3" t="s">
        <v>153</v>
      </c>
      <c r="C2086" s="4" t="s">
        <v>154</v>
      </c>
      <c r="D2086" s="4" t="s">
        <v>314</v>
      </c>
      <c r="E2086" s="4" t="s">
        <v>288</v>
      </c>
      <c r="F2086" t="s">
        <v>233</v>
      </c>
      <c r="G2086" t="s">
        <v>217</v>
      </c>
      <c r="H2086">
        <f>VLOOKUP(C2086,'TB Apr 24'!$B$13:$AJ$103,35,0)</f>
        <v>0</v>
      </c>
    </row>
    <row r="2087" spans="1:8" x14ac:dyDescent="0.35">
      <c r="A2087" s="77">
        <v>45383</v>
      </c>
      <c r="B2087" s="3" t="s">
        <v>155</v>
      </c>
      <c r="C2087" s="4" t="s">
        <v>156</v>
      </c>
      <c r="D2087" s="4" t="s">
        <v>314</v>
      </c>
      <c r="E2087" s="4" t="s">
        <v>288</v>
      </c>
      <c r="F2087" t="s">
        <v>233</v>
      </c>
      <c r="G2087" t="s">
        <v>217</v>
      </c>
      <c r="H2087">
        <f>VLOOKUP(C2087,'TB Apr 24'!$B$13:$AJ$103,35,0)</f>
        <v>0</v>
      </c>
    </row>
    <row r="2088" spans="1:8" x14ac:dyDescent="0.35">
      <c r="A2088" s="77">
        <v>45383</v>
      </c>
      <c r="B2088" s="3" t="s">
        <v>157</v>
      </c>
      <c r="C2088" s="4" t="s">
        <v>158</v>
      </c>
      <c r="D2088" s="4" t="s">
        <v>314</v>
      </c>
      <c r="E2088" s="4" t="s">
        <v>292</v>
      </c>
      <c r="F2088" t="s">
        <v>233</v>
      </c>
      <c r="G2088" t="s">
        <v>217</v>
      </c>
      <c r="H2088">
        <f>VLOOKUP(C2088,'TB Apr 24'!$B$13:$AJ$103,35,0)</f>
        <v>4290.2</v>
      </c>
    </row>
    <row r="2089" spans="1:8" x14ac:dyDescent="0.35">
      <c r="A2089" s="77">
        <v>45383</v>
      </c>
      <c r="B2089" s="3" t="s">
        <v>159</v>
      </c>
      <c r="C2089" s="4" t="s">
        <v>160</v>
      </c>
      <c r="D2089" s="4" t="s">
        <v>314</v>
      </c>
      <c r="E2089" s="4" t="s">
        <v>323</v>
      </c>
      <c r="F2089" t="s">
        <v>233</v>
      </c>
      <c r="G2089" t="s">
        <v>217</v>
      </c>
      <c r="H2089">
        <f>VLOOKUP(C2089,'TB Apr 24'!$B$13:$AJ$103,35,0)</f>
        <v>3400</v>
      </c>
    </row>
    <row r="2090" spans="1:8" x14ac:dyDescent="0.35">
      <c r="A2090" s="77">
        <v>45383</v>
      </c>
      <c r="B2090" s="3" t="s">
        <v>161</v>
      </c>
      <c r="C2090" s="4" t="s">
        <v>162</v>
      </c>
      <c r="D2090" s="4" t="s">
        <v>314</v>
      </c>
      <c r="E2090" s="4" t="s">
        <v>323</v>
      </c>
      <c r="F2090" t="s">
        <v>233</v>
      </c>
      <c r="G2090" t="s">
        <v>217</v>
      </c>
      <c r="H2090">
        <f>VLOOKUP(C2090,'TB Apr 24'!$B$13:$AJ$103,35,0)</f>
        <v>0</v>
      </c>
    </row>
    <row r="2091" spans="1:8" x14ac:dyDescent="0.35">
      <c r="A2091" s="77">
        <v>45383</v>
      </c>
      <c r="B2091" s="3" t="s">
        <v>163</v>
      </c>
      <c r="C2091" s="4" t="s">
        <v>164</v>
      </c>
      <c r="D2091" s="4" t="s">
        <v>314</v>
      </c>
      <c r="E2091" s="4" t="s">
        <v>319</v>
      </c>
      <c r="F2091" t="s">
        <v>233</v>
      </c>
      <c r="G2091" t="s">
        <v>217</v>
      </c>
      <c r="H2091">
        <f>VLOOKUP(C2091,'TB Apr 24'!$B$13:$AJ$103,35,0)</f>
        <v>2000</v>
      </c>
    </row>
    <row r="2092" spans="1:8" x14ac:dyDescent="0.35">
      <c r="A2092" s="77">
        <v>45383</v>
      </c>
      <c r="B2092" s="3" t="s">
        <v>165</v>
      </c>
      <c r="C2092" s="4" t="s">
        <v>166</v>
      </c>
      <c r="D2092" s="4" t="s">
        <v>314</v>
      </c>
      <c r="E2092" s="4" t="s">
        <v>304</v>
      </c>
      <c r="F2092" t="s">
        <v>233</v>
      </c>
      <c r="G2092" t="s">
        <v>217</v>
      </c>
      <c r="H2092">
        <f>VLOOKUP(C2092,'TB Apr 24'!$B$13:$AJ$103,35,0)</f>
        <v>126381</v>
      </c>
    </row>
    <row r="2093" spans="1:8" x14ac:dyDescent="0.35">
      <c r="A2093" s="77">
        <v>45383</v>
      </c>
      <c r="B2093" s="3" t="s">
        <v>167</v>
      </c>
      <c r="C2093" s="4" t="s">
        <v>168</v>
      </c>
      <c r="D2093" s="4" t="s">
        <v>314</v>
      </c>
      <c r="E2093" s="4" t="s">
        <v>322</v>
      </c>
      <c r="F2093" t="s">
        <v>233</v>
      </c>
      <c r="G2093" t="s">
        <v>217</v>
      </c>
      <c r="H2093">
        <f>VLOOKUP(C2093,'TB Apr 24'!$B$13:$AJ$103,35,0)</f>
        <v>0</v>
      </c>
    </row>
    <row r="2094" spans="1:8" x14ac:dyDescent="0.35">
      <c r="A2094" s="77">
        <v>45383</v>
      </c>
      <c r="B2094" s="3" t="s">
        <v>169</v>
      </c>
      <c r="C2094" s="4" t="s">
        <v>170</v>
      </c>
      <c r="D2094" s="4" t="s">
        <v>314</v>
      </c>
      <c r="E2094" s="4" t="s">
        <v>304</v>
      </c>
      <c r="F2094" t="s">
        <v>233</v>
      </c>
      <c r="G2094" t="s">
        <v>217</v>
      </c>
      <c r="H2094">
        <f>VLOOKUP(C2094,'TB Apr 24'!$B$13:$AJ$103,35,0)</f>
        <v>27259</v>
      </c>
    </row>
    <row r="2095" spans="1:8" x14ac:dyDescent="0.35">
      <c r="A2095" s="77">
        <v>45383</v>
      </c>
      <c r="B2095" s="3" t="s">
        <v>171</v>
      </c>
      <c r="C2095" s="4" t="s">
        <v>172</v>
      </c>
      <c r="D2095" s="4" t="s">
        <v>314</v>
      </c>
      <c r="E2095" s="4" t="s">
        <v>303</v>
      </c>
      <c r="F2095" t="s">
        <v>233</v>
      </c>
      <c r="G2095" t="s">
        <v>217</v>
      </c>
      <c r="H2095">
        <f>VLOOKUP(C2095,'TB Apr 24'!$B$13:$AJ$103,35,0)</f>
        <v>0</v>
      </c>
    </row>
    <row r="2096" spans="1:8" x14ac:dyDescent="0.35">
      <c r="A2096" s="77">
        <v>45383</v>
      </c>
      <c r="B2096" s="3" t="s">
        <v>173</v>
      </c>
      <c r="C2096" s="4" t="s">
        <v>174</v>
      </c>
      <c r="D2096" s="4" t="s">
        <v>314</v>
      </c>
      <c r="E2096" s="4" t="s">
        <v>257</v>
      </c>
      <c r="F2096" t="s">
        <v>233</v>
      </c>
      <c r="G2096" t="s">
        <v>217</v>
      </c>
      <c r="H2096">
        <f>VLOOKUP(C2096,'TB Apr 24'!$B$13:$AJ$103,35,0)</f>
        <v>0</v>
      </c>
    </row>
    <row r="2097" spans="1:8" x14ac:dyDescent="0.35">
      <c r="A2097" s="77">
        <v>45383</v>
      </c>
      <c r="B2097" s="3" t="s">
        <v>175</v>
      </c>
      <c r="C2097" s="4" t="s">
        <v>176</v>
      </c>
      <c r="D2097" s="4" t="s">
        <v>314</v>
      </c>
      <c r="E2097" s="4" t="s">
        <v>257</v>
      </c>
      <c r="F2097" t="s">
        <v>233</v>
      </c>
      <c r="G2097" t="s">
        <v>217</v>
      </c>
      <c r="H2097">
        <f>VLOOKUP(C2097,'TB Apr 24'!$B$13:$AJ$103,35,0)</f>
        <v>0</v>
      </c>
    </row>
    <row r="2098" spans="1:8" x14ac:dyDescent="0.35">
      <c r="A2098" s="77">
        <v>45383</v>
      </c>
      <c r="B2098" s="3" t="s">
        <v>177</v>
      </c>
      <c r="C2098" s="4" t="s">
        <v>178</v>
      </c>
      <c r="D2098" s="4" t="s">
        <v>314</v>
      </c>
      <c r="E2098" s="4" t="s">
        <v>257</v>
      </c>
      <c r="F2098" t="s">
        <v>233</v>
      </c>
      <c r="G2098" t="s">
        <v>217</v>
      </c>
      <c r="H2098">
        <f>VLOOKUP(C2098,'TB Apr 24'!$B$13:$AJ$103,35,0)</f>
        <v>0</v>
      </c>
    </row>
    <row r="2099" spans="1:8" x14ac:dyDescent="0.35">
      <c r="A2099" s="77">
        <v>45383</v>
      </c>
      <c r="B2099" s="3" t="s">
        <v>179</v>
      </c>
      <c r="C2099" s="4" t="s">
        <v>180</v>
      </c>
      <c r="D2099" s="4" t="s">
        <v>314</v>
      </c>
      <c r="E2099" s="4" t="s">
        <v>322</v>
      </c>
      <c r="F2099" t="s">
        <v>233</v>
      </c>
      <c r="G2099" t="s">
        <v>217</v>
      </c>
      <c r="H2099">
        <f>VLOOKUP(C2099,'TB Apr 24'!$B$13:$AJ$103,35,0)</f>
        <v>0</v>
      </c>
    </row>
    <row r="2100" spans="1:8" x14ac:dyDescent="0.35">
      <c r="A2100" s="77">
        <v>45383</v>
      </c>
      <c r="B2100" s="3" t="s">
        <v>181</v>
      </c>
      <c r="C2100" s="4" t="s">
        <v>182</v>
      </c>
      <c r="D2100" s="4" t="s">
        <v>314</v>
      </c>
      <c r="E2100" s="4" t="s">
        <v>290</v>
      </c>
      <c r="F2100" t="s">
        <v>233</v>
      </c>
      <c r="G2100" t="s">
        <v>217</v>
      </c>
      <c r="H2100">
        <f>VLOOKUP(C2100,'TB Apr 24'!$B$13:$AJ$103,35,0)</f>
        <v>0</v>
      </c>
    </row>
    <row r="2101" spans="1:8" x14ac:dyDescent="0.35">
      <c r="A2101" s="77">
        <v>45383</v>
      </c>
      <c r="B2101" s="3" t="s">
        <v>183</v>
      </c>
      <c r="C2101" s="4" t="s">
        <v>184</v>
      </c>
      <c r="D2101" s="4" t="s">
        <v>314</v>
      </c>
      <c r="E2101" s="4" t="s">
        <v>290</v>
      </c>
      <c r="F2101" t="s">
        <v>233</v>
      </c>
      <c r="G2101" t="s">
        <v>217</v>
      </c>
      <c r="H2101">
        <f>VLOOKUP(C2101,'TB Apr 24'!$B$13:$AJ$103,35,0)</f>
        <v>0</v>
      </c>
    </row>
    <row r="2102" spans="1:8" x14ac:dyDescent="0.35">
      <c r="A2102" s="77">
        <v>45383</v>
      </c>
      <c r="B2102" s="3" t="s">
        <v>185</v>
      </c>
      <c r="C2102" s="4" t="s">
        <v>186</v>
      </c>
      <c r="D2102" s="4" t="s">
        <v>314</v>
      </c>
      <c r="E2102" s="4" t="s">
        <v>290</v>
      </c>
      <c r="F2102" t="s">
        <v>233</v>
      </c>
      <c r="G2102" t="s">
        <v>217</v>
      </c>
      <c r="H2102">
        <f>VLOOKUP(C2102,'TB Apr 24'!$B$13:$AJ$103,35,0)</f>
        <v>101390</v>
      </c>
    </row>
    <row r="2103" spans="1:8" x14ac:dyDescent="0.35">
      <c r="A2103" s="77">
        <v>45383</v>
      </c>
      <c r="B2103" s="3" t="s">
        <v>187</v>
      </c>
      <c r="C2103" s="4" t="s">
        <v>188</v>
      </c>
      <c r="D2103" s="4" t="s">
        <v>314</v>
      </c>
      <c r="E2103" s="4" t="s">
        <v>291</v>
      </c>
      <c r="F2103" t="s">
        <v>233</v>
      </c>
      <c r="G2103" t="s">
        <v>217</v>
      </c>
      <c r="H2103">
        <f>VLOOKUP(C2103,'TB Apr 24'!$B$13:$AJ$103,35,0)</f>
        <v>37480</v>
      </c>
    </row>
    <row r="2104" spans="1:8" x14ac:dyDescent="0.35">
      <c r="A2104" s="77">
        <v>45383</v>
      </c>
      <c r="B2104" s="3" t="s">
        <v>189</v>
      </c>
      <c r="C2104" s="4" t="s">
        <v>190</v>
      </c>
      <c r="D2104" s="4" t="s">
        <v>314</v>
      </c>
      <c r="E2104" s="4" t="s">
        <v>254</v>
      </c>
      <c r="F2104" t="s">
        <v>233</v>
      </c>
      <c r="G2104" t="s">
        <v>217</v>
      </c>
      <c r="H2104">
        <f>VLOOKUP(C2104,'TB Apr 24'!$B$13:$AJ$103,35,0)</f>
        <v>0</v>
      </c>
    </row>
    <row r="2105" spans="1:8" x14ac:dyDescent="0.35">
      <c r="A2105" s="77">
        <v>45383</v>
      </c>
      <c r="B2105" s="3" t="s">
        <v>191</v>
      </c>
      <c r="C2105" s="4" t="s">
        <v>192</v>
      </c>
      <c r="D2105" s="4" t="s">
        <v>314</v>
      </c>
      <c r="E2105" s="4" t="s">
        <v>254</v>
      </c>
      <c r="F2105" t="s">
        <v>233</v>
      </c>
      <c r="G2105" t="s">
        <v>217</v>
      </c>
      <c r="H2105">
        <f>VLOOKUP(C2105,'TB Apr 24'!$B$13:$AJ$103,35,0)</f>
        <v>0</v>
      </c>
    </row>
    <row r="2106" spans="1:8" x14ac:dyDescent="0.35">
      <c r="A2106" s="77">
        <v>45383</v>
      </c>
      <c r="B2106" s="3" t="s">
        <v>193</v>
      </c>
      <c r="C2106" s="4" t="s">
        <v>194</v>
      </c>
      <c r="D2106" s="4" t="s">
        <v>314</v>
      </c>
      <c r="E2106" s="4" t="s">
        <v>254</v>
      </c>
      <c r="F2106" t="s">
        <v>233</v>
      </c>
      <c r="G2106" t="s">
        <v>217</v>
      </c>
      <c r="H2106">
        <f>VLOOKUP(C2106,'TB Apr 24'!$B$13:$AJ$103,35,0)</f>
        <v>842393.92592045874</v>
      </c>
    </row>
    <row r="2107" spans="1:8" x14ac:dyDescent="0.35">
      <c r="A2107" s="77">
        <v>45383</v>
      </c>
      <c r="B2107" s="3" t="s">
        <v>195</v>
      </c>
      <c r="C2107" s="4" t="s">
        <v>196</v>
      </c>
      <c r="D2107" s="4" t="s">
        <v>314</v>
      </c>
      <c r="E2107" s="4" t="s">
        <v>255</v>
      </c>
      <c r="F2107" t="s">
        <v>233</v>
      </c>
      <c r="G2107" t="s">
        <v>217</v>
      </c>
      <c r="H2107">
        <f>VLOOKUP(C2107,'TB Apr 24'!$B$13:$AJ$103,35,0)</f>
        <v>0</v>
      </c>
    </row>
    <row r="2108" spans="1:8" x14ac:dyDescent="0.35">
      <c r="A2108" s="77">
        <v>45383</v>
      </c>
      <c r="B2108" s="3" t="s">
        <v>197</v>
      </c>
      <c r="C2108" s="4" t="s">
        <v>198</v>
      </c>
      <c r="D2108" s="4" t="s">
        <v>314</v>
      </c>
      <c r="E2108" s="4" t="s">
        <v>255</v>
      </c>
      <c r="F2108" t="s">
        <v>233</v>
      </c>
      <c r="G2108" t="s">
        <v>217</v>
      </c>
      <c r="H2108">
        <f>VLOOKUP(C2108,'TB Apr 24'!$B$13:$AJ$103,35,0)</f>
        <v>0</v>
      </c>
    </row>
    <row r="2109" spans="1:8" x14ac:dyDescent="0.35">
      <c r="A2109" s="77">
        <v>45383</v>
      </c>
      <c r="B2109" s="3" t="s">
        <v>199</v>
      </c>
      <c r="C2109" s="4" t="s">
        <v>200</v>
      </c>
      <c r="D2109" s="4" t="s">
        <v>314</v>
      </c>
      <c r="E2109" s="4" t="s">
        <v>254</v>
      </c>
      <c r="F2109" t="s">
        <v>233</v>
      </c>
      <c r="G2109" t="s">
        <v>217</v>
      </c>
      <c r="H2109">
        <f>VLOOKUP(C2109,'TB Apr 24'!$B$13:$AJ$103,35,0)</f>
        <v>0</v>
      </c>
    </row>
    <row r="2110" spans="1:8" x14ac:dyDescent="0.35">
      <c r="A2110" s="77">
        <v>45383</v>
      </c>
      <c r="B2110" s="3" t="s">
        <v>201</v>
      </c>
      <c r="C2110" s="4" t="s">
        <v>202</v>
      </c>
      <c r="D2110" s="4" t="s">
        <v>314</v>
      </c>
      <c r="E2110" s="4" t="s">
        <v>254</v>
      </c>
      <c r="F2110" t="s">
        <v>233</v>
      </c>
      <c r="G2110" t="s">
        <v>217</v>
      </c>
      <c r="H2110">
        <f>VLOOKUP(C2110,'TB Apr 24'!$B$13:$AJ$103,35,0)</f>
        <v>0</v>
      </c>
    </row>
    <row r="2111" spans="1:8" x14ac:dyDescent="0.35">
      <c r="A2111" s="77">
        <v>45383</v>
      </c>
      <c r="B2111" s="3" t="s">
        <v>203</v>
      </c>
      <c r="C2111" s="4" t="s">
        <v>204</v>
      </c>
      <c r="D2111" s="4" t="s">
        <v>314</v>
      </c>
      <c r="E2111" s="4" t="s">
        <v>256</v>
      </c>
      <c r="F2111" t="s">
        <v>233</v>
      </c>
      <c r="G2111" t="s">
        <v>217</v>
      </c>
      <c r="H2111">
        <f>VLOOKUP(C2111,'TB Apr 24'!$B$13:$AJ$103,35,0)</f>
        <v>8104.1399999999994</v>
      </c>
    </row>
    <row r="2112" spans="1:8" x14ac:dyDescent="0.35">
      <c r="A2112" s="77">
        <v>45383</v>
      </c>
      <c r="B2112" s="3" t="s">
        <v>205</v>
      </c>
      <c r="C2112" s="6" t="s">
        <v>206</v>
      </c>
      <c r="D2112" s="4" t="s">
        <v>314</v>
      </c>
      <c r="E2112" s="6" t="s">
        <v>322</v>
      </c>
      <c r="F2112" s="79" t="s">
        <v>233</v>
      </c>
      <c r="G2112" s="79" t="s">
        <v>217</v>
      </c>
      <c r="H2112" s="79">
        <f>VLOOKUP(C2112,'TB Apr 24'!$B$13:$AJ$103,35,0)</f>
        <v>0</v>
      </c>
    </row>
    <row r="2113" spans="1:8" x14ac:dyDescent="0.35">
      <c r="A2113" s="77">
        <v>45383</v>
      </c>
      <c r="B2113" s="3" t="s">
        <v>57</v>
      </c>
      <c r="C2113" s="4" t="s">
        <v>58</v>
      </c>
      <c r="D2113" s="4" t="s">
        <v>314</v>
      </c>
      <c r="E2113" s="4" t="s">
        <v>253</v>
      </c>
      <c r="F2113" t="s">
        <v>233</v>
      </c>
      <c r="G2113" t="s">
        <v>221</v>
      </c>
      <c r="H2113">
        <f>VLOOKUP(C2113,'TB Apr 24'!$B$13:$AN$103,39,0)</f>
        <v>0</v>
      </c>
    </row>
    <row r="2114" spans="1:8" x14ac:dyDescent="0.35">
      <c r="A2114" s="77">
        <v>45383</v>
      </c>
      <c r="B2114" s="3" t="s">
        <v>307</v>
      </c>
      <c r="C2114" s="4" t="s">
        <v>308</v>
      </c>
      <c r="D2114" s="4" t="s">
        <v>314</v>
      </c>
      <c r="E2114" s="4" t="s">
        <v>253</v>
      </c>
      <c r="F2114" t="s">
        <v>233</v>
      </c>
      <c r="G2114" t="s">
        <v>221</v>
      </c>
      <c r="H2114">
        <f>VLOOKUP(C2114,'TB Apr 24'!$B$13:$AN$103,39,0)</f>
        <v>0</v>
      </c>
    </row>
    <row r="2115" spans="1:8" x14ac:dyDescent="0.35">
      <c r="A2115" s="77">
        <v>45383</v>
      </c>
      <c r="B2115" s="3" t="s">
        <v>59</v>
      </c>
      <c r="C2115" s="4" t="s">
        <v>60</v>
      </c>
      <c r="D2115" s="4" t="s">
        <v>314</v>
      </c>
      <c r="E2115" s="4" t="s">
        <v>253</v>
      </c>
      <c r="F2115" t="s">
        <v>233</v>
      </c>
      <c r="G2115" t="s">
        <v>221</v>
      </c>
      <c r="H2115">
        <f>VLOOKUP(C2115,'TB Apr 24'!$B$13:$AN$103,39,0)</f>
        <v>0</v>
      </c>
    </row>
    <row r="2116" spans="1:8" x14ac:dyDescent="0.35">
      <c r="A2116" s="77">
        <v>45383</v>
      </c>
      <c r="B2116" s="3" t="s">
        <v>61</v>
      </c>
      <c r="C2116" s="4" t="s">
        <v>62</v>
      </c>
      <c r="D2116" s="4" t="s">
        <v>314</v>
      </c>
      <c r="E2116" s="4" t="s">
        <v>66</v>
      </c>
      <c r="F2116" t="s">
        <v>233</v>
      </c>
      <c r="G2116" t="s">
        <v>221</v>
      </c>
      <c r="H2116">
        <f>VLOOKUP(C2116,'TB Apr 24'!$B$13:$AN$103,39,0)</f>
        <v>0</v>
      </c>
    </row>
    <row r="2117" spans="1:8" x14ac:dyDescent="0.35">
      <c r="A2117" s="77">
        <v>45383</v>
      </c>
      <c r="B2117" s="3" t="s">
        <v>63</v>
      </c>
      <c r="C2117" s="4" t="s">
        <v>64</v>
      </c>
      <c r="D2117" s="4" t="s">
        <v>314</v>
      </c>
      <c r="E2117" s="4" t="s">
        <v>252</v>
      </c>
      <c r="F2117" t="s">
        <v>233</v>
      </c>
      <c r="G2117" t="s">
        <v>221</v>
      </c>
      <c r="H2117">
        <f>VLOOKUP(C2117,'TB Apr 24'!$B$13:$AN$103,39,0)</f>
        <v>0</v>
      </c>
    </row>
    <row r="2118" spans="1:8" x14ac:dyDescent="0.35">
      <c r="A2118" s="77">
        <v>45383</v>
      </c>
      <c r="B2118" s="3" t="s">
        <v>65</v>
      </c>
      <c r="C2118" s="4" t="s">
        <v>66</v>
      </c>
      <c r="D2118" s="4" t="s">
        <v>314</v>
      </c>
      <c r="E2118" s="4" t="s">
        <v>66</v>
      </c>
      <c r="F2118" t="s">
        <v>233</v>
      </c>
      <c r="G2118" t="s">
        <v>221</v>
      </c>
      <c r="H2118">
        <f>VLOOKUP(C2118,'TB Apr 24'!$B$13:$AN$103,39,0)</f>
        <v>0</v>
      </c>
    </row>
    <row r="2119" spans="1:8" x14ac:dyDescent="0.35">
      <c r="A2119" s="77">
        <v>45383</v>
      </c>
      <c r="B2119" s="3" t="s">
        <v>67</v>
      </c>
      <c r="C2119" s="4" t="s">
        <v>68</v>
      </c>
      <c r="D2119" s="4" t="s">
        <v>314</v>
      </c>
      <c r="E2119" s="4" t="s">
        <v>252</v>
      </c>
      <c r="F2119" t="s">
        <v>233</v>
      </c>
      <c r="G2119" t="s">
        <v>221</v>
      </c>
      <c r="H2119">
        <f>VLOOKUP(C2119,'TB Apr 24'!$B$13:$AN$103,39,0)</f>
        <v>0</v>
      </c>
    </row>
    <row r="2120" spans="1:8" x14ac:dyDescent="0.35">
      <c r="A2120" s="77">
        <v>45383</v>
      </c>
      <c r="B2120" s="3" t="s">
        <v>69</v>
      </c>
      <c r="C2120" s="4" t="s">
        <v>70</v>
      </c>
      <c r="D2120" s="4" t="s">
        <v>314</v>
      </c>
      <c r="E2120" s="4" t="s">
        <v>70</v>
      </c>
      <c r="F2120" t="s">
        <v>233</v>
      </c>
      <c r="G2120" t="s">
        <v>221</v>
      </c>
      <c r="H2120">
        <f>VLOOKUP(C2120,'TB Apr 24'!$B$13:$AN$103,39,0)</f>
        <v>0</v>
      </c>
    </row>
    <row r="2121" spans="1:8" x14ac:dyDescent="0.35">
      <c r="A2121" s="77">
        <v>45383</v>
      </c>
      <c r="B2121" s="3" t="s">
        <v>71</v>
      </c>
      <c r="C2121" s="4" t="s">
        <v>72</v>
      </c>
      <c r="D2121" s="4" t="s">
        <v>314</v>
      </c>
      <c r="E2121" s="4" t="s">
        <v>253</v>
      </c>
      <c r="F2121" t="s">
        <v>233</v>
      </c>
      <c r="G2121" t="s">
        <v>221</v>
      </c>
      <c r="H2121">
        <f>VLOOKUP(C2121,'TB Apr 24'!$B$13:$AN$103,39,0)</f>
        <v>0</v>
      </c>
    </row>
    <row r="2122" spans="1:8" x14ac:dyDescent="0.35">
      <c r="A2122" s="77">
        <v>45383</v>
      </c>
      <c r="B2122" s="3" t="s">
        <v>73</v>
      </c>
      <c r="C2122" s="4" t="s">
        <v>74</v>
      </c>
      <c r="D2122" s="4" t="s">
        <v>314</v>
      </c>
      <c r="E2122" s="4" t="s">
        <v>253</v>
      </c>
      <c r="F2122" t="s">
        <v>233</v>
      </c>
      <c r="G2122" t="s">
        <v>221</v>
      </c>
      <c r="H2122">
        <f>VLOOKUP(C2122,'TB Apr 24'!$B$13:$AN$103,39,0)</f>
        <v>0</v>
      </c>
    </row>
    <row r="2123" spans="1:8" x14ac:dyDescent="0.35">
      <c r="A2123" s="77">
        <v>45383</v>
      </c>
      <c r="B2123" s="3" t="s">
        <v>75</v>
      </c>
      <c r="C2123" s="4" t="s">
        <v>76</v>
      </c>
      <c r="D2123" s="4" t="s">
        <v>314</v>
      </c>
      <c r="E2123" s="4" t="s">
        <v>253</v>
      </c>
      <c r="F2123" t="s">
        <v>233</v>
      </c>
      <c r="G2123" t="s">
        <v>221</v>
      </c>
      <c r="H2123">
        <f>VLOOKUP(C2123,'TB Apr 24'!$B$13:$AN$103,39,0)</f>
        <v>0</v>
      </c>
    </row>
    <row r="2124" spans="1:8" x14ac:dyDescent="0.35">
      <c r="A2124" s="77">
        <v>45383</v>
      </c>
      <c r="B2124" s="3" t="s">
        <v>77</v>
      </c>
      <c r="C2124" s="4" t="s">
        <v>78</v>
      </c>
      <c r="D2124" s="4" t="s">
        <v>314</v>
      </c>
      <c r="E2124" s="4" t="s">
        <v>253</v>
      </c>
      <c r="F2124" t="s">
        <v>233</v>
      </c>
      <c r="G2124" t="s">
        <v>221</v>
      </c>
      <c r="H2124">
        <f>VLOOKUP(C2124,'TB Apr 24'!$B$13:$AN$103,39,0)</f>
        <v>0</v>
      </c>
    </row>
    <row r="2125" spans="1:8" x14ac:dyDescent="0.35">
      <c r="A2125" s="77">
        <v>45383</v>
      </c>
      <c r="B2125" s="3" t="s">
        <v>79</v>
      </c>
      <c r="C2125" s="4" t="s">
        <v>80</v>
      </c>
      <c r="D2125" s="4" t="s">
        <v>314</v>
      </c>
      <c r="E2125" s="4" t="s">
        <v>253</v>
      </c>
      <c r="F2125" t="s">
        <v>233</v>
      </c>
      <c r="G2125" t="s">
        <v>221</v>
      </c>
      <c r="H2125">
        <f>VLOOKUP(C2125,'TB Apr 24'!$B$13:$AN$103,39,0)</f>
        <v>0</v>
      </c>
    </row>
    <row r="2126" spans="1:8" x14ac:dyDescent="0.35">
      <c r="A2126" s="77">
        <v>45383</v>
      </c>
      <c r="B2126" s="3" t="s">
        <v>81</v>
      </c>
      <c r="C2126" s="4" t="s">
        <v>82</v>
      </c>
      <c r="D2126" s="4" t="s">
        <v>314</v>
      </c>
      <c r="E2126" s="4" t="s">
        <v>319</v>
      </c>
      <c r="F2126" t="s">
        <v>233</v>
      </c>
      <c r="G2126" t="s">
        <v>221</v>
      </c>
      <c r="H2126">
        <f>VLOOKUP(C2126,'TB Apr 24'!$B$13:$AN$103,39,0)</f>
        <v>0</v>
      </c>
    </row>
    <row r="2127" spans="1:8" x14ac:dyDescent="0.35">
      <c r="A2127" s="77">
        <v>45383</v>
      </c>
      <c r="B2127" s="3" t="s">
        <v>83</v>
      </c>
      <c r="C2127" s="4" t="s">
        <v>84</v>
      </c>
      <c r="D2127" s="4" t="s">
        <v>314</v>
      </c>
      <c r="E2127" s="4" t="s">
        <v>319</v>
      </c>
      <c r="F2127" t="s">
        <v>233</v>
      </c>
      <c r="G2127" t="s">
        <v>221</v>
      </c>
      <c r="H2127">
        <f>VLOOKUP(C2127,'TB Apr 24'!$B$13:$AN$103,39,0)</f>
        <v>0</v>
      </c>
    </row>
    <row r="2128" spans="1:8" x14ac:dyDescent="0.35">
      <c r="A2128" s="77">
        <v>45383</v>
      </c>
      <c r="B2128" s="3" t="s">
        <v>85</v>
      </c>
      <c r="C2128" s="4" t="s">
        <v>86</v>
      </c>
      <c r="D2128" s="4" t="s">
        <v>314</v>
      </c>
      <c r="E2128" s="4" t="s">
        <v>291</v>
      </c>
      <c r="F2128" t="s">
        <v>233</v>
      </c>
      <c r="G2128" t="s">
        <v>221</v>
      </c>
      <c r="H2128">
        <f>VLOOKUP(C2128,'TB Apr 24'!$B$13:$AN$103,39,0)</f>
        <v>0</v>
      </c>
    </row>
    <row r="2129" spans="1:8" x14ac:dyDescent="0.35">
      <c r="A2129" s="77">
        <v>45383</v>
      </c>
      <c r="B2129" s="3" t="s">
        <v>88</v>
      </c>
      <c r="C2129" s="4" t="s">
        <v>89</v>
      </c>
      <c r="D2129" s="4" t="s">
        <v>314</v>
      </c>
      <c r="E2129" s="4" t="s">
        <v>300</v>
      </c>
      <c r="F2129" t="s">
        <v>233</v>
      </c>
      <c r="G2129" t="s">
        <v>221</v>
      </c>
      <c r="H2129">
        <f>VLOOKUP(C2129,'TB Apr 24'!$B$13:$AN$103,39,0)</f>
        <v>0</v>
      </c>
    </row>
    <row r="2130" spans="1:8" x14ac:dyDescent="0.35">
      <c r="A2130" s="77">
        <v>45383</v>
      </c>
      <c r="B2130" s="3" t="s">
        <v>90</v>
      </c>
      <c r="C2130" s="4" t="s">
        <v>91</v>
      </c>
      <c r="D2130" s="4" t="s">
        <v>314</v>
      </c>
      <c r="E2130" s="4" t="s">
        <v>300</v>
      </c>
      <c r="F2130" t="s">
        <v>233</v>
      </c>
      <c r="G2130" t="s">
        <v>221</v>
      </c>
      <c r="H2130">
        <f>VLOOKUP(C2130,'TB Apr 24'!$B$13:$AN$103,39,0)</f>
        <v>0</v>
      </c>
    </row>
    <row r="2131" spans="1:8" x14ac:dyDescent="0.35">
      <c r="A2131" s="77">
        <v>45383</v>
      </c>
      <c r="B2131" s="3" t="s">
        <v>92</v>
      </c>
      <c r="C2131" s="4" t="s">
        <v>93</v>
      </c>
      <c r="D2131" s="4" t="s">
        <v>314</v>
      </c>
      <c r="E2131" s="4" t="s">
        <v>300</v>
      </c>
      <c r="F2131" t="s">
        <v>233</v>
      </c>
      <c r="G2131" t="s">
        <v>221</v>
      </c>
      <c r="H2131">
        <f>VLOOKUP(C2131,'TB Apr 24'!$B$13:$AN$103,39,0)</f>
        <v>0</v>
      </c>
    </row>
    <row r="2132" spans="1:8" x14ac:dyDescent="0.35">
      <c r="A2132" s="77">
        <v>45383</v>
      </c>
      <c r="B2132" s="3" t="s">
        <v>94</v>
      </c>
      <c r="C2132" s="4" t="s">
        <v>95</v>
      </c>
      <c r="D2132" s="4" t="s">
        <v>314</v>
      </c>
      <c r="E2132" s="4" t="s">
        <v>289</v>
      </c>
      <c r="F2132" t="s">
        <v>233</v>
      </c>
      <c r="G2132" t="s">
        <v>221</v>
      </c>
      <c r="H2132">
        <f>VLOOKUP(C2132,'TB Apr 24'!$B$13:$AN$103,39,0)</f>
        <v>0</v>
      </c>
    </row>
    <row r="2133" spans="1:8" x14ac:dyDescent="0.35">
      <c r="A2133" s="77">
        <v>45383</v>
      </c>
      <c r="B2133" s="3" t="s">
        <v>96</v>
      </c>
      <c r="C2133" s="4" t="s">
        <v>97</v>
      </c>
      <c r="D2133" s="4" t="s">
        <v>314</v>
      </c>
      <c r="E2133" s="4" t="s">
        <v>289</v>
      </c>
      <c r="F2133" t="s">
        <v>233</v>
      </c>
      <c r="G2133" t="s">
        <v>221</v>
      </c>
      <c r="H2133">
        <f>VLOOKUP(C2133,'TB Apr 24'!$B$13:$AN$103,39,0)</f>
        <v>0</v>
      </c>
    </row>
    <row r="2134" spans="1:8" x14ac:dyDescent="0.35">
      <c r="A2134" s="77">
        <v>45383</v>
      </c>
      <c r="B2134" s="3" t="s">
        <v>309</v>
      </c>
      <c r="C2134" s="4" t="s">
        <v>310</v>
      </c>
      <c r="D2134" s="4" t="s">
        <v>314</v>
      </c>
      <c r="E2134" s="4" t="s">
        <v>289</v>
      </c>
      <c r="F2134" t="s">
        <v>233</v>
      </c>
      <c r="G2134" t="s">
        <v>221</v>
      </c>
      <c r="H2134">
        <f>VLOOKUP(C2134,'TB Apr 24'!$B$13:$AN$103,39,0)</f>
        <v>0</v>
      </c>
    </row>
    <row r="2135" spans="1:8" x14ac:dyDescent="0.35">
      <c r="A2135" s="77">
        <v>45383</v>
      </c>
      <c r="B2135" s="3" t="s">
        <v>98</v>
      </c>
      <c r="C2135" s="4" t="s">
        <v>99</v>
      </c>
      <c r="D2135" s="4" t="s">
        <v>314</v>
      </c>
      <c r="E2135" s="4" t="s">
        <v>289</v>
      </c>
      <c r="F2135" t="s">
        <v>233</v>
      </c>
      <c r="G2135" t="s">
        <v>221</v>
      </c>
      <c r="H2135">
        <f>VLOOKUP(C2135,'TB Apr 24'!$B$13:$AN$103,39,0)</f>
        <v>0</v>
      </c>
    </row>
    <row r="2136" spans="1:8" x14ac:dyDescent="0.35">
      <c r="A2136" s="77">
        <v>45383</v>
      </c>
      <c r="B2136" s="3" t="s">
        <v>100</v>
      </c>
      <c r="C2136" s="4" t="s">
        <v>101</v>
      </c>
      <c r="D2136" s="4" t="s">
        <v>314</v>
      </c>
      <c r="E2136" s="4" t="s">
        <v>291</v>
      </c>
      <c r="F2136" t="s">
        <v>233</v>
      </c>
      <c r="G2136" t="s">
        <v>221</v>
      </c>
      <c r="H2136">
        <f>VLOOKUP(C2136,'TB Apr 24'!$B$13:$AN$103,39,0)</f>
        <v>0</v>
      </c>
    </row>
    <row r="2137" spans="1:8" x14ac:dyDescent="0.35">
      <c r="A2137" s="77">
        <v>45383</v>
      </c>
      <c r="B2137" s="3" t="s">
        <v>102</v>
      </c>
      <c r="C2137" s="4" t="s">
        <v>103</v>
      </c>
      <c r="D2137" s="4" t="s">
        <v>314</v>
      </c>
      <c r="E2137" s="4" t="s">
        <v>291</v>
      </c>
      <c r="F2137" t="s">
        <v>233</v>
      </c>
      <c r="G2137" t="s">
        <v>221</v>
      </c>
      <c r="H2137">
        <f>VLOOKUP(C2137,'TB Apr 24'!$B$13:$AN$103,39,0)</f>
        <v>0</v>
      </c>
    </row>
    <row r="2138" spans="1:8" x14ac:dyDescent="0.35">
      <c r="A2138" s="77">
        <v>45383</v>
      </c>
      <c r="B2138" s="3" t="s">
        <v>104</v>
      </c>
      <c r="C2138" s="4" t="s">
        <v>105</v>
      </c>
      <c r="D2138" s="4" t="s">
        <v>314</v>
      </c>
      <c r="E2138" s="4" t="s">
        <v>291</v>
      </c>
      <c r="F2138" t="s">
        <v>233</v>
      </c>
      <c r="G2138" t="s">
        <v>221</v>
      </c>
      <c r="H2138">
        <f>VLOOKUP(C2138,'TB Apr 24'!$B$13:$AN$103,39,0)</f>
        <v>0</v>
      </c>
    </row>
    <row r="2139" spans="1:8" x14ac:dyDescent="0.35">
      <c r="A2139" s="77">
        <v>45383</v>
      </c>
      <c r="B2139" s="3" t="s">
        <v>106</v>
      </c>
      <c r="C2139" s="4" t="s">
        <v>107</v>
      </c>
      <c r="D2139" s="4" t="s">
        <v>314</v>
      </c>
      <c r="E2139" s="4" t="s">
        <v>321</v>
      </c>
      <c r="F2139" t="s">
        <v>233</v>
      </c>
      <c r="G2139" t="s">
        <v>221</v>
      </c>
      <c r="H2139">
        <f>VLOOKUP(C2139,'TB Apr 24'!$B$13:$AN$103,39,0)</f>
        <v>0</v>
      </c>
    </row>
    <row r="2140" spans="1:8" x14ac:dyDescent="0.35">
      <c r="A2140" s="77">
        <v>45383</v>
      </c>
      <c r="B2140" s="3" t="s">
        <v>108</v>
      </c>
      <c r="C2140" s="4" t="s">
        <v>109</v>
      </c>
      <c r="D2140" s="4" t="s">
        <v>314</v>
      </c>
      <c r="E2140" s="4" t="s">
        <v>321</v>
      </c>
      <c r="F2140" t="s">
        <v>233</v>
      </c>
      <c r="G2140" t="s">
        <v>221</v>
      </c>
      <c r="H2140">
        <f>VLOOKUP(C2140,'TB Apr 24'!$B$13:$AN$103,39,0)</f>
        <v>0</v>
      </c>
    </row>
    <row r="2141" spans="1:8" x14ac:dyDescent="0.35">
      <c r="A2141" s="77">
        <v>45383</v>
      </c>
      <c r="B2141" s="3" t="s">
        <v>110</v>
      </c>
      <c r="C2141" s="4" t="s">
        <v>111</v>
      </c>
      <c r="D2141" s="4" t="s">
        <v>314</v>
      </c>
      <c r="E2141" s="4" t="s">
        <v>320</v>
      </c>
      <c r="F2141" t="s">
        <v>233</v>
      </c>
      <c r="G2141" t="s">
        <v>221</v>
      </c>
      <c r="H2141">
        <f>VLOOKUP(C2141,'TB Apr 24'!$B$13:$AN$103,39,0)</f>
        <v>0</v>
      </c>
    </row>
    <row r="2142" spans="1:8" x14ac:dyDescent="0.35">
      <c r="A2142" s="77">
        <v>45383</v>
      </c>
      <c r="B2142" s="3" t="s">
        <v>112</v>
      </c>
      <c r="C2142" s="4" t="s">
        <v>113</v>
      </c>
      <c r="D2142" s="4" t="s">
        <v>314</v>
      </c>
      <c r="E2142" s="4" t="s">
        <v>321</v>
      </c>
      <c r="F2142" t="s">
        <v>233</v>
      </c>
      <c r="G2142" t="s">
        <v>221</v>
      </c>
      <c r="H2142">
        <f>VLOOKUP(C2142,'TB Apr 24'!$B$13:$AN$103,39,0)</f>
        <v>0</v>
      </c>
    </row>
    <row r="2143" spans="1:8" x14ac:dyDescent="0.35">
      <c r="A2143" s="77">
        <v>45383</v>
      </c>
      <c r="B2143" s="3" t="s">
        <v>311</v>
      </c>
      <c r="C2143" s="4" t="s">
        <v>312</v>
      </c>
      <c r="D2143" s="4" t="s">
        <v>314</v>
      </c>
      <c r="E2143" s="4" t="s">
        <v>288</v>
      </c>
      <c r="F2143" t="s">
        <v>233</v>
      </c>
      <c r="G2143" t="s">
        <v>221</v>
      </c>
      <c r="H2143">
        <f>VLOOKUP(C2143,'TB Apr 24'!$B$13:$AN$103,39,0)</f>
        <v>0</v>
      </c>
    </row>
    <row r="2144" spans="1:8" x14ac:dyDescent="0.35">
      <c r="A2144" s="77">
        <v>45383</v>
      </c>
      <c r="B2144" s="3" t="s">
        <v>114</v>
      </c>
      <c r="C2144" s="4" t="s">
        <v>115</v>
      </c>
      <c r="D2144" s="4" t="s">
        <v>314</v>
      </c>
      <c r="E2144" s="4" t="s">
        <v>294</v>
      </c>
      <c r="F2144" t="s">
        <v>233</v>
      </c>
      <c r="G2144" t="s">
        <v>221</v>
      </c>
      <c r="H2144">
        <f>VLOOKUP(C2144,'TB Apr 24'!$B$13:$AN$103,39,0)</f>
        <v>0</v>
      </c>
    </row>
    <row r="2145" spans="1:8" x14ac:dyDescent="0.35">
      <c r="A2145" s="77">
        <v>45383</v>
      </c>
      <c r="B2145" s="3" t="s">
        <v>116</v>
      </c>
      <c r="C2145" s="4" t="s">
        <v>117</v>
      </c>
      <c r="D2145" s="4" t="s">
        <v>314</v>
      </c>
      <c r="E2145" s="4" t="s">
        <v>296</v>
      </c>
      <c r="F2145" t="s">
        <v>233</v>
      </c>
      <c r="G2145" t="s">
        <v>221</v>
      </c>
      <c r="H2145">
        <f>VLOOKUP(C2145,'TB Apr 24'!$B$13:$AN$103,39,0)</f>
        <v>0</v>
      </c>
    </row>
    <row r="2146" spans="1:8" x14ac:dyDescent="0.35">
      <c r="A2146" s="77">
        <v>45383</v>
      </c>
      <c r="B2146" s="3" t="s">
        <v>118</v>
      </c>
      <c r="C2146" s="4" t="s">
        <v>119</v>
      </c>
      <c r="D2146" s="4" t="s">
        <v>314</v>
      </c>
      <c r="E2146" s="4" t="s">
        <v>296</v>
      </c>
      <c r="F2146" t="s">
        <v>233</v>
      </c>
      <c r="G2146" t="s">
        <v>221</v>
      </c>
      <c r="H2146">
        <f>VLOOKUP(C2146,'TB Apr 24'!$B$13:$AN$103,39,0)</f>
        <v>0</v>
      </c>
    </row>
    <row r="2147" spans="1:8" x14ac:dyDescent="0.35">
      <c r="A2147" s="77">
        <v>45383</v>
      </c>
      <c r="B2147" s="3" t="s">
        <v>120</v>
      </c>
      <c r="C2147" s="4" t="s">
        <v>121</v>
      </c>
      <c r="D2147" s="4" t="s">
        <v>314</v>
      </c>
      <c r="E2147" s="4" t="s">
        <v>322</v>
      </c>
      <c r="F2147" t="s">
        <v>233</v>
      </c>
      <c r="G2147" t="s">
        <v>221</v>
      </c>
      <c r="H2147">
        <f>VLOOKUP(C2147,'TB Apr 24'!$B$13:$AN$103,39,0)</f>
        <v>0</v>
      </c>
    </row>
    <row r="2148" spans="1:8" x14ac:dyDescent="0.35">
      <c r="A2148" s="77">
        <v>45383</v>
      </c>
      <c r="B2148" s="3" t="s">
        <v>122</v>
      </c>
      <c r="C2148" s="4" t="s">
        <v>123</v>
      </c>
      <c r="D2148" s="4" t="s">
        <v>314</v>
      </c>
      <c r="E2148" s="4" t="s">
        <v>322</v>
      </c>
      <c r="F2148" t="s">
        <v>233</v>
      </c>
      <c r="G2148" t="s">
        <v>221</v>
      </c>
      <c r="H2148">
        <f>VLOOKUP(C2148,'TB Apr 24'!$B$13:$AN$103,39,0)</f>
        <v>0</v>
      </c>
    </row>
    <row r="2149" spans="1:8" x14ac:dyDescent="0.35">
      <c r="A2149" s="77">
        <v>45383</v>
      </c>
      <c r="B2149" s="3" t="s">
        <v>124</v>
      </c>
      <c r="C2149" s="4" t="s">
        <v>125</v>
      </c>
      <c r="D2149" s="4" t="s">
        <v>314</v>
      </c>
      <c r="E2149" s="4" t="s">
        <v>322</v>
      </c>
      <c r="F2149" t="s">
        <v>233</v>
      </c>
      <c r="G2149" t="s">
        <v>221</v>
      </c>
      <c r="H2149">
        <f>VLOOKUP(C2149,'TB Apr 24'!$B$13:$AN$103,39,0)</f>
        <v>0</v>
      </c>
    </row>
    <row r="2150" spans="1:8" x14ac:dyDescent="0.35">
      <c r="A2150" s="77">
        <v>45383</v>
      </c>
      <c r="B2150" s="3" t="s">
        <v>126</v>
      </c>
      <c r="C2150" s="4" t="s">
        <v>127</v>
      </c>
      <c r="D2150" s="4" t="s">
        <v>314</v>
      </c>
      <c r="E2150" s="4" t="s">
        <v>291</v>
      </c>
      <c r="F2150" t="s">
        <v>233</v>
      </c>
      <c r="G2150" t="s">
        <v>221</v>
      </c>
      <c r="H2150">
        <f>VLOOKUP(C2150,'TB Apr 24'!$B$13:$AN$103,39,0)</f>
        <v>0</v>
      </c>
    </row>
    <row r="2151" spans="1:8" x14ac:dyDescent="0.35">
      <c r="A2151" s="77">
        <v>45383</v>
      </c>
      <c r="B2151" s="3" t="s">
        <v>128</v>
      </c>
      <c r="C2151" s="4" t="s">
        <v>129</v>
      </c>
      <c r="D2151" s="4" t="s">
        <v>314</v>
      </c>
      <c r="E2151" s="4" t="s">
        <v>322</v>
      </c>
      <c r="F2151" t="s">
        <v>233</v>
      </c>
      <c r="G2151" t="s">
        <v>221</v>
      </c>
      <c r="H2151">
        <f>VLOOKUP(C2151,'TB Apr 24'!$B$13:$AN$103,39,0)</f>
        <v>0</v>
      </c>
    </row>
    <row r="2152" spans="1:8" x14ac:dyDescent="0.35">
      <c r="A2152" s="77">
        <v>45383</v>
      </c>
      <c r="B2152" s="3" t="s">
        <v>130</v>
      </c>
      <c r="C2152" s="4" t="s">
        <v>131</v>
      </c>
      <c r="D2152" s="4" t="s">
        <v>314</v>
      </c>
      <c r="E2152" s="4" t="s">
        <v>322</v>
      </c>
      <c r="F2152" t="s">
        <v>233</v>
      </c>
      <c r="G2152" t="s">
        <v>221</v>
      </c>
      <c r="H2152">
        <f>VLOOKUP(C2152,'TB Apr 24'!$B$13:$AN$103,39,0)</f>
        <v>0</v>
      </c>
    </row>
    <row r="2153" spans="1:8" x14ac:dyDescent="0.35">
      <c r="A2153" s="77">
        <v>45383</v>
      </c>
      <c r="B2153" s="3" t="s">
        <v>132</v>
      </c>
      <c r="C2153" s="4" t="s">
        <v>133</v>
      </c>
      <c r="D2153" s="4" t="s">
        <v>314</v>
      </c>
      <c r="E2153" s="4" t="s">
        <v>320</v>
      </c>
      <c r="F2153" t="s">
        <v>233</v>
      </c>
      <c r="G2153" t="s">
        <v>221</v>
      </c>
      <c r="H2153">
        <f>VLOOKUP(C2153,'TB Apr 24'!$B$13:$AN$103,39,0)</f>
        <v>0</v>
      </c>
    </row>
    <row r="2154" spans="1:8" x14ac:dyDescent="0.35">
      <c r="A2154" s="77">
        <v>45383</v>
      </c>
      <c r="B2154" s="3" t="s">
        <v>134</v>
      </c>
      <c r="C2154" s="4" t="s">
        <v>135</v>
      </c>
      <c r="D2154" s="4" t="s">
        <v>314</v>
      </c>
      <c r="E2154" s="4" t="s">
        <v>299</v>
      </c>
      <c r="F2154" t="s">
        <v>233</v>
      </c>
      <c r="G2154" t="s">
        <v>221</v>
      </c>
      <c r="H2154">
        <f>VLOOKUP(C2154,'TB Apr 24'!$B$13:$AN$103,39,0)</f>
        <v>0</v>
      </c>
    </row>
    <row r="2155" spans="1:8" x14ac:dyDescent="0.35">
      <c r="A2155" s="77">
        <v>45383</v>
      </c>
      <c r="B2155" s="3" t="s">
        <v>136</v>
      </c>
      <c r="C2155" s="4" t="s">
        <v>137</v>
      </c>
      <c r="D2155" s="4" t="s">
        <v>314</v>
      </c>
      <c r="E2155" s="4" t="s">
        <v>322</v>
      </c>
      <c r="F2155" t="s">
        <v>233</v>
      </c>
      <c r="G2155" t="s">
        <v>221</v>
      </c>
      <c r="H2155">
        <f>VLOOKUP(C2155,'TB Apr 24'!$B$13:$AN$103,39,0)</f>
        <v>0</v>
      </c>
    </row>
    <row r="2156" spans="1:8" x14ac:dyDescent="0.35">
      <c r="A2156" s="77">
        <v>45383</v>
      </c>
      <c r="B2156" s="3" t="s">
        <v>138</v>
      </c>
      <c r="C2156" s="4" t="s">
        <v>139</v>
      </c>
      <c r="D2156" s="4" t="s">
        <v>314</v>
      </c>
      <c r="E2156" s="4" t="s">
        <v>294</v>
      </c>
      <c r="F2156" t="s">
        <v>233</v>
      </c>
      <c r="G2156" t="s">
        <v>221</v>
      </c>
      <c r="H2156">
        <f>VLOOKUP(C2156,'TB Apr 24'!$B$13:$AN$103,39,0)</f>
        <v>0</v>
      </c>
    </row>
    <row r="2157" spans="1:8" x14ac:dyDescent="0.35">
      <c r="A2157" s="77">
        <v>45383</v>
      </c>
      <c r="B2157" s="3" t="s">
        <v>140</v>
      </c>
      <c r="C2157" s="4" t="s">
        <v>141</v>
      </c>
      <c r="D2157" s="4" t="s">
        <v>314</v>
      </c>
      <c r="E2157" s="4" t="s">
        <v>268</v>
      </c>
      <c r="F2157" t="s">
        <v>233</v>
      </c>
      <c r="G2157" t="s">
        <v>221</v>
      </c>
      <c r="H2157">
        <f>VLOOKUP(C2157,'TB Apr 24'!$B$13:$AN$103,39,0)</f>
        <v>0</v>
      </c>
    </row>
    <row r="2158" spans="1:8" x14ac:dyDescent="0.35">
      <c r="A2158" s="77">
        <v>45383</v>
      </c>
      <c r="B2158" s="3" t="s">
        <v>142</v>
      </c>
      <c r="C2158" s="4" t="s">
        <v>143</v>
      </c>
      <c r="D2158" s="4" t="s">
        <v>314</v>
      </c>
      <c r="E2158" s="4" t="s">
        <v>269</v>
      </c>
      <c r="F2158" t="s">
        <v>233</v>
      </c>
      <c r="G2158" t="s">
        <v>221</v>
      </c>
      <c r="H2158">
        <f>VLOOKUP(C2158,'TB Apr 24'!$B$13:$AN$103,39,0)</f>
        <v>0</v>
      </c>
    </row>
    <row r="2159" spans="1:8" x14ac:dyDescent="0.35">
      <c r="A2159" s="77">
        <v>45383</v>
      </c>
      <c r="B2159" s="3" t="s">
        <v>144</v>
      </c>
      <c r="C2159" s="4" t="s">
        <v>145</v>
      </c>
      <c r="D2159" s="4" t="s">
        <v>314</v>
      </c>
      <c r="E2159" s="4" t="s">
        <v>288</v>
      </c>
      <c r="F2159" t="s">
        <v>233</v>
      </c>
      <c r="G2159" t="s">
        <v>221</v>
      </c>
      <c r="H2159">
        <f>VLOOKUP(C2159,'TB Apr 24'!$B$13:$AN$103,39,0)</f>
        <v>0</v>
      </c>
    </row>
    <row r="2160" spans="1:8" x14ac:dyDescent="0.35">
      <c r="A2160" s="77">
        <v>45383</v>
      </c>
      <c r="B2160" s="3" t="s">
        <v>146</v>
      </c>
      <c r="C2160" s="4" t="s">
        <v>147</v>
      </c>
      <c r="D2160" s="4" t="s">
        <v>314</v>
      </c>
      <c r="E2160" s="4" t="s">
        <v>288</v>
      </c>
      <c r="F2160" t="s">
        <v>233</v>
      </c>
      <c r="G2160" t="s">
        <v>221</v>
      </c>
      <c r="H2160">
        <f>VLOOKUP(C2160,'TB Apr 24'!$B$13:$AN$103,39,0)</f>
        <v>0</v>
      </c>
    </row>
    <row r="2161" spans="1:8" x14ac:dyDescent="0.35">
      <c r="A2161" s="77">
        <v>45383</v>
      </c>
      <c r="B2161" s="3" t="s">
        <v>148</v>
      </c>
      <c r="C2161" s="4" t="s">
        <v>149</v>
      </c>
      <c r="D2161" s="4" t="s">
        <v>314</v>
      </c>
      <c r="E2161" s="4" t="s">
        <v>287</v>
      </c>
      <c r="F2161" t="s">
        <v>233</v>
      </c>
      <c r="G2161" t="s">
        <v>221</v>
      </c>
      <c r="H2161">
        <f>VLOOKUP(C2161,'TB Apr 24'!$B$13:$AN$103,39,0)</f>
        <v>0</v>
      </c>
    </row>
    <row r="2162" spans="1:8" x14ac:dyDescent="0.35">
      <c r="A2162" s="77">
        <v>45383</v>
      </c>
      <c r="B2162" s="3" t="s">
        <v>150</v>
      </c>
      <c r="C2162" s="4" t="s">
        <v>87</v>
      </c>
      <c r="D2162" s="4" t="s">
        <v>314</v>
      </c>
      <c r="E2162" s="4" t="s">
        <v>288</v>
      </c>
      <c r="F2162" t="s">
        <v>233</v>
      </c>
      <c r="G2162" t="s">
        <v>221</v>
      </c>
      <c r="H2162">
        <f>VLOOKUP(C2162,'TB Apr 24'!$B$13:$AN$103,39,0)</f>
        <v>0</v>
      </c>
    </row>
    <row r="2163" spans="1:8" x14ac:dyDescent="0.35">
      <c r="A2163" s="77">
        <v>45383</v>
      </c>
      <c r="B2163" s="3" t="s">
        <v>151</v>
      </c>
      <c r="C2163" s="4" t="s">
        <v>152</v>
      </c>
      <c r="D2163" s="4" t="s">
        <v>314</v>
      </c>
      <c r="E2163" s="4" t="s">
        <v>288</v>
      </c>
      <c r="F2163" t="s">
        <v>233</v>
      </c>
      <c r="G2163" t="s">
        <v>221</v>
      </c>
      <c r="H2163">
        <f>VLOOKUP(C2163,'TB Apr 24'!$B$13:$AN$103,39,0)</f>
        <v>0</v>
      </c>
    </row>
    <row r="2164" spans="1:8" x14ac:dyDescent="0.35">
      <c r="A2164" s="77">
        <v>45383</v>
      </c>
      <c r="B2164" s="3" t="s">
        <v>153</v>
      </c>
      <c r="C2164" s="4" t="s">
        <v>154</v>
      </c>
      <c r="D2164" s="4" t="s">
        <v>314</v>
      </c>
      <c r="E2164" s="4" t="s">
        <v>288</v>
      </c>
      <c r="F2164" t="s">
        <v>233</v>
      </c>
      <c r="G2164" t="s">
        <v>221</v>
      </c>
      <c r="H2164">
        <f>VLOOKUP(C2164,'TB Apr 24'!$B$13:$AN$103,39,0)</f>
        <v>0</v>
      </c>
    </row>
    <row r="2165" spans="1:8" x14ac:dyDescent="0.35">
      <c r="A2165" s="77">
        <v>45383</v>
      </c>
      <c r="B2165" s="3" t="s">
        <v>155</v>
      </c>
      <c r="C2165" s="4" t="s">
        <v>156</v>
      </c>
      <c r="D2165" s="4" t="s">
        <v>314</v>
      </c>
      <c r="E2165" s="4" t="s">
        <v>288</v>
      </c>
      <c r="F2165" t="s">
        <v>233</v>
      </c>
      <c r="G2165" t="s">
        <v>221</v>
      </c>
      <c r="H2165">
        <f>VLOOKUP(C2165,'TB Apr 24'!$B$13:$AN$103,39,0)</f>
        <v>0</v>
      </c>
    </row>
    <row r="2166" spans="1:8" x14ac:dyDescent="0.35">
      <c r="A2166" s="77">
        <v>45383</v>
      </c>
      <c r="B2166" s="3" t="s">
        <v>157</v>
      </c>
      <c r="C2166" s="4" t="s">
        <v>158</v>
      </c>
      <c r="D2166" s="4" t="s">
        <v>314</v>
      </c>
      <c r="E2166" s="4" t="s">
        <v>292</v>
      </c>
      <c r="F2166" t="s">
        <v>233</v>
      </c>
      <c r="G2166" t="s">
        <v>221</v>
      </c>
      <c r="H2166">
        <f>VLOOKUP(C2166,'TB Apr 24'!$B$13:$AN$103,39,0)</f>
        <v>0</v>
      </c>
    </row>
    <row r="2167" spans="1:8" x14ac:dyDescent="0.35">
      <c r="A2167" s="77">
        <v>45383</v>
      </c>
      <c r="B2167" s="3" t="s">
        <v>159</v>
      </c>
      <c r="C2167" s="4" t="s">
        <v>160</v>
      </c>
      <c r="D2167" s="4" t="s">
        <v>314</v>
      </c>
      <c r="E2167" s="4" t="s">
        <v>323</v>
      </c>
      <c r="F2167" t="s">
        <v>233</v>
      </c>
      <c r="G2167" t="s">
        <v>221</v>
      </c>
      <c r="H2167">
        <f>VLOOKUP(C2167,'TB Apr 24'!$B$13:$AN$103,39,0)</f>
        <v>0</v>
      </c>
    </row>
    <row r="2168" spans="1:8" x14ac:dyDescent="0.35">
      <c r="A2168" s="77">
        <v>45383</v>
      </c>
      <c r="B2168" s="3" t="s">
        <v>161</v>
      </c>
      <c r="C2168" s="4" t="s">
        <v>162</v>
      </c>
      <c r="D2168" s="4" t="s">
        <v>314</v>
      </c>
      <c r="E2168" s="4" t="s">
        <v>323</v>
      </c>
      <c r="F2168" t="s">
        <v>233</v>
      </c>
      <c r="G2168" t="s">
        <v>221</v>
      </c>
      <c r="H2168">
        <f>VLOOKUP(C2168,'TB Apr 24'!$B$13:$AN$103,39,0)</f>
        <v>0</v>
      </c>
    </row>
    <row r="2169" spans="1:8" x14ac:dyDescent="0.35">
      <c r="A2169" s="77">
        <v>45383</v>
      </c>
      <c r="B2169" s="3" t="s">
        <v>163</v>
      </c>
      <c r="C2169" s="4" t="s">
        <v>164</v>
      </c>
      <c r="D2169" s="4" t="s">
        <v>314</v>
      </c>
      <c r="E2169" s="4" t="s">
        <v>319</v>
      </c>
      <c r="F2169" t="s">
        <v>233</v>
      </c>
      <c r="G2169" t="s">
        <v>221</v>
      </c>
      <c r="H2169">
        <f>VLOOKUP(C2169,'TB Apr 24'!$B$13:$AN$103,39,0)</f>
        <v>0</v>
      </c>
    </row>
    <row r="2170" spans="1:8" x14ac:dyDescent="0.35">
      <c r="A2170" s="77">
        <v>45383</v>
      </c>
      <c r="B2170" s="3" t="s">
        <v>165</v>
      </c>
      <c r="C2170" s="4" t="s">
        <v>166</v>
      </c>
      <c r="D2170" s="4" t="s">
        <v>314</v>
      </c>
      <c r="E2170" s="4" t="s">
        <v>304</v>
      </c>
      <c r="F2170" t="s">
        <v>233</v>
      </c>
      <c r="G2170" t="s">
        <v>221</v>
      </c>
      <c r="H2170">
        <f>VLOOKUP(C2170,'TB Apr 24'!$B$13:$AN$103,39,0)</f>
        <v>0</v>
      </c>
    </row>
    <row r="2171" spans="1:8" x14ac:dyDescent="0.35">
      <c r="A2171" s="77">
        <v>45383</v>
      </c>
      <c r="B2171" s="3" t="s">
        <v>167</v>
      </c>
      <c r="C2171" s="4" t="s">
        <v>168</v>
      </c>
      <c r="D2171" s="4" t="s">
        <v>314</v>
      </c>
      <c r="E2171" s="4" t="s">
        <v>322</v>
      </c>
      <c r="F2171" t="s">
        <v>233</v>
      </c>
      <c r="G2171" t="s">
        <v>221</v>
      </c>
      <c r="H2171">
        <f>VLOOKUP(C2171,'TB Apr 24'!$B$13:$AN$103,39,0)</f>
        <v>0</v>
      </c>
    </row>
    <row r="2172" spans="1:8" x14ac:dyDescent="0.35">
      <c r="A2172" s="77">
        <v>45383</v>
      </c>
      <c r="B2172" s="3" t="s">
        <v>169</v>
      </c>
      <c r="C2172" s="4" t="s">
        <v>170</v>
      </c>
      <c r="D2172" s="4" t="s">
        <v>314</v>
      </c>
      <c r="E2172" s="4" t="s">
        <v>304</v>
      </c>
      <c r="F2172" t="s">
        <v>233</v>
      </c>
      <c r="G2172" t="s">
        <v>221</v>
      </c>
      <c r="H2172">
        <f>VLOOKUP(C2172,'TB Apr 24'!$B$13:$AN$103,39,0)</f>
        <v>0</v>
      </c>
    </row>
    <row r="2173" spans="1:8" x14ac:dyDescent="0.35">
      <c r="A2173" s="77">
        <v>45383</v>
      </c>
      <c r="B2173" s="3" t="s">
        <v>171</v>
      </c>
      <c r="C2173" s="4" t="s">
        <v>172</v>
      </c>
      <c r="D2173" s="4" t="s">
        <v>314</v>
      </c>
      <c r="E2173" s="4" t="s">
        <v>303</v>
      </c>
      <c r="F2173" t="s">
        <v>233</v>
      </c>
      <c r="G2173" t="s">
        <v>221</v>
      </c>
      <c r="H2173">
        <f>VLOOKUP(C2173,'TB Apr 24'!$B$13:$AN$103,39,0)</f>
        <v>0</v>
      </c>
    </row>
    <row r="2174" spans="1:8" x14ac:dyDescent="0.35">
      <c r="A2174" s="77">
        <v>45383</v>
      </c>
      <c r="B2174" s="3" t="s">
        <v>173</v>
      </c>
      <c r="C2174" s="4" t="s">
        <v>174</v>
      </c>
      <c r="D2174" s="4" t="s">
        <v>314</v>
      </c>
      <c r="E2174" s="4" t="s">
        <v>257</v>
      </c>
      <c r="F2174" t="s">
        <v>233</v>
      </c>
      <c r="G2174" t="s">
        <v>221</v>
      </c>
      <c r="H2174">
        <f>VLOOKUP(C2174,'TB Apr 24'!$B$13:$AN$103,39,0)</f>
        <v>0</v>
      </c>
    </row>
    <row r="2175" spans="1:8" x14ac:dyDescent="0.35">
      <c r="A2175" s="77">
        <v>45383</v>
      </c>
      <c r="B2175" s="3" t="s">
        <v>175</v>
      </c>
      <c r="C2175" s="4" t="s">
        <v>176</v>
      </c>
      <c r="D2175" s="4" t="s">
        <v>314</v>
      </c>
      <c r="E2175" s="4" t="s">
        <v>257</v>
      </c>
      <c r="F2175" t="s">
        <v>233</v>
      </c>
      <c r="G2175" t="s">
        <v>221</v>
      </c>
      <c r="H2175">
        <f>VLOOKUP(C2175,'TB Apr 24'!$B$13:$AN$103,39,0)</f>
        <v>0</v>
      </c>
    </row>
    <row r="2176" spans="1:8" x14ac:dyDescent="0.35">
      <c r="A2176" s="77">
        <v>45383</v>
      </c>
      <c r="B2176" s="3" t="s">
        <v>177</v>
      </c>
      <c r="C2176" s="4" t="s">
        <v>178</v>
      </c>
      <c r="D2176" s="4" t="s">
        <v>314</v>
      </c>
      <c r="E2176" s="4" t="s">
        <v>257</v>
      </c>
      <c r="F2176" t="s">
        <v>233</v>
      </c>
      <c r="G2176" t="s">
        <v>221</v>
      </c>
      <c r="H2176">
        <f>VLOOKUP(C2176,'TB Apr 24'!$B$13:$AN$103,39,0)</f>
        <v>0</v>
      </c>
    </row>
    <row r="2177" spans="1:8" x14ac:dyDescent="0.35">
      <c r="A2177" s="77">
        <v>45383</v>
      </c>
      <c r="B2177" s="3" t="s">
        <v>179</v>
      </c>
      <c r="C2177" s="4" t="s">
        <v>180</v>
      </c>
      <c r="D2177" s="4" t="s">
        <v>314</v>
      </c>
      <c r="E2177" s="4" t="s">
        <v>322</v>
      </c>
      <c r="F2177" t="s">
        <v>233</v>
      </c>
      <c r="G2177" t="s">
        <v>221</v>
      </c>
      <c r="H2177">
        <f>VLOOKUP(C2177,'TB Apr 24'!$B$13:$AN$103,39,0)</f>
        <v>0</v>
      </c>
    </row>
    <row r="2178" spans="1:8" x14ac:dyDescent="0.35">
      <c r="A2178" s="77">
        <v>45383</v>
      </c>
      <c r="B2178" s="3" t="s">
        <v>181</v>
      </c>
      <c r="C2178" s="4" t="s">
        <v>182</v>
      </c>
      <c r="D2178" s="4" t="s">
        <v>314</v>
      </c>
      <c r="E2178" s="4" t="s">
        <v>290</v>
      </c>
      <c r="F2178" t="s">
        <v>233</v>
      </c>
      <c r="G2178" t="s">
        <v>221</v>
      </c>
      <c r="H2178">
        <f>VLOOKUP(C2178,'TB Apr 24'!$B$13:$AN$103,39,0)</f>
        <v>0</v>
      </c>
    </row>
    <row r="2179" spans="1:8" x14ac:dyDescent="0.35">
      <c r="A2179" s="77">
        <v>45383</v>
      </c>
      <c r="B2179" s="3" t="s">
        <v>183</v>
      </c>
      <c r="C2179" s="4" t="s">
        <v>184</v>
      </c>
      <c r="D2179" s="4" t="s">
        <v>314</v>
      </c>
      <c r="E2179" s="4" t="s">
        <v>290</v>
      </c>
      <c r="F2179" t="s">
        <v>233</v>
      </c>
      <c r="G2179" t="s">
        <v>221</v>
      </c>
      <c r="H2179">
        <f>VLOOKUP(C2179,'TB Apr 24'!$B$13:$AN$103,39,0)</f>
        <v>0</v>
      </c>
    </row>
    <row r="2180" spans="1:8" x14ac:dyDescent="0.35">
      <c r="A2180" s="77">
        <v>45383</v>
      </c>
      <c r="B2180" s="3" t="s">
        <v>185</v>
      </c>
      <c r="C2180" s="4" t="s">
        <v>186</v>
      </c>
      <c r="D2180" s="4" t="s">
        <v>314</v>
      </c>
      <c r="E2180" s="4" t="s">
        <v>290</v>
      </c>
      <c r="F2180" t="s">
        <v>233</v>
      </c>
      <c r="G2180" t="s">
        <v>221</v>
      </c>
      <c r="H2180">
        <f>VLOOKUP(C2180,'TB Apr 24'!$B$13:$AN$103,39,0)</f>
        <v>0</v>
      </c>
    </row>
    <row r="2181" spans="1:8" x14ac:dyDescent="0.35">
      <c r="A2181" s="77">
        <v>45383</v>
      </c>
      <c r="B2181" s="3" t="s">
        <v>187</v>
      </c>
      <c r="C2181" s="4" t="s">
        <v>188</v>
      </c>
      <c r="D2181" s="4" t="s">
        <v>314</v>
      </c>
      <c r="E2181" s="4" t="s">
        <v>291</v>
      </c>
      <c r="F2181" t="s">
        <v>233</v>
      </c>
      <c r="G2181" t="s">
        <v>221</v>
      </c>
      <c r="H2181">
        <f>VLOOKUP(C2181,'TB Apr 24'!$B$13:$AN$103,39,0)</f>
        <v>0</v>
      </c>
    </row>
    <row r="2182" spans="1:8" x14ac:dyDescent="0.35">
      <c r="A2182" s="77">
        <v>45383</v>
      </c>
      <c r="B2182" s="3" t="s">
        <v>189</v>
      </c>
      <c r="C2182" s="4" t="s">
        <v>190</v>
      </c>
      <c r="D2182" s="4" t="s">
        <v>314</v>
      </c>
      <c r="E2182" s="4" t="s">
        <v>254</v>
      </c>
      <c r="F2182" t="s">
        <v>233</v>
      </c>
      <c r="G2182" t="s">
        <v>221</v>
      </c>
      <c r="H2182">
        <f>VLOOKUP(C2182,'TB Apr 24'!$B$13:$AN$103,39,0)</f>
        <v>0</v>
      </c>
    </row>
    <row r="2183" spans="1:8" x14ac:dyDescent="0.35">
      <c r="A2183" s="77">
        <v>45383</v>
      </c>
      <c r="B2183" s="3" t="s">
        <v>191</v>
      </c>
      <c r="C2183" s="4" t="s">
        <v>192</v>
      </c>
      <c r="D2183" s="4" t="s">
        <v>314</v>
      </c>
      <c r="E2183" s="4" t="s">
        <v>254</v>
      </c>
      <c r="F2183" t="s">
        <v>233</v>
      </c>
      <c r="G2183" t="s">
        <v>221</v>
      </c>
      <c r="H2183">
        <f>VLOOKUP(C2183,'TB Apr 24'!$B$13:$AN$103,39,0)</f>
        <v>0</v>
      </c>
    </row>
    <row r="2184" spans="1:8" x14ac:dyDescent="0.35">
      <c r="A2184" s="77">
        <v>45383</v>
      </c>
      <c r="B2184" s="3" t="s">
        <v>193</v>
      </c>
      <c r="C2184" s="4" t="s">
        <v>194</v>
      </c>
      <c r="D2184" s="4" t="s">
        <v>314</v>
      </c>
      <c r="E2184" s="4" t="s">
        <v>254</v>
      </c>
      <c r="F2184" t="s">
        <v>233</v>
      </c>
      <c r="G2184" t="s">
        <v>221</v>
      </c>
      <c r="H2184">
        <f>VLOOKUP(C2184,'TB Apr 24'!$B$13:$AN$103,39,0)</f>
        <v>0</v>
      </c>
    </row>
    <row r="2185" spans="1:8" x14ac:dyDescent="0.35">
      <c r="A2185" s="77">
        <v>45383</v>
      </c>
      <c r="B2185" s="3" t="s">
        <v>195</v>
      </c>
      <c r="C2185" s="4" t="s">
        <v>196</v>
      </c>
      <c r="D2185" s="4" t="s">
        <v>314</v>
      </c>
      <c r="E2185" s="4" t="s">
        <v>255</v>
      </c>
      <c r="F2185" t="s">
        <v>233</v>
      </c>
      <c r="G2185" t="s">
        <v>221</v>
      </c>
      <c r="H2185">
        <f>VLOOKUP(C2185,'TB Apr 24'!$B$13:$AN$103,39,0)</f>
        <v>0</v>
      </c>
    </row>
    <row r="2186" spans="1:8" x14ac:dyDescent="0.35">
      <c r="A2186" s="77">
        <v>45383</v>
      </c>
      <c r="B2186" s="3" t="s">
        <v>197</v>
      </c>
      <c r="C2186" s="4" t="s">
        <v>198</v>
      </c>
      <c r="D2186" s="4" t="s">
        <v>314</v>
      </c>
      <c r="E2186" s="4" t="s">
        <v>255</v>
      </c>
      <c r="F2186" t="s">
        <v>233</v>
      </c>
      <c r="G2186" t="s">
        <v>221</v>
      </c>
      <c r="H2186">
        <f>VLOOKUP(C2186,'TB Apr 24'!$B$13:$AN$103,39,0)</f>
        <v>0</v>
      </c>
    </row>
    <row r="2187" spans="1:8" x14ac:dyDescent="0.35">
      <c r="A2187" s="77">
        <v>45383</v>
      </c>
      <c r="B2187" s="3" t="s">
        <v>199</v>
      </c>
      <c r="C2187" s="4" t="s">
        <v>200</v>
      </c>
      <c r="D2187" s="4" t="s">
        <v>314</v>
      </c>
      <c r="E2187" s="4" t="s">
        <v>254</v>
      </c>
      <c r="F2187" t="s">
        <v>233</v>
      </c>
      <c r="G2187" t="s">
        <v>221</v>
      </c>
      <c r="H2187">
        <f>VLOOKUP(C2187,'TB Apr 24'!$B$13:$AN$103,39,0)</f>
        <v>0</v>
      </c>
    </row>
    <row r="2188" spans="1:8" x14ac:dyDescent="0.35">
      <c r="A2188" s="77">
        <v>45383</v>
      </c>
      <c r="B2188" s="3" t="s">
        <v>201</v>
      </c>
      <c r="C2188" s="4" t="s">
        <v>202</v>
      </c>
      <c r="D2188" s="4" t="s">
        <v>314</v>
      </c>
      <c r="E2188" s="4" t="s">
        <v>254</v>
      </c>
      <c r="F2188" t="s">
        <v>233</v>
      </c>
      <c r="G2188" t="s">
        <v>221</v>
      </c>
      <c r="H2188">
        <f>VLOOKUP(C2188,'TB Apr 24'!$B$13:$AN$103,39,0)</f>
        <v>0</v>
      </c>
    </row>
    <row r="2189" spans="1:8" x14ac:dyDescent="0.35">
      <c r="A2189" s="77">
        <v>45383</v>
      </c>
      <c r="B2189" s="3" t="s">
        <v>203</v>
      </c>
      <c r="C2189" s="4" t="s">
        <v>204</v>
      </c>
      <c r="D2189" s="4" t="s">
        <v>314</v>
      </c>
      <c r="E2189" s="4" t="s">
        <v>256</v>
      </c>
      <c r="F2189" t="s">
        <v>233</v>
      </c>
      <c r="G2189" t="s">
        <v>221</v>
      </c>
      <c r="H2189">
        <f>VLOOKUP(C2189,'TB Apr 24'!$B$13:$AN$103,39,0)</f>
        <v>0</v>
      </c>
    </row>
    <row r="2190" spans="1:8" x14ac:dyDescent="0.35">
      <c r="A2190" s="77">
        <v>45383</v>
      </c>
      <c r="B2190" s="3" t="s">
        <v>205</v>
      </c>
      <c r="C2190" s="6" t="s">
        <v>206</v>
      </c>
      <c r="D2190" s="4" t="s">
        <v>314</v>
      </c>
      <c r="E2190" s="6" t="s">
        <v>322</v>
      </c>
      <c r="F2190" s="79" t="s">
        <v>233</v>
      </c>
      <c r="G2190" s="79" t="s">
        <v>221</v>
      </c>
      <c r="H2190" s="79">
        <f>VLOOKUP(C2190,'TB Apr 24'!$B$13:$AN$103,39,0)</f>
        <v>0</v>
      </c>
    </row>
    <row r="2191" spans="1:8" x14ac:dyDescent="0.35">
      <c r="A2191" s="77">
        <v>45383</v>
      </c>
      <c r="B2191" s="3" t="s">
        <v>57</v>
      </c>
      <c r="C2191" s="4" t="s">
        <v>58</v>
      </c>
      <c r="D2191" s="4" t="s">
        <v>314</v>
      </c>
      <c r="E2191" s="4" t="s">
        <v>253</v>
      </c>
      <c r="F2191" t="s">
        <v>233</v>
      </c>
      <c r="G2191" t="s">
        <v>225</v>
      </c>
      <c r="H2191">
        <f>VLOOKUP(C2191,'TB Apr 24'!$B$13:$AO$103,40,0)</f>
        <v>0</v>
      </c>
    </row>
    <row r="2192" spans="1:8" x14ac:dyDescent="0.35">
      <c r="A2192" s="77">
        <v>45383</v>
      </c>
      <c r="B2192" s="3" t="s">
        <v>307</v>
      </c>
      <c r="C2192" s="4" t="s">
        <v>308</v>
      </c>
      <c r="D2192" s="4" t="s">
        <v>314</v>
      </c>
      <c r="E2192" s="4" t="s">
        <v>253</v>
      </c>
      <c r="F2192" t="s">
        <v>233</v>
      </c>
      <c r="G2192" t="s">
        <v>225</v>
      </c>
      <c r="H2192">
        <f>VLOOKUP(C2192,'TB Apr 24'!$B$13:$AO$103,40,0)</f>
        <v>0</v>
      </c>
    </row>
    <row r="2193" spans="1:8" x14ac:dyDescent="0.35">
      <c r="A2193" s="77">
        <v>45383</v>
      </c>
      <c r="B2193" s="3" t="s">
        <v>59</v>
      </c>
      <c r="C2193" s="4" t="s">
        <v>60</v>
      </c>
      <c r="D2193" s="4" t="s">
        <v>314</v>
      </c>
      <c r="E2193" s="4" t="s">
        <v>253</v>
      </c>
      <c r="F2193" t="s">
        <v>233</v>
      </c>
      <c r="G2193" t="s">
        <v>225</v>
      </c>
      <c r="H2193">
        <f>VLOOKUP(C2193,'TB Apr 24'!$B$13:$AO$103,40,0)</f>
        <v>-30.88</v>
      </c>
    </row>
    <row r="2194" spans="1:8" x14ac:dyDescent="0.35">
      <c r="A2194" s="77">
        <v>45383</v>
      </c>
      <c r="B2194" s="3" t="s">
        <v>61</v>
      </c>
      <c r="C2194" s="4" t="s">
        <v>62</v>
      </c>
      <c r="D2194" s="4" t="s">
        <v>314</v>
      </c>
      <c r="E2194" s="4" t="s">
        <v>66</v>
      </c>
      <c r="F2194" t="s">
        <v>233</v>
      </c>
      <c r="G2194" t="s">
        <v>225</v>
      </c>
      <c r="H2194">
        <f>VLOOKUP(C2194,'TB Apr 24'!$B$13:$AO$103,40,0)</f>
        <v>-6355.01</v>
      </c>
    </row>
    <row r="2195" spans="1:8" x14ac:dyDescent="0.35">
      <c r="A2195" s="77">
        <v>45383</v>
      </c>
      <c r="B2195" s="3" t="s">
        <v>63</v>
      </c>
      <c r="C2195" s="4" t="s">
        <v>64</v>
      </c>
      <c r="D2195" s="4" t="s">
        <v>314</v>
      </c>
      <c r="E2195" s="4" t="s">
        <v>252</v>
      </c>
      <c r="F2195" t="s">
        <v>233</v>
      </c>
      <c r="G2195" t="s">
        <v>225</v>
      </c>
      <c r="H2195">
        <f>VLOOKUP(C2195,'TB Apr 24'!$B$13:$AO$103,40,0)</f>
        <v>0</v>
      </c>
    </row>
    <row r="2196" spans="1:8" x14ac:dyDescent="0.35">
      <c r="A2196" s="77">
        <v>45383</v>
      </c>
      <c r="B2196" s="3" t="s">
        <v>65</v>
      </c>
      <c r="C2196" s="4" t="s">
        <v>66</v>
      </c>
      <c r="D2196" s="4" t="s">
        <v>314</v>
      </c>
      <c r="E2196" s="4" t="s">
        <v>66</v>
      </c>
      <c r="F2196" t="s">
        <v>233</v>
      </c>
      <c r="G2196" t="s">
        <v>225</v>
      </c>
      <c r="H2196">
        <f>VLOOKUP(C2196,'TB Apr 24'!$B$13:$AO$103,40,0)</f>
        <v>-3158627.72</v>
      </c>
    </row>
    <row r="2197" spans="1:8" x14ac:dyDescent="0.35">
      <c r="A2197" s="77">
        <v>45383</v>
      </c>
      <c r="B2197" s="3" t="s">
        <v>67</v>
      </c>
      <c r="C2197" s="4" t="s">
        <v>68</v>
      </c>
      <c r="D2197" s="4" t="s">
        <v>314</v>
      </c>
      <c r="E2197" s="4" t="s">
        <v>252</v>
      </c>
      <c r="F2197" t="s">
        <v>233</v>
      </c>
      <c r="G2197" t="s">
        <v>225</v>
      </c>
      <c r="H2197">
        <f>VLOOKUP(C2197,'TB Apr 24'!$B$13:$AO$103,40,0)</f>
        <v>-404459.15</v>
      </c>
    </row>
    <row r="2198" spans="1:8" x14ac:dyDescent="0.35">
      <c r="A2198" s="77">
        <v>45383</v>
      </c>
      <c r="B2198" s="3" t="s">
        <v>69</v>
      </c>
      <c r="C2198" s="4" t="s">
        <v>70</v>
      </c>
      <c r="D2198" s="4" t="s">
        <v>314</v>
      </c>
      <c r="E2198" s="4" t="s">
        <v>70</v>
      </c>
      <c r="F2198" t="s">
        <v>233</v>
      </c>
      <c r="G2198" t="s">
        <v>225</v>
      </c>
      <c r="H2198">
        <f>VLOOKUP(C2198,'TB Apr 24'!$B$13:$AO$103,40,0)</f>
        <v>-962189.65</v>
      </c>
    </row>
    <row r="2199" spans="1:8" x14ac:dyDescent="0.35">
      <c r="A2199" s="77">
        <v>45383</v>
      </c>
      <c r="B2199" s="3" t="s">
        <v>71</v>
      </c>
      <c r="C2199" s="4" t="s">
        <v>72</v>
      </c>
      <c r="D2199" s="4" t="s">
        <v>314</v>
      </c>
      <c r="E2199" s="4" t="s">
        <v>253</v>
      </c>
      <c r="F2199" t="s">
        <v>233</v>
      </c>
      <c r="G2199" t="s">
        <v>225</v>
      </c>
      <c r="H2199">
        <f>VLOOKUP(C2199,'TB Apr 24'!$B$13:$AO$103,40,0)</f>
        <v>0</v>
      </c>
    </row>
    <row r="2200" spans="1:8" x14ac:dyDescent="0.35">
      <c r="A2200" s="77">
        <v>45383</v>
      </c>
      <c r="B2200" s="3" t="s">
        <v>73</v>
      </c>
      <c r="C2200" s="4" t="s">
        <v>74</v>
      </c>
      <c r="D2200" s="4" t="s">
        <v>314</v>
      </c>
      <c r="E2200" s="4" t="s">
        <v>253</v>
      </c>
      <c r="F2200" t="s">
        <v>233</v>
      </c>
      <c r="G2200" t="s">
        <v>225</v>
      </c>
      <c r="H2200">
        <f>VLOOKUP(C2200,'TB Apr 24'!$B$13:$AO$103,40,0)</f>
        <v>-111.01</v>
      </c>
    </row>
    <row r="2201" spans="1:8" x14ac:dyDescent="0.35">
      <c r="A2201" s="77">
        <v>45383</v>
      </c>
      <c r="B2201" s="3" t="s">
        <v>75</v>
      </c>
      <c r="C2201" s="4" t="s">
        <v>76</v>
      </c>
      <c r="D2201" s="4" t="s">
        <v>314</v>
      </c>
      <c r="E2201" s="4" t="s">
        <v>253</v>
      </c>
      <c r="F2201" t="s">
        <v>233</v>
      </c>
      <c r="G2201" t="s">
        <v>225</v>
      </c>
      <c r="H2201">
        <f>VLOOKUP(C2201,'TB Apr 24'!$B$13:$AO$103,40,0)</f>
        <v>0</v>
      </c>
    </row>
    <row r="2202" spans="1:8" x14ac:dyDescent="0.35">
      <c r="A2202" s="77">
        <v>45383</v>
      </c>
      <c r="B2202" s="3" t="s">
        <v>77</v>
      </c>
      <c r="C2202" s="4" t="s">
        <v>78</v>
      </c>
      <c r="D2202" s="4" t="s">
        <v>314</v>
      </c>
      <c r="E2202" s="4" t="s">
        <v>253</v>
      </c>
      <c r="F2202" t="s">
        <v>233</v>
      </c>
      <c r="G2202" t="s">
        <v>225</v>
      </c>
      <c r="H2202">
        <f>VLOOKUP(C2202,'TB Apr 24'!$B$13:$AO$103,40,0)</f>
        <v>-42295.040000000001</v>
      </c>
    </row>
    <row r="2203" spans="1:8" x14ac:dyDescent="0.35">
      <c r="A2203" s="77">
        <v>45383</v>
      </c>
      <c r="B2203" s="3" t="s">
        <v>79</v>
      </c>
      <c r="C2203" s="4" t="s">
        <v>80</v>
      </c>
      <c r="D2203" s="4" t="s">
        <v>314</v>
      </c>
      <c r="E2203" s="4" t="s">
        <v>253</v>
      </c>
      <c r="F2203" t="s">
        <v>233</v>
      </c>
      <c r="G2203" t="s">
        <v>225</v>
      </c>
      <c r="H2203">
        <f>VLOOKUP(C2203,'TB Apr 24'!$B$13:$AO$103,40,0)</f>
        <v>-84827.36</v>
      </c>
    </row>
    <row r="2204" spans="1:8" x14ac:dyDescent="0.35">
      <c r="A2204" s="77">
        <v>45383</v>
      </c>
      <c r="B2204" s="3" t="s">
        <v>81</v>
      </c>
      <c r="C2204" s="4" t="s">
        <v>82</v>
      </c>
      <c r="D2204" s="4" t="s">
        <v>314</v>
      </c>
      <c r="E2204" s="4" t="s">
        <v>319</v>
      </c>
      <c r="F2204" t="s">
        <v>233</v>
      </c>
      <c r="G2204" t="s">
        <v>225</v>
      </c>
      <c r="H2204">
        <f>VLOOKUP(C2204,'TB Apr 24'!$B$13:$AO$103,40,0)</f>
        <v>0</v>
      </c>
    </row>
    <row r="2205" spans="1:8" x14ac:dyDescent="0.35">
      <c r="A2205" s="77">
        <v>45383</v>
      </c>
      <c r="B2205" s="3" t="s">
        <v>83</v>
      </c>
      <c r="C2205" s="4" t="s">
        <v>84</v>
      </c>
      <c r="D2205" s="4" t="s">
        <v>314</v>
      </c>
      <c r="E2205" s="4" t="s">
        <v>319</v>
      </c>
      <c r="F2205" t="s">
        <v>233</v>
      </c>
      <c r="G2205" t="s">
        <v>225</v>
      </c>
      <c r="H2205">
        <f>VLOOKUP(C2205,'TB Apr 24'!$B$13:$AO$103,40,0)</f>
        <v>0</v>
      </c>
    </row>
    <row r="2206" spans="1:8" x14ac:dyDescent="0.35">
      <c r="A2206" s="77">
        <v>45383</v>
      </c>
      <c r="B2206" s="3" t="s">
        <v>85</v>
      </c>
      <c r="C2206" s="4" t="s">
        <v>86</v>
      </c>
      <c r="D2206" s="4" t="s">
        <v>314</v>
      </c>
      <c r="E2206" s="4" t="s">
        <v>291</v>
      </c>
      <c r="F2206" t="s">
        <v>233</v>
      </c>
      <c r="G2206" t="s">
        <v>225</v>
      </c>
      <c r="H2206">
        <f>VLOOKUP(C2206,'TB Apr 24'!$B$13:$AO$103,40,0)</f>
        <v>5879.2</v>
      </c>
    </row>
    <row r="2207" spans="1:8" x14ac:dyDescent="0.35">
      <c r="A2207" s="77">
        <v>45383</v>
      </c>
      <c r="B2207" s="3" t="s">
        <v>88</v>
      </c>
      <c r="C2207" s="4" t="s">
        <v>89</v>
      </c>
      <c r="D2207" s="4" t="s">
        <v>314</v>
      </c>
      <c r="E2207" s="4" t="s">
        <v>300</v>
      </c>
      <c r="F2207" t="s">
        <v>233</v>
      </c>
      <c r="G2207" t="s">
        <v>225</v>
      </c>
      <c r="H2207">
        <f>VLOOKUP(C2207,'TB Apr 24'!$B$13:$AO$103,40,0)</f>
        <v>0</v>
      </c>
    </row>
    <row r="2208" spans="1:8" x14ac:dyDescent="0.35">
      <c r="A2208" s="77">
        <v>45383</v>
      </c>
      <c r="B2208" s="3" t="s">
        <v>90</v>
      </c>
      <c r="C2208" s="4" t="s">
        <v>91</v>
      </c>
      <c r="D2208" s="4" t="s">
        <v>314</v>
      </c>
      <c r="E2208" s="4" t="s">
        <v>300</v>
      </c>
      <c r="F2208" t="s">
        <v>233</v>
      </c>
      <c r="G2208" t="s">
        <v>225</v>
      </c>
      <c r="H2208">
        <f>VLOOKUP(C2208,'TB Apr 24'!$B$13:$AO$103,40,0)</f>
        <v>9064</v>
      </c>
    </row>
    <row r="2209" spans="1:8" x14ac:dyDescent="0.35">
      <c r="A2209" s="77">
        <v>45383</v>
      </c>
      <c r="B2209" s="3" t="s">
        <v>92</v>
      </c>
      <c r="C2209" s="4" t="s">
        <v>93</v>
      </c>
      <c r="D2209" s="4" t="s">
        <v>314</v>
      </c>
      <c r="E2209" s="4" t="s">
        <v>300</v>
      </c>
      <c r="F2209" t="s">
        <v>233</v>
      </c>
      <c r="G2209" t="s">
        <v>225</v>
      </c>
      <c r="H2209">
        <f>VLOOKUP(C2209,'TB Apr 24'!$B$13:$AO$103,40,0)</f>
        <v>0</v>
      </c>
    </row>
    <row r="2210" spans="1:8" x14ac:dyDescent="0.35">
      <c r="A2210" s="77">
        <v>45383</v>
      </c>
      <c r="B2210" s="3" t="s">
        <v>94</v>
      </c>
      <c r="C2210" s="4" t="s">
        <v>95</v>
      </c>
      <c r="D2210" s="4" t="s">
        <v>314</v>
      </c>
      <c r="E2210" s="4" t="s">
        <v>289</v>
      </c>
      <c r="F2210" t="s">
        <v>233</v>
      </c>
      <c r="G2210" t="s">
        <v>225</v>
      </c>
      <c r="H2210">
        <f>VLOOKUP(C2210,'TB Apr 24'!$B$13:$AO$103,40,0)</f>
        <v>1635211</v>
      </c>
    </row>
    <row r="2211" spans="1:8" x14ac:dyDescent="0.35">
      <c r="A2211" s="77">
        <v>45383</v>
      </c>
      <c r="B2211" s="3" t="s">
        <v>96</v>
      </c>
      <c r="C2211" s="4" t="s">
        <v>97</v>
      </c>
      <c r="D2211" s="4" t="s">
        <v>314</v>
      </c>
      <c r="E2211" s="4" t="s">
        <v>289</v>
      </c>
      <c r="F2211" t="s">
        <v>233</v>
      </c>
      <c r="G2211" t="s">
        <v>225</v>
      </c>
      <c r="H2211">
        <f>VLOOKUP(C2211,'TB Apr 24'!$B$13:$AO$103,40,0)</f>
        <v>0</v>
      </c>
    </row>
    <row r="2212" spans="1:8" x14ac:dyDescent="0.35">
      <c r="A2212" s="77">
        <v>45383</v>
      </c>
      <c r="B2212" s="3" t="s">
        <v>309</v>
      </c>
      <c r="C2212" s="4" t="s">
        <v>310</v>
      </c>
      <c r="D2212" s="4" t="s">
        <v>314</v>
      </c>
      <c r="E2212" s="4" t="s">
        <v>289</v>
      </c>
      <c r="F2212" t="s">
        <v>233</v>
      </c>
      <c r="G2212" t="s">
        <v>225</v>
      </c>
      <c r="H2212">
        <f>VLOOKUP(C2212,'TB Apr 24'!$B$13:$AO$103,40,0)</f>
        <v>0</v>
      </c>
    </row>
    <row r="2213" spans="1:8" x14ac:dyDescent="0.35">
      <c r="A2213" s="77">
        <v>45383</v>
      </c>
      <c r="B2213" s="3" t="s">
        <v>98</v>
      </c>
      <c r="C2213" s="4" t="s">
        <v>99</v>
      </c>
      <c r="D2213" s="4" t="s">
        <v>314</v>
      </c>
      <c r="E2213" s="4" t="s">
        <v>289</v>
      </c>
      <c r="F2213" t="s">
        <v>233</v>
      </c>
      <c r="G2213" t="s">
        <v>225</v>
      </c>
      <c r="H2213">
        <f>VLOOKUP(C2213,'TB Apr 24'!$B$13:$AO$103,40,0)</f>
        <v>0</v>
      </c>
    </row>
    <row r="2214" spans="1:8" x14ac:dyDescent="0.35">
      <c r="A2214" s="77">
        <v>45383</v>
      </c>
      <c r="B2214" s="3" t="s">
        <v>100</v>
      </c>
      <c r="C2214" s="4" t="s">
        <v>101</v>
      </c>
      <c r="D2214" s="4" t="s">
        <v>314</v>
      </c>
      <c r="E2214" s="4" t="s">
        <v>291</v>
      </c>
      <c r="F2214" t="s">
        <v>233</v>
      </c>
      <c r="G2214" t="s">
        <v>225</v>
      </c>
      <c r="H2214">
        <f>VLOOKUP(C2214,'TB Apr 24'!$B$13:$AO$103,40,0)</f>
        <v>0</v>
      </c>
    </row>
    <row r="2215" spans="1:8" x14ac:dyDescent="0.35">
      <c r="A2215" s="77">
        <v>45383</v>
      </c>
      <c r="B2215" s="3" t="s">
        <v>102</v>
      </c>
      <c r="C2215" s="4" t="s">
        <v>103</v>
      </c>
      <c r="D2215" s="4" t="s">
        <v>314</v>
      </c>
      <c r="E2215" s="4" t="s">
        <v>291</v>
      </c>
      <c r="F2215" t="s">
        <v>233</v>
      </c>
      <c r="G2215" t="s">
        <v>225</v>
      </c>
      <c r="H2215">
        <f>VLOOKUP(C2215,'TB Apr 24'!$B$13:$AO$103,40,0)</f>
        <v>0</v>
      </c>
    </row>
    <row r="2216" spans="1:8" x14ac:dyDescent="0.35">
      <c r="A2216" s="77">
        <v>45383</v>
      </c>
      <c r="B2216" s="3" t="s">
        <v>104</v>
      </c>
      <c r="C2216" s="4" t="s">
        <v>105</v>
      </c>
      <c r="D2216" s="4" t="s">
        <v>314</v>
      </c>
      <c r="E2216" s="4" t="s">
        <v>291</v>
      </c>
      <c r="F2216" t="s">
        <v>233</v>
      </c>
      <c r="G2216" t="s">
        <v>225</v>
      </c>
      <c r="H2216">
        <f>VLOOKUP(C2216,'TB Apr 24'!$B$13:$AO$103,40,0)</f>
        <v>0</v>
      </c>
    </row>
    <row r="2217" spans="1:8" x14ac:dyDescent="0.35">
      <c r="A2217" s="77">
        <v>45383</v>
      </c>
      <c r="B2217" s="3" t="s">
        <v>106</v>
      </c>
      <c r="C2217" s="4" t="s">
        <v>107</v>
      </c>
      <c r="D2217" s="4" t="s">
        <v>314</v>
      </c>
      <c r="E2217" s="4" t="s">
        <v>321</v>
      </c>
      <c r="F2217" t="s">
        <v>233</v>
      </c>
      <c r="G2217" t="s">
        <v>225</v>
      </c>
      <c r="H2217">
        <f>VLOOKUP(C2217,'TB Apr 24'!$B$13:$AO$103,40,0)</f>
        <v>0</v>
      </c>
    </row>
    <row r="2218" spans="1:8" x14ac:dyDescent="0.35">
      <c r="A2218" s="77">
        <v>45383</v>
      </c>
      <c r="B2218" s="3" t="s">
        <v>108</v>
      </c>
      <c r="C2218" s="4" t="s">
        <v>109</v>
      </c>
      <c r="D2218" s="4" t="s">
        <v>314</v>
      </c>
      <c r="E2218" s="4" t="s">
        <v>321</v>
      </c>
      <c r="F2218" t="s">
        <v>233</v>
      </c>
      <c r="G2218" t="s">
        <v>225</v>
      </c>
      <c r="H2218">
        <f>VLOOKUP(C2218,'TB Apr 24'!$B$13:$AO$103,40,0)</f>
        <v>0</v>
      </c>
    </row>
    <row r="2219" spans="1:8" x14ac:dyDescent="0.35">
      <c r="A2219" s="77">
        <v>45383</v>
      </c>
      <c r="B2219" s="3" t="s">
        <v>110</v>
      </c>
      <c r="C2219" s="4" t="s">
        <v>111</v>
      </c>
      <c r="D2219" s="4" t="s">
        <v>314</v>
      </c>
      <c r="E2219" s="4" t="s">
        <v>320</v>
      </c>
      <c r="F2219" t="s">
        <v>233</v>
      </c>
      <c r="G2219" t="s">
        <v>225</v>
      </c>
      <c r="H2219">
        <f>VLOOKUP(C2219,'TB Apr 24'!$B$13:$AO$103,40,0)</f>
        <v>480</v>
      </c>
    </row>
    <row r="2220" spans="1:8" x14ac:dyDescent="0.35">
      <c r="A2220" s="77">
        <v>45383</v>
      </c>
      <c r="B2220" s="3" t="s">
        <v>112</v>
      </c>
      <c r="C2220" s="4" t="s">
        <v>113</v>
      </c>
      <c r="D2220" s="4" t="s">
        <v>314</v>
      </c>
      <c r="E2220" s="4" t="s">
        <v>321</v>
      </c>
      <c r="F2220" t="s">
        <v>233</v>
      </c>
      <c r="G2220" t="s">
        <v>225</v>
      </c>
      <c r="H2220">
        <f>VLOOKUP(C2220,'TB Apr 24'!$B$13:$AO$103,40,0)</f>
        <v>0</v>
      </c>
    </row>
    <row r="2221" spans="1:8" x14ac:dyDescent="0.35">
      <c r="A2221" s="77">
        <v>45383</v>
      </c>
      <c r="B2221" s="3" t="s">
        <v>311</v>
      </c>
      <c r="C2221" s="4" t="s">
        <v>312</v>
      </c>
      <c r="D2221" s="4" t="s">
        <v>314</v>
      </c>
      <c r="E2221" s="4" t="s">
        <v>288</v>
      </c>
      <c r="F2221" t="s">
        <v>233</v>
      </c>
      <c r="G2221" t="s">
        <v>225</v>
      </c>
      <c r="H2221">
        <f>VLOOKUP(C2221,'TB Apr 24'!$B$13:$AO$103,40,0)</f>
        <v>0</v>
      </c>
    </row>
    <row r="2222" spans="1:8" x14ac:dyDescent="0.35">
      <c r="A2222" s="77">
        <v>45383</v>
      </c>
      <c r="B2222" s="3" t="s">
        <v>114</v>
      </c>
      <c r="C2222" s="4" t="s">
        <v>115</v>
      </c>
      <c r="D2222" s="4" t="s">
        <v>314</v>
      </c>
      <c r="E2222" s="4" t="s">
        <v>294</v>
      </c>
      <c r="F2222" t="s">
        <v>233</v>
      </c>
      <c r="G2222" t="s">
        <v>225</v>
      </c>
      <c r="H2222">
        <f>VLOOKUP(C2222,'TB Apr 24'!$B$13:$AO$103,40,0)</f>
        <v>0</v>
      </c>
    </row>
    <row r="2223" spans="1:8" x14ac:dyDescent="0.35">
      <c r="A2223" s="77">
        <v>45383</v>
      </c>
      <c r="B2223" s="3" t="s">
        <v>116</v>
      </c>
      <c r="C2223" s="4" t="s">
        <v>117</v>
      </c>
      <c r="D2223" s="4" t="s">
        <v>314</v>
      </c>
      <c r="E2223" s="4" t="s">
        <v>296</v>
      </c>
      <c r="F2223" t="s">
        <v>233</v>
      </c>
      <c r="G2223" t="s">
        <v>225</v>
      </c>
      <c r="H2223">
        <f>VLOOKUP(C2223,'TB Apr 24'!$B$13:$AO$103,40,0)</f>
        <v>0</v>
      </c>
    </row>
    <row r="2224" spans="1:8" x14ac:dyDescent="0.35">
      <c r="A2224" s="77">
        <v>45383</v>
      </c>
      <c r="B2224" s="3" t="s">
        <v>118</v>
      </c>
      <c r="C2224" s="4" t="s">
        <v>119</v>
      </c>
      <c r="D2224" s="4" t="s">
        <v>314</v>
      </c>
      <c r="E2224" s="4" t="s">
        <v>296</v>
      </c>
      <c r="F2224" t="s">
        <v>233</v>
      </c>
      <c r="G2224" t="s">
        <v>225</v>
      </c>
      <c r="H2224">
        <f>VLOOKUP(C2224,'TB Apr 24'!$B$13:$AO$103,40,0)</f>
        <v>0</v>
      </c>
    </row>
    <row r="2225" spans="1:8" x14ac:dyDescent="0.35">
      <c r="A2225" s="77">
        <v>45383</v>
      </c>
      <c r="B2225" s="3" t="s">
        <v>120</v>
      </c>
      <c r="C2225" s="4" t="s">
        <v>121</v>
      </c>
      <c r="D2225" s="4" t="s">
        <v>314</v>
      </c>
      <c r="E2225" s="4" t="s">
        <v>322</v>
      </c>
      <c r="F2225" t="s">
        <v>233</v>
      </c>
      <c r="G2225" t="s">
        <v>225</v>
      </c>
      <c r="H2225">
        <f>VLOOKUP(C2225,'TB Apr 24'!$B$13:$AO$103,40,0)</f>
        <v>2690</v>
      </c>
    </row>
    <row r="2226" spans="1:8" x14ac:dyDescent="0.35">
      <c r="A2226" s="77">
        <v>45383</v>
      </c>
      <c r="B2226" s="3" t="s">
        <v>122</v>
      </c>
      <c r="C2226" s="4" t="s">
        <v>123</v>
      </c>
      <c r="D2226" s="4" t="s">
        <v>314</v>
      </c>
      <c r="E2226" s="4" t="s">
        <v>322</v>
      </c>
      <c r="F2226" t="s">
        <v>233</v>
      </c>
      <c r="G2226" t="s">
        <v>225</v>
      </c>
      <c r="H2226">
        <f>VLOOKUP(C2226,'TB Apr 24'!$B$13:$AO$103,40,0)</f>
        <v>17362</v>
      </c>
    </row>
    <row r="2227" spans="1:8" x14ac:dyDescent="0.35">
      <c r="A2227" s="77">
        <v>45383</v>
      </c>
      <c r="B2227" s="3" t="s">
        <v>124</v>
      </c>
      <c r="C2227" s="4" t="s">
        <v>125</v>
      </c>
      <c r="D2227" s="4" t="s">
        <v>314</v>
      </c>
      <c r="E2227" s="4" t="s">
        <v>322</v>
      </c>
      <c r="F2227" t="s">
        <v>233</v>
      </c>
      <c r="G2227" t="s">
        <v>225</v>
      </c>
      <c r="H2227">
        <f>VLOOKUP(C2227,'TB Apr 24'!$B$13:$AO$103,40,0)</f>
        <v>0</v>
      </c>
    </row>
    <row r="2228" spans="1:8" x14ac:dyDescent="0.35">
      <c r="A2228" s="77">
        <v>45383</v>
      </c>
      <c r="B2228" s="3" t="s">
        <v>126</v>
      </c>
      <c r="C2228" s="4" t="s">
        <v>127</v>
      </c>
      <c r="D2228" s="4" t="s">
        <v>314</v>
      </c>
      <c r="E2228" s="4" t="s">
        <v>291</v>
      </c>
      <c r="F2228" t="s">
        <v>233</v>
      </c>
      <c r="G2228" t="s">
        <v>225</v>
      </c>
      <c r="H2228">
        <f>VLOOKUP(C2228,'TB Apr 24'!$B$13:$AO$103,40,0)</f>
        <v>0</v>
      </c>
    </row>
    <row r="2229" spans="1:8" x14ac:dyDescent="0.35">
      <c r="A2229" s="77">
        <v>45383</v>
      </c>
      <c r="B2229" s="3" t="s">
        <v>128</v>
      </c>
      <c r="C2229" s="4" t="s">
        <v>129</v>
      </c>
      <c r="D2229" s="4" t="s">
        <v>314</v>
      </c>
      <c r="E2229" s="4" t="s">
        <v>322</v>
      </c>
      <c r="F2229" t="s">
        <v>233</v>
      </c>
      <c r="G2229" t="s">
        <v>225</v>
      </c>
      <c r="H2229">
        <f>VLOOKUP(C2229,'TB Apr 24'!$B$13:$AO$103,40,0)</f>
        <v>13198</v>
      </c>
    </row>
    <row r="2230" spans="1:8" x14ac:dyDescent="0.35">
      <c r="A2230" s="77">
        <v>45383</v>
      </c>
      <c r="B2230" s="3" t="s">
        <v>130</v>
      </c>
      <c r="C2230" s="4" t="s">
        <v>131</v>
      </c>
      <c r="D2230" s="4" t="s">
        <v>314</v>
      </c>
      <c r="E2230" s="4" t="s">
        <v>322</v>
      </c>
      <c r="F2230" t="s">
        <v>233</v>
      </c>
      <c r="G2230" t="s">
        <v>225</v>
      </c>
      <c r="H2230">
        <f>VLOOKUP(C2230,'TB Apr 24'!$B$13:$AO$103,40,0)</f>
        <v>0</v>
      </c>
    </row>
    <row r="2231" spans="1:8" x14ac:dyDescent="0.35">
      <c r="A2231" s="77">
        <v>45383</v>
      </c>
      <c r="B2231" s="3" t="s">
        <v>132</v>
      </c>
      <c r="C2231" s="4" t="s">
        <v>133</v>
      </c>
      <c r="D2231" s="4" t="s">
        <v>314</v>
      </c>
      <c r="E2231" s="4" t="s">
        <v>320</v>
      </c>
      <c r="F2231" t="s">
        <v>233</v>
      </c>
      <c r="G2231" t="s">
        <v>225</v>
      </c>
      <c r="H2231">
        <f>VLOOKUP(C2231,'TB Apr 24'!$B$13:$AO$103,40,0)</f>
        <v>24199.8</v>
      </c>
    </row>
    <row r="2232" spans="1:8" x14ac:dyDescent="0.35">
      <c r="A2232" s="77">
        <v>45383</v>
      </c>
      <c r="B2232" s="3" t="s">
        <v>134</v>
      </c>
      <c r="C2232" s="4" t="s">
        <v>135</v>
      </c>
      <c r="D2232" s="4" t="s">
        <v>314</v>
      </c>
      <c r="E2232" s="4" t="s">
        <v>299</v>
      </c>
      <c r="F2232" t="s">
        <v>233</v>
      </c>
      <c r="G2232" t="s">
        <v>225</v>
      </c>
      <c r="H2232">
        <f>VLOOKUP(C2232,'TB Apr 24'!$B$13:$AO$103,40,0)</f>
        <v>0</v>
      </c>
    </row>
    <row r="2233" spans="1:8" x14ac:dyDescent="0.35">
      <c r="A2233" s="77">
        <v>45383</v>
      </c>
      <c r="B2233" s="3" t="s">
        <v>136</v>
      </c>
      <c r="C2233" s="4" t="s">
        <v>137</v>
      </c>
      <c r="D2233" s="4" t="s">
        <v>314</v>
      </c>
      <c r="E2233" s="4" t="s">
        <v>322</v>
      </c>
      <c r="F2233" t="s">
        <v>233</v>
      </c>
      <c r="G2233" t="s">
        <v>225</v>
      </c>
      <c r="H2233">
        <f>VLOOKUP(C2233,'TB Apr 24'!$B$13:$AO$103,40,0)</f>
        <v>0</v>
      </c>
    </row>
    <row r="2234" spans="1:8" x14ac:dyDescent="0.35">
      <c r="A2234" s="77">
        <v>45383</v>
      </c>
      <c r="B2234" s="3" t="s">
        <v>138</v>
      </c>
      <c r="C2234" s="4" t="s">
        <v>139</v>
      </c>
      <c r="D2234" s="4" t="s">
        <v>314</v>
      </c>
      <c r="E2234" s="4" t="s">
        <v>294</v>
      </c>
      <c r="F2234" t="s">
        <v>233</v>
      </c>
      <c r="G2234" t="s">
        <v>225</v>
      </c>
      <c r="H2234">
        <f>VLOOKUP(C2234,'TB Apr 24'!$B$13:$AO$103,40,0)</f>
        <v>54718.5</v>
      </c>
    </row>
    <row r="2235" spans="1:8" x14ac:dyDescent="0.35">
      <c r="A2235" s="77">
        <v>45383</v>
      </c>
      <c r="B2235" s="3" t="s">
        <v>140</v>
      </c>
      <c r="C2235" s="4" t="s">
        <v>141</v>
      </c>
      <c r="D2235" s="4" t="s">
        <v>314</v>
      </c>
      <c r="E2235" s="4" t="s">
        <v>268</v>
      </c>
      <c r="F2235" t="s">
        <v>233</v>
      </c>
      <c r="G2235" t="s">
        <v>225</v>
      </c>
      <c r="H2235">
        <f>VLOOKUP(C2235,'TB Apr 24'!$B$13:$AO$103,40,0)</f>
        <v>512478.54020000005</v>
      </c>
    </row>
    <row r="2236" spans="1:8" x14ac:dyDescent="0.35">
      <c r="A2236" s="77">
        <v>45383</v>
      </c>
      <c r="B2236" s="3" t="s">
        <v>142</v>
      </c>
      <c r="C2236" s="4" t="s">
        <v>143</v>
      </c>
      <c r="D2236" s="4" t="s">
        <v>314</v>
      </c>
      <c r="E2236" s="4" t="s">
        <v>269</v>
      </c>
      <c r="F2236" t="s">
        <v>233</v>
      </c>
      <c r="G2236" t="s">
        <v>225</v>
      </c>
      <c r="H2236">
        <f>VLOOKUP(C2236,'TB Apr 24'!$B$13:$AO$103,40,0)</f>
        <v>156928</v>
      </c>
    </row>
    <row r="2237" spans="1:8" x14ac:dyDescent="0.35">
      <c r="A2237" s="77">
        <v>45383</v>
      </c>
      <c r="B2237" s="3" t="s">
        <v>144</v>
      </c>
      <c r="C2237" s="4" t="s">
        <v>145</v>
      </c>
      <c r="D2237" s="4" t="s">
        <v>314</v>
      </c>
      <c r="E2237" s="4" t="s">
        <v>288</v>
      </c>
      <c r="F2237" t="s">
        <v>233</v>
      </c>
      <c r="G2237" t="s">
        <v>225</v>
      </c>
      <c r="H2237">
        <f>VLOOKUP(C2237,'TB Apr 24'!$B$13:$AO$103,40,0)</f>
        <v>114307</v>
      </c>
    </row>
    <row r="2238" spans="1:8" x14ac:dyDescent="0.35">
      <c r="A2238" s="77">
        <v>45383</v>
      </c>
      <c r="B2238" s="3" t="s">
        <v>146</v>
      </c>
      <c r="C2238" s="4" t="s">
        <v>147</v>
      </c>
      <c r="D2238" s="4" t="s">
        <v>314</v>
      </c>
      <c r="E2238" s="4" t="s">
        <v>288</v>
      </c>
      <c r="F2238" t="s">
        <v>233</v>
      </c>
      <c r="G2238" t="s">
        <v>225</v>
      </c>
      <c r="H2238">
        <f>VLOOKUP(C2238,'TB Apr 24'!$B$13:$AO$103,40,0)</f>
        <v>0</v>
      </c>
    </row>
    <row r="2239" spans="1:8" x14ac:dyDescent="0.35">
      <c r="A2239" s="77">
        <v>45383</v>
      </c>
      <c r="B2239" s="3" t="s">
        <v>148</v>
      </c>
      <c r="C2239" s="4" t="s">
        <v>149</v>
      </c>
      <c r="D2239" s="4" t="s">
        <v>314</v>
      </c>
      <c r="E2239" s="4" t="s">
        <v>287</v>
      </c>
      <c r="F2239" t="s">
        <v>233</v>
      </c>
      <c r="G2239" t="s">
        <v>225</v>
      </c>
      <c r="H2239">
        <f>VLOOKUP(C2239,'TB Apr 24'!$B$13:$AO$103,40,0)</f>
        <v>232590</v>
      </c>
    </row>
    <row r="2240" spans="1:8" x14ac:dyDescent="0.35">
      <c r="A2240" s="77">
        <v>45383</v>
      </c>
      <c r="B2240" s="3" t="s">
        <v>150</v>
      </c>
      <c r="C2240" s="4" t="s">
        <v>87</v>
      </c>
      <c r="D2240" s="4" t="s">
        <v>314</v>
      </c>
      <c r="E2240" s="4" t="s">
        <v>288</v>
      </c>
      <c r="F2240" t="s">
        <v>233</v>
      </c>
      <c r="G2240" t="s">
        <v>225</v>
      </c>
      <c r="H2240">
        <f>VLOOKUP(C2240,'TB Apr 24'!$B$13:$AO$103,40,0)</f>
        <v>90902</v>
      </c>
    </row>
    <row r="2241" spans="1:8" x14ac:dyDescent="0.35">
      <c r="A2241" s="77">
        <v>45383</v>
      </c>
      <c r="B2241" s="3" t="s">
        <v>151</v>
      </c>
      <c r="C2241" s="4" t="s">
        <v>152</v>
      </c>
      <c r="D2241" s="4" t="s">
        <v>314</v>
      </c>
      <c r="E2241" s="4" t="s">
        <v>288</v>
      </c>
      <c r="F2241" t="s">
        <v>233</v>
      </c>
      <c r="G2241" t="s">
        <v>225</v>
      </c>
      <c r="H2241">
        <f>VLOOKUP(C2241,'TB Apr 24'!$B$13:$AO$103,40,0)</f>
        <v>9876</v>
      </c>
    </row>
    <row r="2242" spans="1:8" x14ac:dyDescent="0.35">
      <c r="A2242" s="77">
        <v>45383</v>
      </c>
      <c r="B2242" s="3" t="s">
        <v>153</v>
      </c>
      <c r="C2242" s="4" t="s">
        <v>154</v>
      </c>
      <c r="D2242" s="4" t="s">
        <v>314</v>
      </c>
      <c r="E2242" s="4" t="s">
        <v>288</v>
      </c>
      <c r="F2242" t="s">
        <v>233</v>
      </c>
      <c r="G2242" t="s">
        <v>225</v>
      </c>
      <c r="H2242">
        <f>VLOOKUP(C2242,'TB Apr 24'!$B$13:$AO$103,40,0)</f>
        <v>139192</v>
      </c>
    </row>
    <row r="2243" spans="1:8" x14ac:dyDescent="0.35">
      <c r="A2243" s="77">
        <v>45383</v>
      </c>
      <c r="B2243" s="3" t="s">
        <v>155</v>
      </c>
      <c r="C2243" s="4" t="s">
        <v>156</v>
      </c>
      <c r="D2243" s="4" t="s">
        <v>314</v>
      </c>
      <c r="E2243" s="4" t="s">
        <v>288</v>
      </c>
      <c r="F2243" t="s">
        <v>233</v>
      </c>
      <c r="G2243" t="s">
        <v>225</v>
      </c>
      <c r="H2243">
        <f>VLOOKUP(C2243,'TB Apr 24'!$B$13:$AO$103,40,0)</f>
        <v>2497</v>
      </c>
    </row>
    <row r="2244" spans="1:8" x14ac:dyDescent="0.35">
      <c r="A2244" s="77">
        <v>45383</v>
      </c>
      <c r="B2244" s="3" t="s">
        <v>157</v>
      </c>
      <c r="C2244" s="4" t="s">
        <v>158</v>
      </c>
      <c r="D2244" s="4" t="s">
        <v>314</v>
      </c>
      <c r="E2244" s="4" t="s">
        <v>292</v>
      </c>
      <c r="F2244" t="s">
        <v>233</v>
      </c>
      <c r="G2244" t="s">
        <v>225</v>
      </c>
      <c r="H2244">
        <f>VLOOKUP(C2244,'TB Apr 24'!$B$13:$AO$103,40,0)</f>
        <v>7290.2</v>
      </c>
    </row>
    <row r="2245" spans="1:8" x14ac:dyDescent="0.35">
      <c r="A2245" s="77">
        <v>45383</v>
      </c>
      <c r="B2245" s="3" t="s">
        <v>159</v>
      </c>
      <c r="C2245" s="4" t="s">
        <v>160</v>
      </c>
      <c r="D2245" s="4" t="s">
        <v>314</v>
      </c>
      <c r="E2245" s="4" t="s">
        <v>323</v>
      </c>
      <c r="F2245" t="s">
        <v>233</v>
      </c>
      <c r="G2245" t="s">
        <v>225</v>
      </c>
      <c r="H2245">
        <f>VLOOKUP(C2245,'TB Apr 24'!$B$13:$AO$103,40,0)</f>
        <v>3400</v>
      </c>
    </row>
    <row r="2246" spans="1:8" x14ac:dyDescent="0.35">
      <c r="A2246" s="77">
        <v>45383</v>
      </c>
      <c r="B2246" s="3" t="s">
        <v>161</v>
      </c>
      <c r="C2246" s="4" t="s">
        <v>162</v>
      </c>
      <c r="D2246" s="4" t="s">
        <v>314</v>
      </c>
      <c r="E2246" s="4" t="s">
        <v>323</v>
      </c>
      <c r="F2246" t="s">
        <v>233</v>
      </c>
      <c r="G2246" t="s">
        <v>225</v>
      </c>
      <c r="H2246">
        <f>VLOOKUP(C2246,'TB Apr 24'!$B$13:$AO$103,40,0)</f>
        <v>0</v>
      </c>
    </row>
    <row r="2247" spans="1:8" x14ac:dyDescent="0.35">
      <c r="A2247" s="77">
        <v>45383</v>
      </c>
      <c r="B2247" s="3" t="s">
        <v>163</v>
      </c>
      <c r="C2247" s="4" t="s">
        <v>164</v>
      </c>
      <c r="D2247" s="4" t="s">
        <v>314</v>
      </c>
      <c r="E2247" s="4" t="s">
        <v>319</v>
      </c>
      <c r="F2247" t="s">
        <v>233</v>
      </c>
      <c r="G2247" t="s">
        <v>225</v>
      </c>
      <c r="H2247">
        <f>VLOOKUP(C2247,'TB Apr 24'!$B$13:$AO$103,40,0)</f>
        <v>0</v>
      </c>
    </row>
    <row r="2248" spans="1:8" x14ac:dyDescent="0.35">
      <c r="A2248" s="77">
        <v>45383</v>
      </c>
      <c r="B2248" s="3" t="s">
        <v>165</v>
      </c>
      <c r="C2248" s="4" t="s">
        <v>166</v>
      </c>
      <c r="D2248" s="4" t="s">
        <v>314</v>
      </c>
      <c r="E2248" s="4" t="s">
        <v>304</v>
      </c>
      <c r="F2248" t="s">
        <v>233</v>
      </c>
      <c r="G2248" t="s">
        <v>225</v>
      </c>
      <c r="H2248">
        <f>VLOOKUP(C2248,'TB Apr 24'!$B$13:$AO$103,40,0)</f>
        <v>157975</v>
      </c>
    </row>
    <row r="2249" spans="1:8" x14ac:dyDescent="0.35">
      <c r="A2249" s="77">
        <v>45383</v>
      </c>
      <c r="B2249" s="3" t="s">
        <v>167</v>
      </c>
      <c r="C2249" s="4" t="s">
        <v>168</v>
      </c>
      <c r="D2249" s="4" t="s">
        <v>314</v>
      </c>
      <c r="E2249" s="4" t="s">
        <v>322</v>
      </c>
      <c r="F2249" t="s">
        <v>233</v>
      </c>
      <c r="G2249" t="s">
        <v>225</v>
      </c>
      <c r="H2249">
        <f>VLOOKUP(C2249,'TB Apr 24'!$B$13:$AO$103,40,0)</f>
        <v>0</v>
      </c>
    </row>
    <row r="2250" spans="1:8" x14ac:dyDescent="0.35">
      <c r="A2250" s="77">
        <v>45383</v>
      </c>
      <c r="B2250" s="3" t="s">
        <v>169</v>
      </c>
      <c r="C2250" s="4" t="s">
        <v>170</v>
      </c>
      <c r="D2250" s="4" t="s">
        <v>314</v>
      </c>
      <c r="E2250" s="4" t="s">
        <v>304</v>
      </c>
      <c r="F2250" t="s">
        <v>233</v>
      </c>
      <c r="G2250" t="s">
        <v>225</v>
      </c>
      <c r="H2250">
        <f>VLOOKUP(C2250,'TB Apr 24'!$B$13:$AO$103,40,0)</f>
        <v>27259</v>
      </c>
    </row>
    <row r="2251" spans="1:8" x14ac:dyDescent="0.35">
      <c r="A2251" s="77">
        <v>45383</v>
      </c>
      <c r="B2251" s="3" t="s">
        <v>171</v>
      </c>
      <c r="C2251" s="4" t="s">
        <v>172</v>
      </c>
      <c r="D2251" s="4" t="s">
        <v>314</v>
      </c>
      <c r="E2251" s="4" t="s">
        <v>303</v>
      </c>
      <c r="F2251" t="s">
        <v>233</v>
      </c>
      <c r="G2251" t="s">
        <v>225</v>
      </c>
      <c r="H2251">
        <f>VLOOKUP(C2251,'TB Apr 24'!$B$13:$AO$103,40,0)</f>
        <v>0</v>
      </c>
    </row>
    <row r="2252" spans="1:8" x14ac:dyDescent="0.35">
      <c r="A2252" s="77">
        <v>45383</v>
      </c>
      <c r="B2252" s="3" t="s">
        <v>173</v>
      </c>
      <c r="C2252" s="4" t="s">
        <v>174</v>
      </c>
      <c r="D2252" s="4" t="s">
        <v>314</v>
      </c>
      <c r="E2252" s="4" t="s">
        <v>257</v>
      </c>
      <c r="F2252" t="s">
        <v>233</v>
      </c>
      <c r="G2252" t="s">
        <v>225</v>
      </c>
      <c r="H2252">
        <f>VLOOKUP(C2252,'TB Apr 24'!$B$13:$AO$103,40,0)</f>
        <v>0</v>
      </c>
    </row>
    <row r="2253" spans="1:8" x14ac:dyDescent="0.35">
      <c r="A2253" s="77">
        <v>45383</v>
      </c>
      <c r="B2253" s="3" t="s">
        <v>175</v>
      </c>
      <c r="C2253" s="4" t="s">
        <v>176</v>
      </c>
      <c r="D2253" s="4" t="s">
        <v>314</v>
      </c>
      <c r="E2253" s="4" t="s">
        <v>257</v>
      </c>
      <c r="F2253" t="s">
        <v>233</v>
      </c>
      <c r="G2253" t="s">
        <v>225</v>
      </c>
      <c r="H2253">
        <f>VLOOKUP(C2253,'TB Apr 24'!$B$13:$AO$103,40,0)</f>
        <v>0</v>
      </c>
    </row>
    <row r="2254" spans="1:8" x14ac:dyDescent="0.35">
      <c r="A2254" s="77">
        <v>45383</v>
      </c>
      <c r="B2254" s="3" t="s">
        <v>177</v>
      </c>
      <c r="C2254" s="4" t="s">
        <v>178</v>
      </c>
      <c r="D2254" s="4" t="s">
        <v>314</v>
      </c>
      <c r="E2254" s="4" t="s">
        <v>257</v>
      </c>
      <c r="F2254" t="s">
        <v>233</v>
      </c>
      <c r="G2254" t="s">
        <v>225</v>
      </c>
      <c r="H2254">
        <f>VLOOKUP(C2254,'TB Apr 24'!$B$13:$AO$103,40,0)</f>
        <v>0</v>
      </c>
    </row>
    <row r="2255" spans="1:8" x14ac:dyDescent="0.35">
      <c r="A2255" s="77">
        <v>45383</v>
      </c>
      <c r="B2255" s="3" t="s">
        <v>179</v>
      </c>
      <c r="C2255" s="4" t="s">
        <v>180</v>
      </c>
      <c r="D2255" s="4" t="s">
        <v>314</v>
      </c>
      <c r="E2255" s="4" t="s">
        <v>322</v>
      </c>
      <c r="F2255" t="s">
        <v>233</v>
      </c>
      <c r="G2255" t="s">
        <v>225</v>
      </c>
      <c r="H2255">
        <f>VLOOKUP(C2255,'TB Apr 24'!$B$13:$AO$103,40,0)</f>
        <v>0</v>
      </c>
    </row>
    <row r="2256" spans="1:8" x14ac:dyDescent="0.35">
      <c r="A2256" s="77">
        <v>45383</v>
      </c>
      <c r="B2256" s="3" t="s">
        <v>181</v>
      </c>
      <c r="C2256" s="4" t="s">
        <v>182</v>
      </c>
      <c r="D2256" s="4" t="s">
        <v>314</v>
      </c>
      <c r="E2256" s="4" t="s">
        <v>290</v>
      </c>
      <c r="F2256" t="s">
        <v>233</v>
      </c>
      <c r="G2256" t="s">
        <v>225</v>
      </c>
      <c r="H2256">
        <f>VLOOKUP(C2256,'TB Apr 24'!$B$13:$AO$103,40,0)</f>
        <v>0</v>
      </c>
    </row>
    <row r="2257" spans="1:8" x14ac:dyDescent="0.35">
      <c r="A2257" s="77">
        <v>45383</v>
      </c>
      <c r="B2257" s="3" t="s">
        <v>183</v>
      </c>
      <c r="C2257" s="4" t="s">
        <v>184</v>
      </c>
      <c r="D2257" s="4" t="s">
        <v>314</v>
      </c>
      <c r="E2257" s="4" t="s">
        <v>290</v>
      </c>
      <c r="F2257" t="s">
        <v>233</v>
      </c>
      <c r="G2257" t="s">
        <v>225</v>
      </c>
      <c r="H2257">
        <f>VLOOKUP(C2257,'TB Apr 24'!$B$13:$AO$103,40,0)</f>
        <v>0</v>
      </c>
    </row>
    <row r="2258" spans="1:8" x14ac:dyDescent="0.35">
      <c r="A2258" s="77">
        <v>45383</v>
      </c>
      <c r="B2258" s="3" t="s">
        <v>185</v>
      </c>
      <c r="C2258" s="4" t="s">
        <v>186</v>
      </c>
      <c r="D2258" s="4" t="s">
        <v>314</v>
      </c>
      <c r="E2258" s="4" t="s">
        <v>290</v>
      </c>
      <c r="F2258" t="s">
        <v>233</v>
      </c>
      <c r="G2258" t="s">
        <v>225</v>
      </c>
      <c r="H2258">
        <f>VLOOKUP(C2258,'TB Apr 24'!$B$13:$AO$103,40,0)</f>
        <v>98890</v>
      </c>
    </row>
    <row r="2259" spans="1:8" x14ac:dyDescent="0.35">
      <c r="A2259" s="77">
        <v>45383</v>
      </c>
      <c r="B2259" s="3" t="s">
        <v>187</v>
      </c>
      <c r="C2259" s="4" t="s">
        <v>188</v>
      </c>
      <c r="D2259" s="4" t="s">
        <v>314</v>
      </c>
      <c r="E2259" s="4" t="s">
        <v>291</v>
      </c>
      <c r="F2259" t="s">
        <v>233</v>
      </c>
      <c r="G2259" t="s">
        <v>225</v>
      </c>
      <c r="H2259">
        <f>VLOOKUP(C2259,'TB Apr 24'!$B$13:$AO$103,40,0)</f>
        <v>53600</v>
      </c>
    </row>
    <row r="2260" spans="1:8" x14ac:dyDescent="0.35">
      <c r="A2260" s="77">
        <v>45383</v>
      </c>
      <c r="B2260" s="3" t="s">
        <v>189</v>
      </c>
      <c r="C2260" s="4" t="s">
        <v>190</v>
      </c>
      <c r="D2260" s="4" t="s">
        <v>314</v>
      </c>
      <c r="E2260" s="4" t="s">
        <v>254</v>
      </c>
      <c r="F2260" t="s">
        <v>233</v>
      </c>
      <c r="G2260" t="s">
        <v>225</v>
      </c>
      <c r="H2260">
        <f>VLOOKUP(C2260,'TB Apr 24'!$B$13:$AO$103,40,0)</f>
        <v>0</v>
      </c>
    </row>
    <row r="2261" spans="1:8" x14ac:dyDescent="0.35">
      <c r="A2261" s="77">
        <v>45383</v>
      </c>
      <c r="B2261" s="3" t="s">
        <v>191</v>
      </c>
      <c r="C2261" s="4" t="s">
        <v>192</v>
      </c>
      <c r="D2261" s="4" t="s">
        <v>314</v>
      </c>
      <c r="E2261" s="4" t="s">
        <v>254</v>
      </c>
      <c r="F2261" t="s">
        <v>233</v>
      </c>
      <c r="G2261" t="s">
        <v>225</v>
      </c>
      <c r="H2261">
        <f>VLOOKUP(C2261,'TB Apr 24'!$B$13:$AO$103,40,0)</f>
        <v>0</v>
      </c>
    </row>
    <row r="2262" spans="1:8" x14ac:dyDescent="0.35">
      <c r="A2262" s="77">
        <v>45383</v>
      </c>
      <c r="B2262" s="3" t="s">
        <v>193</v>
      </c>
      <c r="C2262" s="4" t="s">
        <v>194</v>
      </c>
      <c r="D2262" s="4" t="s">
        <v>314</v>
      </c>
      <c r="E2262" s="4" t="s">
        <v>254</v>
      </c>
      <c r="F2262" t="s">
        <v>233</v>
      </c>
      <c r="G2262" t="s">
        <v>225</v>
      </c>
      <c r="H2262">
        <f>VLOOKUP(C2262,'TB Apr 24'!$B$13:$AO$103,40,0)</f>
        <v>1226114.3706559343</v>
      </c>
    </row>
    <row r="2263" spans="1:8" x14ac:dyDescent="0.35">
      <c r="A2263" s="77">
        <v>45383</v>
      </c>
      <c r="B2263" s="3" t="s">
        <v>195</v>
      </c>
      <c r="C2263" s="4" t="s">
        <v>196</v>
      </c>
      <c r="D2263" s="4" t="s">
        <v>314</v>
      </c>
      <c r="E2263" s="4" t="s">
        <v>255</v>
      </c>
      <c r="F2263" t="s">
        <v>233</v>
      </c>
      <c r="G2263" t="s">
        <v>225</v>
      </c>
      <c r="H2263">
        <f>VLOOKUP(C2263,'TB Apr 24'!$B$13:$AO$103,40,0)</f>
        <v>0</v>
      </c>
    </row>
    <row r="2264" spans="1:8" x14ac:dyDescent="0.35">
      <c r="A2264" s="77">
        <v>45383</v>
      </c>
      <c r="B2264" s="3" t="s">
        <v>197</v>
      </c>
      <c r="C2264" s="4" t="s">
        <v>198</v>
      </c>
      <c r="D2264" s="4" t="s">
        <v>314</v>
      </c>
      <c r="E2264" s="4" t="s">
        <v>255</v>
      </c>
      <c r="F2264" t="s">
        <v>233</v>
      </c>
      <c r="G2264" t="s">
        <v>225</v>
      </c>
      <c r="H2264">
        <f>VLOOKUP(C2264,'TB Apr 24'!$B$13:$AO$103,40,0)</f>
        <v>0</v>
      </c>
    </row>
    <row r="2265" spans="1:8" x14ac:dyDescent="0.35">
      <c r="A2265" s="77">
        <v>45383</v>
      </c>
      <c r="B2265" s="3" t="s">
        <v>199</v>
      </c>
      <c r="C2265" s="4" t="s">
        <v>200</v>
      </c>
      <c r="D2265" s="4" t="s">
        <v>314</v>
      </c>
      <c r="E2265" s="4" t="s">
        <v>254</v>
      </c>
      <c r="F2265" t="s">
        <v>233</v>
      </c>
      <c r="G2265" t="s">
        <v>225</v>
      </c>
      <c r="H2265">
        <f>VLOOKUP(C2265,'TB Apr 24'!$B$13:$AO$103,40,0)</f>
        <v>0</v>
      </c>
    </row>
    <row r="2266" spans="1:8" x14ac:dyDescent="0.35">
      <c r="A2266" s="77">
        <v>45383</v>
      </c>
      <c r="B2266" s="3" t="s">
        <v>201</v>
      </c>
      <c r="C2266" s="4" t="s">
        <v>202</v>
      </c>
      <c r="D2266" s="4" t="s">
        <v>314</v>
      </c>
      <c r="E2266" s="4" t="s">
        <v>254</v>
      </c>
      <c r="F2266" t="s">
        <v>233</v>
      </c>
      <c r="G2266" t="s">
        <v>225</v>
      </c>
      <c r="H2266">
        <f>VLOOKUP(C2266,'TB Apr 24'!$B$13:$AO$103,40,0)</f>
        <v>0</v>
      </c>
    </row>
    <row r="2267" spans="1:8" x14ac:dyDescent="0.35">
      <c r="A2267" s="77">
        <v>45383</v>
      </c>
      <c r="B2267" s="3" t="s">
        <v>203</v>
      </c>
      <c r="C2267" s="4" t="s">
        <v>204</v>
      </c>
      <c r="D2267" s="4" t="s">
        <v>314</v>
      </c>
      <c r="E2267" s="4" t="s">
        <v>256</v>
      </c>
      <c r="F2267" t="s">
        <v>233</v>
      </c>
      <c r="G2267" t="s">
        <v>225</v>
      </c>
      <c r="H2267">
        <f>VLOOKUP(C2267,'TB Apr 24'!$B$13:$AO$103,40,0)</f>
        <v>240607.10000000009</v>
      </c>
    </row>
    <row r="2268" spans="1:8" x14ac:dyDescent="0.35">
      <c r="A2268" s="77">
        <v>45383</v>
      </c>
      <c r="B2268" s="3" t="s">
        <v>205</v>
      </c>
      <c r="C2268" s="6" t="s">
        <v>206</v>
      </c>
      <c r="D2268" s="4" t="s">
        <v>314</v>
      </c>
      <c r="E2268" s="6" t="s">
        <v>322</v>
      </c>
      <c r="F2268" s="79" t="s">
        <v>233</v>
      </c>
      <c r="G2268" s="79" t="s">
        <v>225</v>
      </c>
      <c r="H2268" s="79">
        <f>VLOOKUP(C2268,'TB Apr 24'!$B$13:$AO$103,40,0)</f>
        <v>0</v>
      </c>
    </row>
    <row r="2269" spans="1:8" x14ac:dyDescent="0.35">
      <c r="A2269" s="77">
        <v>45383</v>
      </c>
      <c r="B2269" s="3" t="s">
        <v>57</v>
      </c>
      <c r="C2269" s="4" t="s">
        <v>58</v>
      </c>
      <c r="D2269" s="4" t="s">
        <v>314</v>
      </c>
      <c r="E2269" s="4" t="s">
        <v>253</v>
      </c>
      <c r="F2269" t="s">
        <v>233</v>
      </c>
      <c r="G2269" t="s">
        <v>325</v>
      </c>
      <c r="H2269">
        <f>VLOOKUP(C2269,'TB Apr 24'!$B$13:$AP$103,41,0)</f>
        <v>0</v>
      </c>
    </row>
    <row r="2270" spans="1:8" x14ac:dyDescent="0.35">
      <c r="A2270" s="77">
        <v>45383</v>
      </c>
      <c r="B2270" s="3" t="s">
        <v>307</v>
      </c>
      <c r="C2270" s="4" t="s">
        <v>308</v>
      </c>
      <c r="D2270" s="4" t="s">
        <v>314</v>
      </c>
      <c r="E2270" s="4" t="s">
        <v>253</v>
      </c>
      <c r="F2270" t="s">
        <v>233</v>
      </c>
      <c r="G2270" t="s">
        <v>325</v>
      </c>
      <c r="H2270">
        <f>VLOOKUP(C2270,'TB Apr 24'!$B$13:$AP$103,41,0)</f>
        <v>0</v>
      </c>
    </row>
    <row r="2271" spans="1:8" x14ac:dyDescent="0.35">
      <c r="A2271" s="77">
        <v>45383</v>
      </c>
      <c r="B2271" s="3" t="s">
        <v>59</v>
      </c>
      <c r="C2271" s="4" t="s">
        <v>60</v>
      </c>
      <c r="D2271" s="4" t="s">
        <v>314</v>
      </c>
      <c r="E2271" s="4" t="s">
        <v>253</v>
      </c>
      <c r="F2271" t="s">
        <v>233</v>
      </c>
      <c r="G2271" t="s">
        <v>325</v>
      </c>
      <c r="H2271">
        <f>VLOOKUP(C2271,'TB Apr 24'!$B$13:$AP$103,41,0)</f>
        <v>0</v>
      </c>
    </row>
    <row r="2272" spans="1:8" x14ac:dyDescent="0.35">
      <c r="A2272" s="77">
        <v>45383</v>
      </c>
      <c r="B2272" s="3" t="s">
        <v>61</v>
      </c>
      <c r="C2272" s="4" t="s">
        <v>62</v>
      </c>
      <c r="D2272" s="4" t="s">
        <v>314</v>
      </c>
      <c r="E2272" s="4" t="s">
        <v>66</v>
      </c>
      <c r="F2272" t="s">
        <v>233</v>
      </c>
      <c r="G2272" t="s">
        <v>325</v>
      </c>
      <c r="H2272">
        <f>VLOOKUP(C2272,'TB Apr 24'!$B$13:$AP$103,41,0)</f>
        <v>0</v>
      </c>
    </row>
    <row r="2273" spans="1:8" x14ac:dyDescent="0.35">
      <c r="A2273" s="77">
        <v>45383</v>
      </c>
      <c r="B2273" s="3" t="s">
        <v>63</v>
      </c>
      <c r="C2273" s="4" t="s">
        <v>64</v>
      </c>
      <c r="D2273" s="4" t="s">
        <v>314</v>
      </c>
      <c r="E2273" s="4" t="s">
        <v>252</v>
      </c>
      <c r="F2273" t="s">
        <v>233</v>
      </c>
      <c r="G2273" t="s">
        <v>325</v>
      </c>
      <c r="H2273">
        <f>VLOOKUP(C2273,'TB Apr 24'!$B$13:$AP$103,41,0)</f>
        <v>0</v>
      </c>
    </row>
    <row r="2274" spans="1:8" x14ac:dyDescent="0.35">
      <c r="A2274" s="77">
        <v>45383</v>
      </c>
      <c r="B2274" s="3" t="s">
        <v>65</v>
      </c>
      <c r="C2274" s="4" t="s">
        <v>66</v>
      </c>
      <c r="D2274" s="4" t="s">
        <v>314</v>
      </c>
      <c r="E2274" s="4" t="s">
        <v>66</v>
      </c>
      <c r="F2274" t="s">
        <v>233</v>
      </c>
      <c r="G2274" t="s">
        <v>325</v>
      </c>
      <c r="H2274">
        <f>VLOOKUP(C2274,'TB Apr 24'!$B$13:$AP$103,41,0)</f>
        <v>-142519</v>
      </c>
    </row>
    <row r="2275" spans="1:8" x14ac:dyDescent="0.35">
      <c r="A2275" s="77">
        <v>45383</v>
      </c>
      <c r="B2275" s="3" t="s">
        <v>67</v>
      </c>
      <c r="C2275" s="4" t="s">
        <v>68</v>
      </c>
      <c r="D2275" s="4" t="s">
        <v>314</v>
      </c>
      <c r="E2275" s="4" t="s">
        <v>252</v>
      </c>
      <c r="F2275" t="s">
        <v>233</v>
      </c>
      <c r="G2275" t="s">
        <v>325</v>
      </c>
      <c r="H2275">
        <f>VLOOKUP(C2275,'TB Apr 24'!$B$13:$AP$103,41,0)</f>
        <v>-79710</v>
      </c>
    </row>
    <row r="2276" spans="1:8" x14ac:dyDescent="0.35">
      <c r="A2276" s="77">
        <v>45383</v>
      </c>
      <c r="B2276" s="3" t="s">
        <v>69</v>
      </c>
      <c r="C2276" s="4" t="s">
        <v>70</v>
      </c>
      <c r="D2276" s="4" t="s">
        <v>314</v>
      </c>
      <c r="E2276" s="4" t="s">
        <v>70</v>
      </c>
      <c r="F2276" t="s">
        <v>233</v>
      </c>
      <c r="G2276" t="s">
        <v>325</v>
      </c>
      <c r="H2276">
        <f>VLOOKUP(C2276,'TB Apr 24'!$B$13:$AP$103,41,0)</f>
        <v>0</v>
      </c>
    </row>
    <row r="2277" spans="1:8" x14ac:dyDescent="0.35">
      <c r="A2277" s="77">
        <v>45383</v>
      </c>
      <c r="B2277" s="3" t="s">
        <v>71</v>
      </c>
      <c r="C2277" s="4" t="s">
        <v>72</v>
      </c>
      <c r="D2277" s="4" t="s">
        <v>314</v>
      </c>
      <c r="E2277" s="4" t="s">
        <v>253</v>
      </c>
      <c r="F2277" t="s">
        <v>233</v>
      </c>
      <c r="G2277" t="s">
        <v>325</v>
      </c>
      <c r="H2277">
        <f>VLOOKUP(C2277,'TB Apr 24'!$B$13:$AP$103,41,0)</f>
        <v>0</v>
      </c>
    </row>
    <row r="2278" spans="1:8" x14ac:dyDescent="0.35">
      <c r="A2278" s="77">
        <v>45383</v>
      </c>
      <c r="B2278" s="3" t="s">
        <v>73</v>
      </c>
      <c r="C2278" s="4" t="s">
        <v>74</v>
      </c>
      <c r="D2278" s="4" t="s">
        <v>314</v>
      </c>
      <c r="E2278" s="4" t="s">
        <v>253</v>
      </c>
      <c r="F2278" t="s">
        <v>233</v>
      </c>
      <c r="G2278" t="s">
        <v>325</v>
      </c>
      <c r="H2278">
        <f>VLOOKUP(C2278,'TB Apr 24'!$B$13:$AP$103,41,0)</f>
        <v>0</v>
      </c>
    </row>
    <row r="2279" spans="1:8" x14ac:dyDescent="0.35">
      <c r="A2279" s="77">
        <v>45383</v>
      </c>
      <c r="B2279" s="3" t="s">
        <v>75</v>
      </c>
      <c r="C2279" s="4" t="s">
        <v>76</v>
      </c>
      <c r="D2279" s="4" t="s">
        <v>314</v>
      </c>
      <c r="E2279" s="4" t="s">
        <v>253</v>
      </c>
      <c r="F2279" t="s">
        <v>233</v>
      </c>
      <c r="G2279" t="s">
        <v>325</v>
      </c>
      <c r="H2279">
        <f>VLOOKUP(C2279,'TB Apr 24'!$B$13:$AP$103,41,0)</f>
        <v>0</v>
      </c>
    </row>
    <row r="2280" spans="1:8" x14ac:dyDescent="0.35">
      <c r="A2280" s="77">
        <v>45383</v>
      </c>
      <c r="B2280" s="3" t="s">
        <v>77</v>
      </c>
      <c r="C2280" s="4" t="s">
        <v>78</v>
      </c>
      <c r="D2280" s="4" t="s">
        <v>314</v>
      </c>
      <c r="E2280" s="4" t="s">
        <v>253</v>
      </c>
      <c r="F2280" t="s">
        <v>233</v>
      </c>
      <c r="G2280" t="s">
        <v>325</v>
      </c>
      <c r="H2280">
        <f>VLOOKUP(C2280,'TB Apr 24'!$B$13:$AP$103,41,0)</f>
        <v>-5229.6000000000004</v>
      </c>
    </row>
    <row r="2281" spans="1:8" x14ac:dyDescent="0.35">
      <c r="A2281" s="77">
        <v>45383</v>
      </c>
      <c r="B2281" s="3" t="s">
        <v>79</v>
      </c>
      <c r="C2281" s="4" t="s">
        <v>80</v>
      </c>
      <c r="D2281" s="4" t="s">
        <v>314</v>
      </c>
      <c r="E2281" s="4" t="s">
        <v>253</v>
      </c>
      <c r="F2281" t="s">
        <v>233</v>
      </c>
      <c r="G2281" t="s">
        <v>325</v>
      </c>
      <c r="H2281">
        <f>VLOOKUP(C2281,'TB Apr 24'!$B$13:$AP$103,41,0)</f>
        <v>0</v>
      </c>
    </row>
    <row r="2282" spans="1:8" x14ac:dyDescent="0.35">
      <c r="A2282" s="77">
        <v>45383</v>
      </c>
      <c r="B2282" s="3" t="s">
        <v>81</v>
      </c>
      <c r="C2282" s="4" t="s">
        <v>82</v>
      </c>
      <c r="D2282" s="4" t="s">
        <v>314</v>
      </c>
      <c r="E2282" s="4" t="s">
        <v>319</v>
      </c>
      <c r="F2282" t="s">
        <v>233</v>
      </c>
      <c r="G2282" t="s">
        <v>325</v>
      </c>
      <c r="H2282">
        <f>VLOOKUP(C2282,'TB Apr 24'!$B$13:$AP$103,41,0)</f>
        <v>0</v>
      </c>
    </row>
    <row r="2283" spans="1:8" x14ac:dyDescent="0.35">
      <c r="A2283" s="77">
        <v>45383</v>
      </c>
      <c r="B2283" s="3" t="s">
        <v>83</v>
      </c>
      <c r="C2283" s="4" t="s">
        <v>84</v>
      </c>
      <c r="D2283" s="4" t="s">
        <v>314</v>
      </c>
      <c r="E2283" s="4" t="s">
        <v>319</v>
      </c>
      <c r="F2283" t="s">
        <v>233</v>
      </c>
      <c r="G2283" t="s">
        <v>325</v>
      </c>
      <c r="H2283">
        <f>VLOOKUP(C2283,'TB Apr 24'!$B$13:$AP$103,41,0)</f>
        <v>0</v>
      </c>
    </row>
    <row r="2284" spans="1:8" x14ac:dyDescent="0.35">
      <c r="A2284" s="77">
        <v>45383</v>
      </c>
      <c r="B2284" s="3" t="s">
        <v>85</v>
      </c>
      <c r="C2284" s="4" t="s">
        <v>86</v>
      </c>
      <c r="D2284" s="4" t="s">
        <v>314</v>
      </c>
      <c r="E2284" s="4" t="s">
        <v>291</v>
      </c>
      <c r="F2284" t="s">
        <v>233</v>
      </c>
      <c r="G2284" t="s">
        <v>325</v>
      </c>
      <c r="H2284">
        <f>VLOOKUP(C2284,'TB Apr 24'!$B$13:$AP$103,41,0)</f>
        <v>5879.2</v>
      </c>
    </row>
    <row r="2285" spans="1:8" x14ac:dyDescent="0.35">
      <c r="A2285" s="77">
        <v>45383</v>
      </c>
      <c r="B2285" s="3" t="s">
        <v>88</v>
      </c>
      <c r="C2285" s="4" t="s">
        <v>89</v>
      </c>
      <c r="D2285" s="4" t="s">
        <v>314</v>
      </c>
      <c r="E2285" s="4" t="s">
        <v>300</v>
      </c>
      <c r="F2285" t="s">
        <v>233</v>
      </c>
      <c r="G2285" t="s">
        <v>325</v>
      </c>
      <c r="H2285">
        <f>VLOOKUP(C2285,'TB Apr 24'!$B$13:$AP$103,41,0)</f>
        <v>0</v>
      </c>
    </row>
    <row r="2286" spans="1:8" x14ac:dyDescent="0.35">
      <c r="A2286" s="77">
        <v>45383</v>
      </c>
      <c r="B2286" s="3" t="s">
        <v>90</v>
      </c>
      <c r="C2286" s="4" t="s">
        <v>91</v>
      </c>
      <c r="D2286" s="4" t="s">
        <v>314</v>
      </c>
      <c r="E2286" s="4" t="s">
        <v>300</v>
      </c>
      <c r="F2286" t="s">
        <v>233</v>
      </c>
      <c r="G2286" t="s">
        <v>325</v>
      </c>
      <c r="H2286">
        <f>VLOOKUP(C2286,'TB Apr 24'!$B$13:$AP$103,41,0)</f>
        <v>704</v>
      </c>
    </row>
    <row r="2287" spans="1:8" x14ac:dyDescent="0.35">
      <c r="A2287" s="77">
        <v>45383</v>
      </c>
      <c r="B2287" s="3" t="s">
        <v>92</v>
      </c>
      <c r="C2287" s="4" t="s">
        <v>93</v>
      </c>
      <c r="D2287" s="4" t="s">
        <v>314</v>
      </c>
      <c r="E2287" s="4" t="s">
        <v>300</v>
      </c>
      <c r="F2287" t="s">
        <v>233</v>
      </c>
      <c r="G2287" t="s">
        <v>325</v>
      </c>
      <c r="H2287">
        <f>VLOOKUP(C2287,'TB Apr 24'!$B$13:$AP$103,41,0)</f>
        <v>0</v>
      </c>
    </row>
    <row r="2288" spans="1:8" x14ac:dyDescent="0.35">
      <c r="A2288" s="77">
        <v>45383</v>
      </c>
      <c r="B2288" s="3" t="s">
        <v>94</v>
      </c>
      <c r="C2288" s="4" t="s">
        <v>95</v>
      </c>
      <c r="D2288" s="4" t="s">
        <v>314</v>
      </c>
      <c r="E2288" s="4" t="s">
        <v>289</v>
      </c>
      <c r="F2288" t="s">
        <v>233</v>
      </c>
      <c r="G2288" t="s">
        <v>325</v>
      </c>
      <c r="H2288">
        <f>VLOOKUP(C2288,'TB Apr 24'!$B$13:$AP$103,41,0)</f>
        <v>541898</v>
      </c>
    </row>
    <row r="2289" spans="1:8" x14ac:dyDescent="0.35">
      <c r="A2289" s="77">
        <v>45383</v>
      </c>
      <c r="B2289" s="3" t="s">
        <v>96</v>
      </c>
      <c r="C2289" s="4" t="s">
        <v>97</v>
      </c>
      <c r="D2289" s="4" t="s">
        <v>314</v>
      </c>
      <c r="E2289" s="4" t="s">
        <v>289</v>
      </c>
      <c r="F2289" t="s">
        <v>233</v>
      </c>
      <c r="G2289" t="s">
        <v>325</v>
      </c>
      <c r="H2289">
        <f>VLOOKUP(C2289,'TB Apr 24'!$B$13:$AP$103,41,0)</f>
        <v>0</v>
      </c>
    </row>
    <row r="2290" spans="1:8" x14ac:dyDescent="0.35">
      <c r="A2290" s="77">
        <v>45383</v>
      </c>
      <c r="B2290" s="3" t="s">
        <v>309</v>
      </c>
      <c r="C2290" s="4" t="s">
        <v>310</v>
      </c>
      <c r="D2290" s="4" t="s">
        <v>314</v>
      </c>
      <c r="E2290" s="4" t="s">
        <v>289</v>
      </c>
      <c r="F2290" t="s">
        <v>233</v>
      </c>
      <c r="G2290" t="s">
        <v>325</v>
      </c>
      <c r="H2290">
        <f>VLOOKUP(C2290,'TB Apr 24'!$B$13:$AP$103,41,0)</f>
        <v>0</v>
      </c>
    </row>
    <row r="2291" spans="1:8" x14ac:dyDescent="0.35">
      <c r="A2291" s="77">
        <v>45383</v>
      </c>
      <c r="B2291" s="3" t="s">
        <v>98</v>
      </c>
      <c r="C2291" s="4" t="s">
        <v>99</v>
      </c>
      <c r="D2291" s="4" t="s">
        <v>314</v>
      </c>
      <c r="E2291" s="4" t="s">
        <v>289</v>
      </c>
      <c r="F2291" t="s">
        <v>233</v>
      </c>
      <c r="G2291" t="s">
        <v>325</v>
      </c>
      <c r="H2291">
        <f>VLOOKUP(C2291,'TB Apr 24'!$B$13:$AP$103,41,0)</f>
        <v>0</v>
      </c>
    </row>
    <row r="2292" spans="1:8" x14ac:dyDescent="0.35">
      <c r="A2292" s="77">
        <v>45383</v>
      </c>
      <c r="B2292" s="3" t="s">
        <v>100</v>
      </c>
      <c r="C2292" s="4" t="s">
        <v>101</v>
      </c>
      <c r="D2292" s="4" t="s">
        <v>314</v>
      </c>
      <c r="E2292" s="4" t="s">
        <v>291</v>
      </c>
      <c r="F2292" t="s">
        <v>233</v>
      </c>
      <c r="G2292" t="s">
        <v>325</v>
      </c>
      <c r="H2292">
        <f>VLOOKUP(C2292,'TB Apr 24'!$B$13:$AP$103,41,0)</f>
        <v>0</v>
      </c>
    </row>
    <row r="2293" spans="1:8" x14ac:dyDescent="0.35">
      <c r="A2293" s="77">
        <v>45383</v>
      </c>
      <c r="B2293" s="3" t="s">
        <v>102</v>
      </c>
      <c r="C2293" s="4" t="s">
        <v>103</v>
      </c>
      <c r="D2293" s="4" t="s">
        <v>314</v>
      </c>
      <c r="E2293" s="4" t="s">
        <v>291</v>
      </c>
      <c r="F2293" t="s">
        <v>233</v>
      </c>
      <c r="G2293" t="s">
        <v>325</v>
      </c>
      <c r="H2293">
        <f>VLOOKUP(C2293,'TB Apr 24'!$B$13:$AP$103,41,0)</f>
        <v>0</v>
      </c>
    </row>
    <row r="2294" spans="1:8" x14ac:dyDescent="0.35">
      <c r="A2294" s="77">
        <v>45383</v>
      </c>
      <c r="B2294" s="3" t="s">
        <v>104</v>
      </c>
      <c r="C2294" s="4" t="s">
        <v>105</v>
      </c>
      <c r="D2294" s="4" t="s">
        <v>314</v>
      </c>
      <c r="E2294" s="4" t="s">
        <v>291</v>
      </c>
      <c r="F2294" t="s">
        <v>233</v>
      </c>
      <c r="G2294" t="s">
        <v>325</v>
      </c>
      <c r="H2294">
        <f>VLOOKUP(C2294,'TB Apr 24'!$B$13:$AP$103,41,0)</f>
        <v>10700</v>
      </c>
    </row>
    <row r="2295" spans="1:8" x14ac:dyDescent="0.35">
      <c r="A2295" s="77">
        <v>45383</v>
      </c>
      <c r="B2295" s="3" t="s">
        <v>106</v>
      </c>
      <c r="C2295" s="4" t="s">
        <v>107</v>
      </c>
      <c r="D2295" s="4" t="s">
        <v>314</v>
      </c>
      <c r="E2295" s="4" t="s">
        <v>321</v>
      </c>
      <c r="F2295" t="s">
        <v>233</v>
      </c>
      <c r="G2295" t="s">
        <v>325</v>
      </c>
      <c r="H2295">
        <f>VLOOKUP(C2295,'TB Apr 24'!$B$13:$AP$103,41,0)</f>
        <v>0</v>
      </c>
    </row>
    <row r="2296" spans="1:8" x14ac:dyDescent="0.35">
      <c r="A2296" s="77">
        <v>45383</v>
      </c>
      <c r="B2296" s="3" t="s">
        <v>108</v>
      </c>
      <c r="C2296" s="4" t="s">
        <v>109</v>
      </c>
      <c r="D2296" s="4" t="s">
        <v>314</v>
      </c>
      <c r="E2296" s="4" t="s">
        <v>321</v>
      </c>
      <c r="F2296" t="s">
        <v>233</v>
      </c>
      <c r="G2296" t="s">
        <v>325</v>
      </c>
      <c r="H2296">
        <f>VLOOKUP(C2296,'TB Apr 24'!$B$13:$AP$103,41,0)</f>
        <v>0</v>
      </c>
    </row>
    <row r="2297" spans="1:8" x14ac:dyDescent="0.35">
      <c r="A2297" s="77">
        <v>45383</v>
      </c>
      <c r="B2297" s="3" t="s">
        <v>110</v>
      </c>
      <c r="C2297" s="4" t="s">
        <v>111</v>
      </c>
      <c r="D2297" s="4" t="s">
        <v>314</v>
      </c>
      <c r="E2297" s="4" t="s">
        <v>320</v>
      </c>
      <c r="F2297" t="s">
        <v>233</v>
      </c>
      <c r="G2297" t="s">
        <v>325</v>
      </c>
      <c r="H2297">
        <f>VLOOKUP(C2297,'TB Apr 24'!$B$13:$AP$103,41,0)</f>
        <v>0</v>
      </c>
    </row>
    <row r="2298" spans="1:8" x14ac:dyDescent="0.35">
      <c r="A2298" s="77">
        <v>45383</v>
      </c>
      <c r="B2298" s="3" t="s">
        <v>112</v>
      </c>
      <c r="C2298" s="4" t="s">
        <v>113</v>
      </c>
      <c r="D2298" s="4" t="s">
        <v>314</v>
      </c>
      <c r="E2298" s="4" t="s">
        <v>321</v>
      </c>
      <c r="F2298" t="s">
        <v>233</v>
      </c>
      <c r="G2298" t="s">
        <v>325</v>
      </c>
      <c r="H2298">
        <f>VLOOKUP(C2298,'TB Apr 24'!$B$13:$AP$103,41,0)</f>
        <v>0</v>
      </c>
    </row>
    <row r="2299" spans="1:8" x14ac:dyDescent="0.35">
      <c r="A2299" s="77">
        <v>45383</v>
      </c>
      <c r="B2299" s="3" t="s">
        <v>311</v>
      </c>
      <c r="C2299" s="4" t="s">
        <v>312</v>
      </c>
      <c r="D2299" s="4" t="s">
        <v>314</v>
      </c>
      <c r="E2299" s="4" t="s">
        <v>288</v>
      </c>
      <c r="F2299" t="s">
        <v>233</v>
      </c>
      <c r="G2299" t="s">
        <v>325</v>
      </c>
      <c r="H2299">
        <f>VLOOKUP(C2299,'TB Apr 24'!$B$13:$AP$103,41,0)</f>
        <v>0</v>
      </c>
    </row>
    <row r="2300" spans="1:8" x14ac:dyDescent="0.35">
      <c r="A2300" s="77">
        <v>45383</v>
      </c>
      <c r="B2300" s="3" t="s">
        <v>114</v>
      </c>
      <c r="C2300" s="4" t="s">
        <v>115</v>
      </c>
      <c r="D2300" s="4" t="s">
        <v>314</v>
      </c>
      <c r="E2300" s="4" t="s">
        <v>294</v>
      </c>
      <c r="F2300" t="s">
        <v>233</v>
      </c>
      <c r="G2300" t="s">
        <v>325</v>
      </c>
      <c r="H2300">
        <f>VLOOKUP(C2300,'TB Apr 24'!$B$13:$AP$103,41,0)</f>
        <v>0</v>
      </c>
    </row>
    <row r="2301" spans="1:8" x14ac:dyDescent="0.35">
      <c r="A2301" s="77">
        <v>45383</v>
      </c>
      <c r="B2301" s="3" t="s">
        <v>116</v>
      </c>
      <c r="C2301" s="4" t="s">
        <v>117</v>
      </c>
      <c r="D2301" s="4" t="s">
        <v>314</v>
      </c>
      <c r="E2301" s="4" t="s">
        <v>296</v>
      </c>
      <c r="F2301" t="s">
        <v>233</v>
      </c>
      <c r="G2301" t="s">
        <v>325</v>
      </c>
      <c r="H2301">
        <f>VLOOKUP(C2301,'TB Apr 24'!$B$13:$AP$103,41,0)</f>
        <v>0</v>
      </c>
    </row>
    <row r="2302" spans="1:8" x14ac:dyDescent="0.35">
      <c r="A2302" s="77">
        <v>45383</v>
      </c>
      <c r="B2302" s="3" t="s">
        <v>118</v>
      </c>
      <c r="C2302" s="4" t="s">
        <v>119</v>
      </c>
      <c r="D2302" s="4" t="s">
        <v>314</v>
      </c>
      <c r="E2302" s="4" t="s">
        <v>296</v>
      </c>
      <c r="F2302" t="s">
        <v>233</v>
      </c>
      <c r="G2302" t="s">
        <v>325</v>
      </c>
      <c r="H2302">
        <f>VLOOKUP(C2302,'TB Apr 24'!$B$13:$AP$103,41,0)</f>
        <v>0</v>
      </c>
    </row>
    <row r="2303" spans="1:8" x14ac:dyDescent="0.35">
      <c r="A2303" s="77">
        <v>45383</v>
      </c>
      <c r="B2303" s="3" t="s">
        <v>120</v>
      </c>
      <c r="C2303" s="4" t="s">
        <v>121</v>
      </c>
      <c r="D2303" s="4" t="s">
        <v>314</v>
      </c>
      <c r="E2303" s="4" t="s">
        <v>322</v>
      </c>
      <c r="F2303" t="s">
        <v>233</v>
      </c>
      <c r="G2303" t="s">
        <v>325</v>
      </c>
      <c r="H2303">
        <f>VLOOKUP(C2303,'TB Apr 24'!$B$13:$AP$103,41,0)</f>
        <v>5276</v>
      </c>
    </row>
    <row r="2304" spans="1:8" x14ac:dyDescent="0.35">
      <c r="A2304" s="77">
        <v>45383</v>
      </c>
      <c r="B2304" s="3" t="s">
        <v>122</v>
      </c>
      <c r="C2304" s="4" t="s">
        <v>123</v>
      </c>
      <c r="D2304" s="4" t="s">
        <v>314</v>
      </c>
      <c r="E2304" s="4" t="s">
        <v>322</v>
      </c>
      <c r="F2304" t="s">
        <v>233</v>
      </c>
      <c r="G2304" t="s">
        <v>325</v>
      </c>
      <c r="H2304">
        <f>VLOOKUP(C2304,'TB Apr 24'!$B$13:$AP$103,41,0)</f>
        <v>13003.5</v>
      </c>
    </row>
    <row r="2305" spans="1:8" x14ac:dyDescent="0.35">
      <c r="A2305" s="77">
        <v>45383</v>
      </c>
      <c r="B2305" s="3" t="s">
        <v>124</v>
      </c>
      <c r="C2305" s="4" t="s">
        <v>125</v>
      </c>
      <c r="D2305" s="4" t="s">
        <v>314</v>
      </c>
      <c r="E2305" s="4" t="s">
        <v>322</v>
      </c>
      <c r="F2305" t="s">
        <v>233</v>
      </c>
      <c r="G2305" t="s">
        <v>325</v>
      </c>
      <c r="H2305">
        <f>VLOOKUP(C2305,'TB Apr 24'!$B$13:$AP$103,41,0)</f>
        <v>0</v>
      </c>
    </row>
    <row r="2306" spans="1:8" x14ac:dyDescent="0.35">
      <c r="A2306" s="77">
        <v>45383</v>
      </c>
      <c r="B2306" s="3" t="s">
        <v>126</v>
      </c>
      <c r="C2306" s="4" t="s">
        <v>127</v>
      </c>
      <c r="D2306" s="4" t="s">
        <v>314</v>
      </c>
      <c r="E2306" s="4" t="s">
        <v>291</v>
      </c>
      <c r="F2306" t="s">
        <v>233</v>
      </c>
      <c r="G2306" t="s">
        <v>325</v>
      </c>
      <c r="H2306">
        <f>VLOOKUP(C2306,'TB Apr 24'!$B$13:$AP$103,41,0)</f>
        <v>0</v>
      </c>
    </row>
    <row r="2307" spans="1:8" x14ac:dyDescent="0.35">
      <c r="A2307" s="77">
        <v>45383</v>
      </c>
      <c r="B2307" s="3" t="s">
        <v>128</v>
      </c>
      <c r="C2307" s="4" t="s">
        <v>129</v>
      </c>
      <c r="D2307" s="4" t="s">
        <v>314</v>
      </c>
      <c r="E2307" s="4" t="s">
        <v>322</v>
      </c>
      <c r="F2307" t="s">
        <v>233</v>
      </c>
      <c r="G2307" t="s">
        <v>325</v>
      </c>
      <c r="H2307">
        <f>VLOOKUP(C2307,'TB Apr 24'!$B$13:$AP$103,41,0)</f>
        <v>5708</v>
      </c>
    </row>
    <row r="2308" spans="1:8" x14ac:dyDescent="0.35">
      <c r="A2308" s="77">
        <v>45383</v>
      </c>
      <c r="B2308" s="3" t="s">
        <v>130</v>
      </c>
      <c r="C2308" s="4" t="s">
        <v>131</v>
      </c>
      <c r="D2308" s="4" t="s">
        <v>314</v>
      </c>
      <c r="E2308" s="4" t="s">
        <v>322</v>
      </c>
      <c r="F2308" t="s">
        <v>233</v>
      </c>
      <c r="G2308" t="s">
        <v>325</v>
      </c>
      <c r="H2308">
        <f>VLOOKUP(C2308,'TB Apr 24'!$B$13:$AP$103,41,0)</f>
        <v>2388</v>
      </c>
    </row>
    <row r="2309" spans="1:8" x14ac:dyDescent="0.35">
      <c r="A2309" s="77">
        <v>45383</v>
      </c>
      <c r="B2309" s="3" t="s">
        <v>132</v>
      </c>
      <c r="C2309" s="4" t="s">
        <v>133</v>
      </c>
      <c r="D2309" s="4" t="s">
        <v>314</v>
      </c>
      <c r="E2309" s="4" t="s">
        <v>320</v>
      </c>
      <c r="F2309" t="s">
        <v>233</v>
      </c>
      <c r="G2309" t="s">
        <v>325</v>
      </c>
      <c r="H2309">
        <f>VLOOKUP(C2309,'TB Apr 24'!$B$13:$AP$103,41,0)</f>
        <v>5489.8</v>
      </c>
    </row>
    <row r="2310" spans="1:8" x14ac:dyDescent="0.35">
      <c r="A2310" s="77">
        <v>45383</v>
      </c>
      <c r="B2310" s="3" t="s">
        <v>134</v>
      </c>
      <c r="C2310" s="4" t="s">
        <v>135</v>
      </c>
      <c r="D2310" s="4" t="s">
        <v>314</v>
      </c>
      <c r="E2310" s="4" t="s">
        <v>299</v>
      </c>
      <c r="F2310" t="s">
        <v>233</v>
      </c>
      <c r="G2310" t="s">
        <v>325</v>
      </c>
      <c r="H2310">
        <f>VLOOKUP(C2310,'TB Apr 24'!$B$13:$AP$103,41,0)</f>
        <v>0</v>
      </c>
    </row>
    <row r="2311" spans="1:8" x14ac:dyDescent="0.35">
      <c r="A2311" s="77">
        <v>45383</v>
      </c>
      <c r="B2311" s="3" t="s">
        <v>136</v>
      </c>
      <c r="C2311" s="4" t="s">
        <v>137</v>
      </c>
      <c r="D2311" s="4" t="s">
        <v>314</v>
      </c>
      <c r="E2311" s="4" t="s">
        <v>322</v>
      </c>
      <c r="F2311" t="s">
        <v>233</v>
      </c>
      <c r="G2311" t="s">
        <v>325</v>
      </c>
      <c r="H2311">
        <f>VLOOKUP(C2311,'TB Apr 24'!$B$13:$AP$103,41,0)</f>
        <v>0</v>
      </c>
    </row>
    <row r="2312" spans="1:8" x14ac:dyDescent="0.35">
      <c r="A2312" s="77">
        <v>45383</v>
      </c>
      <c r="B2312" s="3" t="s">
        <v>138</v>
      </c>
      <c r="C2312" s="4" t="s">
        <v>139</v>
      </c>
      <c r="D2312" s="4" t="s">
        <v>314</v>
      </c>
      <c r="E2312" s="4" t="s">
        <v>294</v>
      </c>
      <c r="F2312" t="s">
        <v>233</v>
      </c>
      <c r="G2312" t="s">
        <v>325</v>
      </c>
      <c r="H2312">
        <f>VLOOKUP(C2312,'TB Apr 24'!$B$13:$AP$103,41,0)</f>
        <v>251136</v>
      </c>
    </row>
    <row r="2313" spans="1:8" x14ac:dyDescent="0.35">
      <c r="A2313" s="77">
        <v>45383</v>
      </c>
      <c r="B2313" s="3" t="s">
        <v>140</v>
      </c>
      <c r="C2313" s="4" t="s">
        <v>141</v>
      </c>
      <c r="D2313" s="4" t="s">
        <v>314</v>
      </c>
      <c r="E2313" s="4" t="s">
        <v>268</v>
      </c>
      <c r="F2313" t="s">
        <v>233</v>
      </c>
      <c r="G2313" t="s">
        <v>325</v>
      </c>
      <c r="H2313">
        <f>VLOOKUP(C2313,'TB Apr 24'!$B$13:$AP$103,41,0)</f>
        <v>25020.446</v>
      </c>
    </row>
    <row r="2314" spans="1:8" x14ac:dyDescent="0.35">
      <c r="A2314" s="77">
        <v>45383</v>
      </c>
      <c r="B2314" s="3" t="s">
        <v>142</v>
      </c>
      <c r="C2314" s="4" t="s">
        <v>143</v>
      </c>
      <c r="D2314" s="4" t="s">
        <v>314</v>
      </c>
      <c r="E2314" s="4" t="s">
        <v>269</v>
      </c>
      <c r="F2314" t="s">
        <v>233</v>
      </c>
      <c r="G2314" t="s">
        <v>325</v>
      </c>
      <c r="H2314">
        <f>VLOOKUP(C2314,'TB Apr 24'!$B$13:$AP$103,41,0)</f>
        <v>53123</v>
      </c>
    </row>
    <row r="2315" spans="1:8" x14ac:dyDescent="0.35">
      <c r="A2315" s="77">
        <v>45383</v>
      </c>
      <c r="B2315" s="3" t="s">
        <v>144</v>
      </c>
      <c r="C2315" s="4" t="s">
        <v>145</v>
      </c>
      <c r="D2315" s="4" t="s">
        <v>314</v>
      </c>
      <c r="E2315" s="4" t="s">
        <v>288</v>
      </c>
      <c r="F2315" t="s">
        <v>233</v>
      </c>
      <c r="G2315" t="s">
        <v>325</v>
      </c>
      <c r="H2315">
        <f>VLOOKUP(C2315,'TB Apr 24'!$B$13:$AP$103,41,0)</f>
        <v>0</v>
      </c>
    </row>
    <row r="2316" spans="1:8" x14ac:dyDescent="0.35">
      <c r="A2316" s="77">
        <v>45383</v>
      </c>
      <c r="B2316" s="3" t="s">
        <v>146</v>
      </c>
      <c r="C2316" s="4" t="s">
        <v>147</v>
      </c>
      <c r="D2316" s="4" t="s">
        <v>314</v>
      </c>
      <c r="E2316" s="4" t="s">
        <v>288</v>
      </c>
      <c r="F2316" t="s">
        <v>233</v>
      </c>
      <c r="G2316" t="s">
        <v>325</v>
      </c>
      <c r="H2316">
        <f>VLOOKUP(C2316,'TB Apr 24'!$B$13:$AP$103,41,0)</f>
        <v>54805</v>
      </c>
    </row>
    <row r="2317" spans="1:8" x14ac:dyDescent="0.35">
      <c r="A2317" s="77">
        <v>45383</v>
      </c>
      <c r="B2317" s="3" t="s">
        <v>148</v>
      </c>
      <c r="C2317" s="4" t="s">
        <v>149</v>
      </c>
      <c r="D2317" s="4" t="s">
        <v>314</v>
      </c>
      <c r="E2317" s="4" t="s">
        <v>287</v>
      </c>
      <c r="F2317" t="s">
        <v>233</v>
      </c>
      <c r="G2317" t="s">
        <v>325</v>
      </c>
      <c r="H2317">
        <f>VLOOKUP(C2317,'TB Apr 24'!$B$13:$AP$103,41,0)</f>
        <v>978</v>
      </c>
    </row>
    <row r="2318" spans="1:8" x14ac:dyDescent="0.35">
      <c r="A2318" s="77">
        <v>45383</v>
      </c>
      <c r="B2318" s="3" t="s">
        <v>150</v>
      </c>
      <c r="C2318" s="4" t="s">
        <v>87</v>
      </c>
      <c r="D2318" s="4" t="s">
        <v>314</v>
      </c>
      <c r="E2318" s="4" t="s">
        <v>288</v>
      </c>
      <c r="F2318" t="s">
        <v>233</v>
      </c>
      <c r="G2318" t="s">
        <v>325</v>
      </c>
      <c r="H2318">
        <f>VLOOKUP(C2318,'TB Apr 24'!$B$13:$AP$103,41,0)</f>
        <v>0</v>
      </c>
    </row>
    <row r="2319" spans="1:8" x14ac:dyDescent="0.35">
      <c r="A2319" s="77">
        <v>45383</v>
      </c>
      <c r="B2319" s="3" t="s">
        <v>151</v>
      </c>
      <c r="C2319" s="4" t="s">
        <v>152</v>
      </c>
      <c r="D2319" s="4" t="s">
        <v>314</v>
      </c>
      <c r="E2319" s="4" t="s">
        <v>288</v>
      </c>
      <c r="F2319" t="s">
        <v>233</v>
      </c>
      <c r="G2319" t="s">
        <v>325</v>
      </c>
      <c r="H2319">
        <f>VLOOKUP(C2319,'TB Apr 24'!$B$13:$AP$103,41,0)</f>
        <v>0</v>
      </c>
    </row>
    <row r="2320" spans="1:8" x14ac:dyDescent="0.35">
      <c r="A2320" s="77">
        <v>45383</v>
      </c>
      <c r="B2320" s="3" t="s">
        <v>153</v>
      </c>
      <c r="C2320" s="4" t="s">
        <v>154</v>
      </c>
      <c r="D2320" s="4" t="s">
        <v>314</v>
      </c>
      <c r="E2320" s="4" t="s">
        <v>288</v>
      </c>
      <c r="F2320" t="s">
        <v>233</v>
      </c>
      <c r="G2320" t="s">
        <v>325</v>
      </c>
      <c r="H2320">
        <f>VLOOKUP(C2320,'TB Apr 24'!$B$13:$AP$103,41,0)</f>
        <v>0</v>
      </c>
    </row>
    <row r="2321" spans="1:8" x14ac:dyDescent="0.35">
      <c r="A2321" s="77">
        <v>45383</v>
      </c>
      <c r="B2321" s="3" t="s">
        <v>155</v>
      </c>
      <c r="C2321" s="4" t="s">
        <v>156</v>
      </c>
      <c r="D2321" s="4" t="s">
        <v>314</v>
      </c>
      <c r="E2321" s="4" t="s">
        <v>288</v>
      </c>
      <c r="F2321" t="s">
        <v>233</v>
      </c>
      <c r="G2321" t="s">
        <v>325</v>
      </c>
      <c r="H2321">
        <f>VLOOKUP(C2321,'TB Apr 24'!$B$13:$AP$103,41,0)</f>
        <v>0</v>
      </c>
    </row>
    <row r="2322" spans="1:8" x14ac:dyDescent="0.35">
      <c r="A2322" s="77">
        <v>45383</v>
      </c>
      <c r="B2322" s="3" t="s">
        <v>157</v>
      </c>
      <c r="C2322" s="4" t="s">
        <v>158</v>
      </c>
      <c r="D2322" s="4" t="s">
        <v>314</v>
      </c>
      <c r="E2322" s="4" t="s">
        <v>292</v>
      </c>
      <c r="F2322" t="s">
        <v>233</v>
      </c>
      <c r="G2322" t="s">
        <v>325</v>
      </c>
      <c r="H2322">
        <f>VLOOKUP(C2322,'TB Apr 24'!$B$13:$AP$103,41,0)</f>
        <v>4290.2</v>
      </c>
    </row>
    <row r="2323" spans="1:8" x14ac:dyDescent="0.35">
      <c r="A2323" s="77">
        <v>45383</v>
      </c>
      <c r="B2323" s="3" t="s">
        <v>159</v>
      </c>
      <c r="C2323" s="4" t="s">
        <v>160</v>
      </c>
      <c r="D2323" s="4" t="s">
        <v>314</v>
      </c>
      <c r="E2323" s="4" t="s">
        <v>323</v>
      </c>
      <c r="F2323" t="s">
        <v>233</v>
      </c>
      <c r="G2323" t="s">
        <v>325</v>
      </c>
      <c r="H2323">
        <f>VLOOKUP(C2323,'TB Apr 24'!$B$13:$AP$103,41,0)</f>
        <v>3400</v>
      </c>
    </row>
    <row r="2324" spans="1:8" x14ac:dyDescent="0.35">
      <c r="A2324" s="77">
        <v>45383</v>
      </c>
      <c r="B2324" s="3" t="s">
        <v>161</v>
      </c>
      <c r="C2324" s="4" t="s">
        <v>162</v>
      </c>
      <c r="D2324" s="4" t="s">
        <v>314</v>
      </c>
      <c r="E2324" s="4" t="s">
        <v>323</v>
      </c>
      <c r="F2324" t="s">
        <v>233</v>
      </c>
      <c r="G2324" t="s">
        <v>325</v>
      </c>
      <c r="H2324">
        <f>VLOOKUP(C2324,'TB Apr 24'!$B$13:$AP$103,41,0)</f>
        <v>0</v>
      </c>
    </row>
    <row r="2325" spans="1:8" x14ac:dyDescent="0.35">
      <c r="A2325" s="77">
        <v>45383</v>
      </c>
      <c r="B2325" s="3" t="s">
        <v>163</v>
      </c>
      <c r="C2325" s="4" t="s">
        <v>164</v>
      </c>
      <c r="D2325" s="4" t="s">
        <v>314</v>
      </c>
      <c r="E2325" s="4" t="s">
        <v>319</v>
      </c>
      <c r="F2325" t="s">
        <v>233</v>
      </c>
      <c r="G2325" t="s">
        <v>325</v>
      </c>
      <c r="H2325">
        <f>VLOOKUP(C2325,'TB Apr 24'!$B$13:$AP$103,41,0)</f>
        <v>0</v>
      </c>
    </row>
    <row r="2326" spans="1:8" x14ac:dyDescent="0.35">
      <c r="A2326" s="77">
        <v>45383</v>
      </c>
      <c r="B2326" s="3" t="s">
        <v>165</v>
      </c>
      <c r="C2326" s="4" t="s">
        <v>166</v>
      </c>
      <c r="D2326" s="4" t="s">
        <v>314</v>
      </c>
      <c r="E2326" s="4" t="s">
        <v>304</v>
      </c>
      <c r="F2326" t="s">
        <v>233</v>
      </c>
      <c r="G2326" t="s">
        <v>325</v>
      </c>
      <c r="H2326">
        <f>VLOOKUP(C2326,'TB Apr 24'!$B$13:$AP$103,41,0)</f>
        <v>125401</v>
      </c>
    </row>
    <row r="2327" spans="1:8" x14ac:dyDescent="0.35">
      <c r="A2327" s="77">
        <v>45383</v>
      </c>
      <c r="B2327" s="3" t="s">
        <v>167</v>
      </c>
      <c r="C2327" s="4" t="s">
        <v>168</v>
      </c>
      <c r="D2327" s="4" t="s">
        <v>314</v>
      </c>
      <c r="E2327" s="4" t="s">
        <v>322</v>
      </c>
      <c r="F2327" t="s">
        <v>233</v>
      </c>
      <c r="G2327" t="s">
        <v>325</v>
      </c>
      <c r="H2327">
        <f>VLOOKUP(C2327,'TB Apr 24'!$B$13:$AP$103,41,0)</f>
        <v>0</v>
      </c>
    </row>
    <row r="2328" spans="1:8" x14ac:dyDescent="0.35">
      <c r="A2328" s="77">
        <v>45383</v>
      </c>
      <c r="B2328" s="3" t="s">
        <v>169</v>
      </c>
      <c r="C2328" s="4" t="s">
        <v>170</v>
      </c>
      <c r="D2328" s="4" t="s">
        <v>314</v>
      </c>
      <c r="E2328" s="4" t="s">
        <v>304</v>
      </c>
      <c r="F2328" t="s">
        <v>233</v>
      </c>
      <c r="G2328" t="s">
        <v>325</v>
      </c>
      <c r="H2328">
        <f>VLOOKUP(C2328,'TB Apr 24'!$B$13:$AP$103,41,0)</f>
        <v>27259</v>
      </c>
    </row>
    <row r="2329" spans="1:8" x14ac:dyDescent="0.35">
      <c r="A2329" s="77">
        <v>45383</v>
      </c>
      <c r="B2329" s="3" t="s">
        <v>171</v>
      </c>
      <c r="C2329" s="4" t="s">
        <v>172</v>
      </c>
      <c r="D2329" s="4" t="s">
        <v>314</v>
      </c>
      <c r="E2329" s="4" t="s">
        <v>303</v>
      </c>
      <c r="F2329" t="s">
        <v>233</v>
      </c>
      <c r="G2329" t="s">
        <v>325</v>
      </c>
      <c r="H2329">
        <f>VLOOKUP(C2329,'TB Apr 24'!$B$13:$AP$103,41,0)</f>
        <v>0</v>
      </c>
    </row>
    <row r="2330" spans="1:8" x14ac:dyDescent="0.35">
      <c r="A2330" s="77">
        <v>45383</v>
      </c>
      <c r="B2330" s="3" t="s">
        <v>173</v>
      </c>
      <c r="C2330" s="4" t="s">
        <v>174</v>
      </c>
      <c r="D2330" s="4" t="s">
        <v>314</v>
      </c>
      <c r="E2330" s="4" t="s">
        <v>257</v>
      </c>
      <c r="F2330" t="s">
        <v>233</v>
      </c>
      <c r="G2330" t="s">
        <v>325</v>
      </c>
      <c r="H2330">
        <f>VLOOKUP(C2330,'TB Apr 24'!$B$13:$AP$103,41,0)</f>
        <v>0</v>
      </c>
    </row>
    <row r="2331" spans="1:8" x14ac:dyDescent="0.35">
      <c r="A2331" s="77">
        <v>45383</v>
      </c>
      <c r="B2331" s="3" t="s">
        <v>175</v>
      </c>
      <c r="C2331" s="4" t="s">
        <v>176</v>
      </c>
      <c r="D2331" s="4" t="s">
        <v>314</v>
      </c>
      <c r="E2331" s="4" t="s">
        <v>257</v>
      </c>
      <c r="F2331" t="s">
        <v>233</v>
      </c>
      <c r="G2331" t="s">
        <v>325</v>
      </c>
      <c r="H2331">
        <f>VLOOKUP(C2331,'TB Apr 24'!$B$13:$AP$103,41,0)</f>
        <v>0</v>
      </c>
    </row>
    <row r="2332" spans="1:8" x14ac:dyDescent="0.35">
      <c r="A2332" s="77">
        <v>45383</v>
      </c>
      <c r="B2332" s="3" t="s">
        <v>177</v>
      </c>
      <c r="C2332" s="4" t="s">
        <v>178</v>
      </c>
      <c r="D2332" s="4" t="s">
        <v>314</v>
      </c>
      <c r="E2332" s="4" t="s">
        <v>257</v>
      </c>
      <c r="F2332" t="s">
        <v>233</v>
      </c>
      <c r="G2332" t="s">
        <v>325</v>
      </c>
      <c r="H2332">
        <f>VLOOKUP(C2332,'TB Apr 24'!$B$13:$AP$103,41,0)</f>
        <v>0</v>
      </c>
    </row>
    <row r="2333" spans="1:8" x14ac:dyDescent="0.35">
      <c r="A2333" s="77">
        <v>45383</v>
      </c>
      <c r="B2333" s="3" t="s">
        <v>179</v>
      </c>
      <c r="C2333" s="4" t="s">
        <v>180</v>
      </c>
      <c r="D2333" s="4" t="s">
        <v>314</v>
      </c>
      <c r="E2333" s="4" t="s">
        <v>322</v>
      </c>
      <c r="F2333" t="s">
        <v>233</v>
      </c>
      <c r="G2333" t="s">
        <v>325</v>
      </c>
      <c r="H2333">
        <f>VLOOKUP(C2333,'TB Apr 24'!$B$13:$AP$103,41,0)</f>
        <v>0</v>
      </c>
    </row>
    <row r="2334" spans="1:8" x14ac:dyDescent="0.35">
      <c r="A2334" s="77">
        <v>45383</v>
      </c>
      <c r="B2334" s="3" t="s">
        <v>181</v>
      </c>
      <c r="C2334" s="4" t="s">
        <v>182</v>
      </c>
      <c r="D2334" s="4" t="s">
        <v>314</v>
      </c>
      <c r="E2334" s="4" t="s">
        <v>290</v>
      </c>
      <c r="F2334" t="s">
        <v>233</v>
      </c>
      <c r="G2334" t="s">
        <v>325</v>
      </c>
      <c r="H2334">
        <f>VLOOKUP(C2334,'TB Apr 24'!$B$13:$AP$103,41,0)</f>
        <v>0</v>
      </c>
    </row>
    <row r="2335" spans="1:8" x14ac:dyDescent="0.35">
      <c r="A2335" s="77">
        <v>45383</v>
      </c>
      <c r="B2335" s="3" t="s">
        <v>183</v>
      </c>
      <c r="C2335" s="4" t="s">
        <v>184</v>
      </c>
      <c r="D2335" s="4" t="s">
        <v>314</v>
      </c>
      <c r="E2335" s="4" t="s">
        <v>290</v>
      </c>
      <c r="F2335" t="s">
        <v>233</v>
      </c>
      <c r="G2335" t="s">
        <v>325</v>
      </c>
      <c r="H2335">
        <f>VLOOKUP(C2335,'TB Apr 24'!$B$13:$AP$103,41,0)</f>
        <v>0</v>
      </c>
    </row>
    <row r="2336" spans="1:8" x14ac:dyDescent="0.35">
      <c r="A2336" s="77">
        <v>45383</v>
      </c>
      <c r="B2336" s="3" t="s">
        <v>185</v>
      </c>
      <c r="C2336" s="4" t="s">
        <v>186</v>
      </c>
      <c r="D2336" s="4" t="s">
        <v>314</v>
      </c>
      <c r="E2336" s="4" t="s">
        <v>290</v>
      </c>
      <c r="F2336" t="s">
        <v>233</v>
      </c>
      <c r="G2336" t="s">
        <v>325</v>
      </c>
      <c r="H2336">
        <f>VLOOKUP(C2336,'TB Apr 24'!$B$13:$AP$103,41,0)</f>
        <v>98890</v>
      </c>
    </row>
    <row r="2337" spans="1:8" x14ac:dyDescent="0.35">
      <c r="A2337" s="77">
        <v>45383</v>
      </c>
      <c r="B2337" s="3" t="s">
        <v>187</v>
      </c>
      <c r="C2337" s="4" t="s">
        <v>188</v>
      </c>
      <c r="D2337" s="4" t="s">
        <v>314</v>
      </c>
      <c r="E2337" s="4" t="s">
        <v>291</v>
      </c>
      <c r="F2337" t="s">
        <v>233</v>
      </c>
      <c r="G2337" t="s">
        <v>325</v>
      </c>
      <c r="H2337">
        <f>VLOOKUP(C2337,'TB Apr 24'!$B$13:$AP$103,41,0)</f>
        <v>16834</v>
      </c>
    </row>
    <row r="2338" spans="1:8" x14ac:dyDescent="0.35">
      <c r="A2338" s="77">
        <v>45383</v>
      </c>
      <c r="B2338" s="3" t="s">
        <v>189</v>
      </c>
      <c r="C2338" s="4" t="s">
        <v>190</v>
      </c>
      <c r="D2338" s="4" t="s">
        <v>314</v>
      </c>
      <c r="E2338" s="4" t="s">
        <v>254</v>
      </c>
      <c r="F2338" t="s">
        <v>233</v>
      </c>
      <c r="G2338" t="s">
        <v>325</v>
      </c>
      <c r="H2338">
        <f>VLOOKUP(C2338,'TB Apr 24'!$B$13:$AP$103,41,0)</f>
        <v>0</v>
      </c>
    </row>
    <row r="2339" spans="1:8" x14ac:dyDescent="0.35">
      <c r="A2339" s="77">
        <v>45383</v>
      </c>
      <c r="B2339" s="3" t="s">
        <v>191</v>
      </c>
      <c r="C2339" s="4" t="s">
        <v>192</v>
      </c>
      <c r="D2339" s="4" t="s">
        <v>314</v>
      </c>
      <c r="E2339" s="4" t="s">
        <v>254</v>
      </c>
      <c r="F2339" t="s">
        <v>233</v>
      </c>
      <c r="G2339" t="s">
        <v>325</v>
      </c>
      <c r="H2339">
        <f>VLOOKUP(C2339,'TB Apr 24'!$B$13:$AP$103,41,0)</f>
        <v>0</v>
      </c>
    </row>
    <row r="2340" spans="1:8" x14ac:dyDescent="0.35">
      <c r="A2340" s="77">
        <v>45383</v>
      </c>
      <c r="B2340" s="3" t="s">
        <v>193</v>
      </c>
      <c r="C2340" s="4" t="s">
        <v>194</v>
      </c>
      <c r="D2340" s="4" t="s">
        <v>314</v>
      </c>
      <c r="E2340" s="4" t="s">
        <v>254</v>
      </c>
      <c r="F2340" t="s">
        <v>233</v>
      </c>
      <c r="G2340" t="s">
        <v>325</v>
      </c>
      <c r="H2340">
        <f>VLOOKUP(C2340,'TB Apr 24'!$B$13:$AP$103,41,0)</f>
        <v>747120.91500000004</v>
      </c>
    </row>
    <row r="2341" spans="1:8" x14ac:dyDescent="0.35">
      <c r="A2341" s="77">
        <v>45383</v>
      </c>
      <c r="B2341" s="3" t="s">
        <v>195</v>
      </c>
      <c r="C2341" s="4" t="s">
        <v>196</v>
      </c>
      <c r="D2341" s="4" t="s">
        <v>314</v>
      </c>
      <c r="E2341" s="4" t="s">
        <v>255</v>
      </c>
      <c r="F2341" t="s">
        <v>233</v>
      </c>
      <c r="G2341" t="s">
        <v>325</v>
      </c>
      <c r="H2341">
        <f>VLOOKUP(C2341,'TB Apr 24'!$B$13:$AP$103,41,0)</f>
        <v>0</v>
      </c>
    </row>
    <row r="2342" spans="1:8" x14ac:dyDescent="0.35">
      <c r="A2342" s="77">
        <v>45383</v>
      </c>
      <c r="B2342" s="3" t="s">
        <v>197</v>
      </c>
      <c r="C2342" s="4" t="s">
        <v>198</v>
      </c>
      <c r="D2342" s="4" t="s">
        <v>314</v>
      </c>
      <c r="E2342" s="4" t="s">
        <v>255</v>
      </c>
      <c r="F2342" t="s">
        <v>233</v>
      </c>
      <c r="G2342" t="s">
        <v>325</v>
      </c>
      <c r="H2342">
        <f>VLOOKUP(C2342,'TB Apr 24'!$B$13:$AP$103,41,0)</f>
        <v>0</v>
      </c>
    </row>
    <row r="2343" spans="1:8" x14ac:dyDescent="0.35">
      <c r="A2343" s="77">
        <v>45383</v>
      </c>
      <c r="B2343" s="3" t="s">
        <v>199</v>
      </c>
      <c r="C2343" s="4" t="s">
        <v>200</v>
      </c>
      <c r="D2343" s="4" t="s">
        <v>314</v>
      </c>
      <c r="E2343" s="4" t="s">
        <v>254</v>
      </c>
      <c r="F2343" t="s">
        <v>233</v>
      </c>
      <c r="G2343" t="s">
        <v>325</v>
      </c>
      <c r="H2343">
        <f>VLOOKUP(C2343,'TB Apr 24'!$B$13:$AP$103,41,0)</f>
        <v>0</v>
      </c>
    </row>
    <row r="2344" spans="1:8" x14ac:dyDescent="0.35">
      <c r="A2344" s="77">
        <v>45383</v>
      </c>
      <c r="B2344" s="3" t="s">
        <v>201</v>
      </c>
      <c r="C2344" s="4" t="s">
        <v>202</v>
      </c>
      <c r="D2344" s="4" t="s">
        <v>314</v>
      </c>
      <c r="E2344" s="4" t="s">
        <v>254</v>
      </c>
      <c r="F2344" t="s">
        <v>233</v>
      </c>
      <c r="G2344" t="s">
        <v>325</v>
      </c>
      <c r="H2344">
        <f>VLOOKUP(C2344,'TB Apr 24'!$B$13:$AP$103,41,0)</f>
        <v>0</v>
      </c>
    </row>
    <row r="2345" spans="1:8" x14ac:dyDescent="0.35">
      <c r="A2345" s="77">
        <v>45383</v>
      </c>
      <c r="B2345" s="3" t="s">
        <v>203</v>
      </c>
      <c r="C2345" s="4" t="s">
        <v>204</v>
      </c>
      <c r="D2345" s="4" t="s">
        <v>314</v>
      </c>
      <c r="E2345" s="4" t="s">
        <v>256</v>
      </c>
      <c r="F2345" t="s">
        <v>233</v>
      </c>
      <c r="G2345" t="s">
        <v>325</v>
      </c>
      <c r="H2345">
        <f>VLOOKUP(C2345,'TB Apr 24'!$B$13:$AP$103,41,0)</f>
        <v>0</v>
      </c>
    </row>
    <row r="2346" spans="1:8" x14ac:dyDescent="0.35">
      <c r="A2346" s="77">
        <v>45383</v>
      </c>
      <c r="B2346" s="3" t="s">
        <v>205</v>
      </c>
      <c r="C2346" s="6" t="s">
        <v>206</v>
      </c>
      <c r="D2346" s="4" t="s">
        <v>314</v>
      </c>
      <c r="E2346" s="6" t="s">
        <v>322</v>
      </c>
      <c r="F2346" s="79" t="s">
        <v>233</v>
      </c>
      <c r="G2346" s="79" t="s">
        <v>325</v>
      </c>
      <c r="H2346" s="79">
        <f>VLOOKUP(C2346,'TB Apr 24'!$B$13:$AP$103,41,0)</f>
        <v>0</v>
      </c>
    </row>
    <row r="2347" spans="1:8" x14ac:dyDescent="0.35">
      <c r="A2347" s="77">
        <v>45383</v>
      </c>
      <c r="B2347" s="3" t="s">
        <v>57</v>
      </c>
      <c r="C2347" s="4" t="s">
        <v>58</v>
      </c>
      <c r="D2347" s="4" t="s">
        <v>314</v>
      </c>
      <c r="E2347" s="4" t="s">
        <v>253</v>
      </c>
      <c r="F2347" t="s">
        <v>233</v>
      </c>
      <c r="G2347" t="s">
        <v>230</v>
      </c>
      <c r="H2347">
        <f>VLOOKUP(C2347,'TB Apr 24'!$B$13:$AQ$103,42,0)</f>
        <v>0</v>
      </c>
    </row>
    <row r="2348" spans="1:8" x14ac:dyDescent="0.35">
      <c r="A2348" s="77">
        <v>45383</v>
      </c>
      <c r="B2348" s="3" t="s">
        <v>307</v>
      </c>
      <c r="C2348" s="4" t="s">
        <v>308</v>
      </c>
      <c r="D2348" s="4" t="s">
        <v>314</v>
      </c>
      <c r="E2348" s="4" t="s">
        <v>253</v>
      </c>
      <c r="F2348" t="s">
        <v>233</v>
      </c>
      <c r="G2348" t="s">
        <v>230</v>
      </c>
      <c r="H2348">
        <f>VLOOKUP(C2348,'TB Apr 24'!$B$13:$AQ$103,42,0)</f>
        <v>0</v>
      </c>
    </row>
    <row r="2349" spans="1:8" x14ac:dyDescent="0.35">
      <c r="A2349" s="77">
        <v>45383</v>
      </c>
      <c r="B2349" s="3" t="s">
        <v>59</v>
      </c>
      <c r="C2349" s="4" t="s">
        <v>60</v>
      </c>
      <c r="D2349" s="4" t="s">
        <v>314</v>
      </c>
      <c r="E2349" s="4" t="s">
        <v>253</v>
      </c>
      <c r="F2349" t="s">
        <v>233</v>
      </c>
      <c r="G2349" t="s">
        <v>230</v>
      </c>
      <c r="H2349">
        <f>VLOOKUP(C2349,'TB Apr 24'!$B$13:$AQ$103,42,0)</f>
        <v>0</v>
      </c>
    </row>
    <row r="2350" spans="1:8" x14ac:dyDescent="0.35">
      <c r="A2350" s="77">
        <v>45383</v>
      </c>
      <c r="B2350" s="3" t="s">
        <v>61</v>
      </c>
      <c r="C2350" s="4" t="s">
        <v>62</v>
      </c>
      <c r="D2350" s="4" t="s">
        <v>314</v>
      </c>
      <c r="E2350" s="4" t="s">
        <v>66</v>
      </c>
      <c r="F2350" t="s">
        <v>233</v>
      </c>
      <c r="G2350" t="s">
        <v>230</v>
      </c>
      <c r="H2350">
        <f>VLOOKUP(C2350,'TB Apr 24'!$B$13:$AQ$103,42,0)</f>
        <v>0</v>
      </c>
    </row>
    <row r="2351" spans="1:8" x14ac:dyDescent="0.35">
      <c r="A2351" s="77">
        <v>45383</v>
      </c>
      <c r="B2351" s="3" t="s">
        <v>63</v>
      </c>
      <c r="C2351" s="4" t="s">
        <v>64</v>
      </c>
      <c r="D2351" s="4" t="s">
        <v>314</v>
      </c>
      <c r="E2351" s="4" t="s">
        <v>252</v>
      </c>
      <c r="F2351" t="s">
        <v>233</v>
      </c>
      <c r="G2351" t="s">
        <v>230</v>
      </c>
      <c r="H2351">
        <f>VLOOKUP(C2351,'TB Apr 24'!$B$13:$AQ$103,42,0)</f>
        <v>0</v>
      </c>
    </row>
    <row r="2352" spans="1:8" x14ac:dyDescent="0.35">
      <c r="A2352" s="77">
        <v>45383</v>
      </c>
      <c r="B2352" s="3" t="s">
        <v>65</v>
      </c>
      <c r="C2352" s="4" t="s">
        <v>66</v>
      </c>
      <c r="D2352" s="4" t="s">
        <v>314</v>
      </c>
      <c r="E2352" s="4" t="s">
        <v>66</v>
      </c>
      <c r="F2352" t="s">
        <v>233</v>
      </c>
      <c r="G2352" t="s">
        <v>230</v>
      </c>
      <c r="H2352">
        <f>VLOOKUP(C2352,'TB Apr 24'!$B$13:$AQ$103,42,0)</f>
        <v>0</v>
      </c>
    </row>
    <row r="2353" spans="1:8" x14ac:dyDescent="0.35">
      <c r="A2353" s="77">
        <v>45383</v>
      </c>
      <c r="B2353" s="3" t="s">
        <v>67</v>
      </c>
      <c r="C2353" s="4" t="s">
        <v>68</v>
      </c>
      <c r="D2353" s="4" t="s">
        <v>314</v>
      </c>
      <c r="E2353" s="4" t="s">
        <v>252</v>
      </c>
      <c r="F2353" t="s">
        <v>233</v>
      </c>
      <c r="G2353" t="s">
        <v>230</v>
      </c>
      <c r="H2353">
        <f>VLOOKUP(C2353,'TB Apr 24'!$B$13:$AQ$103,42,0)</f>
        <v>0</v>
      </c>
    </row>
    <row r="2354" spans="1:8" x14ac:dyDescent="0.35">
      <c r="A2354" s="77">
        <v>45383</v>
      </c>
      <c r="B2354" s="3" t="s">
        <v>69</v>
      </c>
      <c r="C2354" s="4" t="s">
        <v>70</v>
      </c>
      <c r="D2354" s="4" t="s">
        <v>314</v>
      </c>
      <c r="E2354" s="4" t="s">
        <v>70</v>
      </c>
      <c r="F2354" t="s">
        <v>233</v>
      </c>
      <c r="G2354" t="s">
        <v>230</v>
      </c>
      <c r="H2354">
        <f>VLOOKUP(C2354,'TB Apr 24'!$B$13:$AQ$103,42,0)</f>
        <v>0</v>
      </c>
    </row>
    <row r="2355" spans="1:8" x14ac:dyDescent="0.35">
      <c r="A2355" s="77">
        <v>45383</v>
      </c>
      <c r="B2355" s="3" t="s">
        <v>71</v>
      </c>
      <c r="C2355" s="4" t="s">
        <v>72</v>
      </c>
      <c r="D2355" s="4" t="s">
        <v>314</v>
      </c>
      <c r="E2355" s="4" t="s">
        <v>253</v>
      </c>
      <c r="F2355" t="s">
        <v>233</v>
      </c>
      <c r="G2355" t="s">
        <v>230</v>
      </c>
      <c r="H2355">
        <f>VLOOKUP(C2355,'TB Apr 24'!$B$13:$AQ$103,42,0)</f>
        <v>0</v>
      </c>
    </row>
    <row r="2356" spans="1:8" x14ac:dyDescent="0.35">
      <c r="A2356" s="77">
        <v>45383</v>
      </c>
      <c r="B2356" s="3" t="s">
        <v>73</v>
      </c>
      <c r="C2356" s="4" t="s">
        <v>74</v>
      </c>
      <c r="D2356" s="4" t="s">
        <v>314</v>
      </c>
      <c r="E2356" s="4" t="s">
        <v>253</v>
      </c>
      <c r="F2356" t="s">
        <v>233</v>
      </c>
      <c r="G2356" t="s">
        <v>230</v>
      </c>
      <c r="H2356">
        <f>VLOOKUP(C2356,'TB Apr 24'!$B$13:$AQ$103,42,0)</f>
        <v>0</v>
      </c>
    </row>
    <row r="2357" spans="1:8" x14ac:dyDescent="0.35">
      <c r="A2357" s="77">
        <v>45383</v>
      </c>
      <c r="B2357" s="3" t="s">
        <v>75</v>
      </c>
      <c r="C2357" s="4" t="s">
        <v>76</v>
      </c>
      <c r="D2357" s="4" t="s">
        <v>314</v>
      </c>
      <c r="E2357" s="4" t="s">
        <v>253</v>
      </c>
      <c r="F2357" t="s">
        <v>233</v>
      </c>
      <c r="G2357" t="s">
        <v>230</v>
      </c>
      <c r="H2357">
        <f>VLOOKUP(C2357,'TB Apr 24'!$B$13:$AQ$103,42,0)</f>
        <v>0</v>
      </c>
    </row>
    <row r="2358" spans="1:8" x14ac:dyDescent="0.35">
      <c r="A2358" s="77">
        <v>45383</v>
      </c>
      <c r="B2358" s="3" t="s">
        <v>77</v>
      </c>
      <c r="C2358" s="4" t="s">
        <v>78</v>
      </c>
      <c r="D2358" s="4" t="s">
        <v>314</v>
      </c>
      <c r="E2358" s="4" t="s">
        <v>253</v>
      </c>
      <c r="F2358" t="s">
        <v>233</v>
      </c>
      <c r="G2358" t="s">
        <v>230</v>
      </c>
      <c r="H2358">
        <f>VLOOKUP(C2358,'TB Apr 24'!$B$13:$AQ$103,42,0)</f>
        <v>0</v>
      </c>
    </row>
    <row r="2359" spans="1:8" x14ac:dyDescent="0.35">
      <c r="A2359" s="77">
        <v>45383</v>
      </c>
      <c r="B2359" s="3" t="s">
        <v>79</v>
      </c>
      <c r="C2359" s="4" t="s">
        <v>80</v>
      </c>
      <c r="D2359" s="4" t="s">
        <v>314</v>
      </c>
      <c r="E2359" s="4" t="s">
        <v>253</v>
      </c>
      <c r="F2359" t="s">
        <v>233</v>
      </c>
      <c r="G2359" t="s">
        <v>230</v>
      </c>
      <c r="H2359">
        <f>VLOOKUP(C2359,'TB Apr 24'!$B$13:$AQ$103,42,0)</f>
        <v>0</v>
      </c>
    </row>
    <row r="2360" spans="1:8" x14ac:dyDescent="0.35">
      <c r="A2360" s="77">
        <v>45383</v>
      </c>
      <c r="B2360" s="3" t="s">
        <v>81</v>
      </c>
      <c r="C2360" s="4" t="s">
        <v>82</v>
      </c>
      <c r="D2360" s="4" t="s">
        <v>314</v>
      </c>
      <c r="E2360" s="4" t="s">
        <v>319</v>
      </c>
      <c r="F2360" t="s">
        <v>233</v>
      </c>
      <c r="G2360" t="s">
        <v>230</v>
      </c>
      <c r="H2360">
        <f>VLOOKUP(C2360,'TB Apr 24'!$B$13:$AQ$103,42,0)</f>
        <v>0</v>
      </c>
    </row>
    <row r="2361" spans="1:8" x14ac:dyDescent="0.35">
      <c r="A2361" s="77">
        <v>45383</v>
      </c>
      <c r="B2361" s="3" t="s">
        <v>83</v>
      </c>
      <c r="C2361" s="4" t="s">
        <v>84</v>
      </c>
      <c r="D2361" s="4" t="s">
        <v>314</v>
      </c>
      <c r="E2361" s="4" t="s">
        <v>319</v>
      </c>
      <c r="F2361" t="s">
        <v>233</v>
      </c>
      <c r="G2361" t="s">
        <v>230</v>
      </c>
      <c r="H2361">
        <f>VLOOKUP(C2361,'TB Apr 24'!$B$13:$AQ$103,42,0)</f>
        <v>0</v>
      </c>
    </row>
    <row r="2362" spans="1:8" x14ac:dyDescent="0.35">
      <c r="A2362" s="77">
        <v>45383</v>
      </c>
      <c r="B2362" s="3" t="s">
        <v>85</v>
      </c>
      <c r="C2362" s="4" t="s">
        <v>86</v>
      </c>
      <c r="D2362" s="4" t="s">
        <v>314</v>
      </c>
      <c r="E2362" s="4" t="s">
        <v>291</v>
      </c>
      <c r="F2362" t="s">
        <v>233</v>
      </c>
      <c r="G2362" t="s">
        <v>230</v>
      </c>
      <c r="H2362">
        <f>VLOOKUP(C2362,'TB Apr 24'!$B$13:$AQ$103,42,0)</f>
        <v>0</v>
      </c>
    </row>
    <row r="2363" spans="1:8" x14ac:dyDescent="0.35">
      <c r="A2363" s="77">
        <v>45383</v>
      </c>
      <c r="B2363" s="3" t="s">
        <v>88</v>
      </c>
      <c r="C2363" s="4" t="s">
        <v>89</v>
      </c>
      <c r="D2363" s="4" t="s">
        <v>314</v>
      </c>
      <c r="E2363" s="4" t="s">
        <v>300</v>
      </c>
      <c r="F2363" t="s">
        <v>233</v>
      </c>
      <c r="G2363" t="s">
        <v>230</v>
      </c>
      <c r="H2363">
        <f>VLOOKUP(C2363,'TB Apr 24'!$B$13:$AQ$103,42,0)</f>
        <v>0</v>
      </c>
    </row>
    <row r="2364" spans="1:8" x14ac:dyDescent="0.35">
      <c r="A2364" s="77">
        <v>45383</v>
      </c>
      <c r="B2364" s="3" t="s">
        <v>90</v>
      </c>
      <c r="C2364" s="4" t="s">
        <v>91</v>
      </c>
      <c r="D2364" s="4" t="s">
        <v>314</v>
      </c>
      <c r="E2364" s="4" t="s">
        <v>300</v>
      </c>
      <c r="F2364" t="s">
        <v>233</v>
      </c>
      <c r="G2364" t="s">
        <v>230</v>
      </c>
      <c r="H2364">
        <f>VLOOKUP(C2364,'TB Apr 24'!$B$13:$AQ$103,42,0)</f>
        <v>0</v>
      </c>
    </row>
    <row r="2365" spans="1:8" x14ac:dyDescent="0.35">
      <c r="A2365" s="77">
        <v>45383</v>
      </c>
      <c r="B2365" s="3" t="s">
        <v>92</v>
      </c>
      <c r="C2365" s="4" t="s">
        <v>93</v>
      </c>
      <c r="D2365" s="4" t="s">
        <v>314</v>
      </c>
      <c r="E2365" s="4" t="s">
        <v>300</v>
      </c>
      <c r="F2365" t="s">
        <v>233</v>
      </c>
      <c r="G2365" t="s">
        <v>230</v>
      </c>
      <c r="H2365">
        <f>VLOOKUP(C2365,'TB Apr 24'!$B$13:$AQ$103,42,0)</f>
        <v>0</v>
      </c>
    </row>
    <row r="2366" spans="1:8" x14ac:dyDescent="0.35">
      <c r="A2366" s="77">
        <v>45383</v>
      </c>
      <c r="B2366" s="3" t="s">
        <v>94</v>
      </c>
      <c r="C2366" s="4" t="s">
        <v>95</v>
      </c>
      <c r="D2366" s="4" t="s">
        <v>314</v>
      </c>
      <c r="E2366" s="4" t="s">
        <v>289</v>
      </c>
      <c r="F2366" t="s">
        <v>233</v>
      </c>
      <c r="G2366" t="s">
        <v>230</v>
      </c>
      <c r="H2366">
        <f>VLOOKUP(C2366,'TB Apr 24'!$B$13:$AQ$103,42,0)</f>
        <v>0</v>
      </c>
    </row>
    <row r="2367" spans="1:8" x14ac:dyDescent="0.35">
      <c r="A2367" s="77">
        <v>45383</v>
      </c>
      <c r="B2367" s="3" t="s">
        <v>96</v>
      </c>
      <c r="C2367" s="4" t="s">
        <v>97</v>
      </c>
      <c r="D2367" s="4" t="s">
        <v>314</v>
      </c>
      <c r="E2367" s="4" t="s">
        <v>289</v>
      </c>
      <c r="F2367" t="s">
        <v>233</v>
      </c>
      <c r="G2367" t="s">
        <v>230</v>
      </c>
      <c r="H2367">
        <f>VLOOKUP(C2367,'TB Apr 24'!$B$13:$AQ$103,42,0)</f>
        <v>0</v>
      </c>
    </row>
    <row r="2368" spans="1:8" x14ac:dyDescent="0.35">
      <c r="A2368" s="77">
        <v>45383</v>
      </c>
      <c r="B2368" s="3" t="s">
        <v>309</v>
      </c>
      <c r="C2368" s="4" t="s">
        <v>310</v>
      </c>
      <c r="D2368" s="4" t="s">
        <v>314</v>
      </c>
      <c r="E2368" s="4" t="s">
        <v>289</v>
      </c>
      <c r="F2368" t="s">
        <v>233</v>
      </c>
      <c r="G2368" t="s">
        <v>230</v>
      </c>
      <c r="H2368">
        <f>VLOOKUP(C2368,'TB Apr 24'!$B$13:$AQ$103,42,0)</f>
        <v>0</v>
      </c>
    </row>
    <row r="2369" spans="1:8" x14ac:dyDescent="0.35">
      <c r="A2369" s="77">
        <v>45383</v>
      </c>
      <c r="B2369" s="3" t="s">
        <v>98</v>
      </c>
      <c r="C2369" s="4" t="s">
        <v>99</v>
      </c>
      <c r="D2369" s="4" t="s">
        <v>314</v>
      </c>
      <c r="E2369" s="4" t="s">
        <v>289</v>
      </c>
      <c r="F2369" t="s">
        <v>233</v>
      </c>
      <c r="G2369" t="s">
        <v>230</v>
      </c>
      <c r="H2369">
        <f>VLOOKUP(C2369,'TB Apr 24'!$B$13:$AQ$103,42,0)</f>
        <v>0</v>
      </c>
    </row>
    <row r="2370" spans="1:8" x14ac:dyDescent="0.35">
      <c r="A2370" s="77">
        <v>45383</v>
      </c>
      <c r="B2370" s="3" t="s">
        <v>100</v>
      </c>
      <c r="C2370" s="4" t="s">
        <v>101</v>
      </c>
      <c r="D2370" s="4" t="s">
        <v>314</v>
      </c>
      <c r="E2370" s="4" t="s">
        <v>291</v>
      </c>
      <c r="F2370" t="s">
        <v>233</v>
      </c>
      <c r="G2370" t="s">
        <v>230</v>
      </c>
      <c r="H2370">
        <f>VLOOKUP(C2370,'TB Apr 24'!$B$13:$AQ$103,42,0)</f>
        <v>0</v>
      </c>
    </row>
    <row r="2371" spans="1:8" x14ac:dyDescent="0.35">
      <c r="A2371" s="77">
        <v>45383</v>
      </c>
      <c r="B2371" s="3" t="s">
        <v>102</v>
      </c>
      <c r="C2371" s="4" t="s">
        <v>103</v>
      </c>
      <c r="D2371" s="4" t="s">
        <v>314</v>
      </c>
      <c r="E2371" s="4" t="s">
        <v>291</v>
      </c>
      <c r="F2371" t="s">
        <v>233</v>
      </c>
      <c r="G2371" t="s">
        <v>230</v>
      </c>
      <c r="H2371">
        <f>VLOOKUP(C2371,'TB Apr 24'!$B$13:$AQ$103,42,0)</f>
        <v>0</v>
      </c>
    </row>
    <row r="2372" spans="1:8" x14ac:dyDescent="0.35">
      <c r="A2372" s="77">
        <v>45383</v>
      </c>
      <c r="B2372" s="3" t="s">
        <v>104</v>
      </c>
      <c r="C2372" s="4" t="s">
        <v>105</v>
      </c>
      <c r="D2372" s="4" t="s">
        <v>314</v>
      </c>
      <c r="E2372" s="4" t="s">
        <v>291</v>
      </c>
      <c r="F2372" t="s">
        <v>233</v>
      </c>
      <c r="G2372" t="s">
        <v>230</v>
      </c>
      <c r="H2372">
        <f>VLOOKUP(C2372,'TB Apr 24'!$B$13:$AQ$103,42,0)</f>
        <v>0</v>
      </c>
    </row>
    <row r="2373" spans="1:8" x14ac:dyDescent="0.35">
      <c r="A2373" s="77">
        <v>45383</v>
      </c>
      <c r="B2373" s="3" t="s">
        <v>106</v>
      </c>
      <c r="C2373" s="4" t="s">
        <v>107</v>
      </c>
      <c r="D2373" s="4" t="s">
        <v>314</v>
      </c>
      <c r="E2373" s="4" t="s">
        <v>321</v>
      </c>
      <c r="F2373" t="s">
        <v>233</v>
      </c>
      <c r="G2373" t="s">
        <v>230</v>
      </c>
      <c r="H2373">
        <f>VLOOKUP(C2373,'TB Apr 24'!$B$13:$AQ$103,42,0)</f>
        <v>0</v>
      </c>
    </row>
    <row r="2374" spans="1:8" x14ac:dyDescent="0.35">
      <c r="A2374" s="77">
        <v>45383</v>
      </c>
      <c r="B2374" s="3" t="s">
        <v>108</v>
      </c>
      <c r="C2374" s="4" t="s">
        <v>109</v>
      </c>
      <c r="D2374" s="4" t="s">
        <v>314</v>
      </c>
      <c r="E2374" s="4" t="s">
        <v>321</v>
      </c>
      <c r="F2374" t="s">
        <v>233</v>
      </c>
      <c r="G2374" t="s">
        <v>230</v>
      </c>
      <c r="H2374">
        <f>VLOOKUP(C2374,'TB Apr 24'!$B$13:$AQ$103,42,0)</f>
        <v>0</v>
      </c>
    </row>
    <row r="2375" spans="1:8" x14ac:dyDescent="0.35">
      <c r="A2375" s="77">
        <v>45383</v>
      </c>
      <c r="B2375" s="3" t="s">
        <v>110</v>
      </c>
      <c r="C2375" s="4" t="s">
        <v>111</v>
      </c>
      <c r="D2375" s="4" t="s">
        <v>314</v>
      </c>
      <c r="E2375" s="4" t="s">
        <v>320</v>
      </c>
      <c r="F2375" t="s">
        <v>233</v>
      </c>
      <c r="G2375" t="s">
        <v>230</v>
      </c>
      <c r="H2375">
        <f>VLOOKUP(C2375,'TB Apr 24'!$B$13:$AQ$103,42,0)</f>
        <v>0</v>
      </c>
    </row>
    <row r="2376" spans="1:8" x14ac:dyDescent="0.35">
      <c r="A2376" s="77">
        <v>45383</v>
      </c>
      <c r="B2376" s="3" t="s">
        <v>112</v>
      </c>
      <c r="C2376" s="4" t="s">
        <v>113</v>
      </c>
      <c r="D2376" s="4" t="s">
        <v>314</v>
      </c>
      <c r="E2376" s="4" t="s">
        <v>321</v>
      </c>
      <c r="F2376" t="s">
        <v>233</v>
      </c>
      <c r="G2376" t="s">
        <v>230</v>
      </c>
      <c r="H2376">
        <f>VLOOKUP(C2376,'TB Apr 24'!$B$13:$AQ$103,42,0)</f>
        <v>0</v>
      </c>
    </row>
    <row r="2377" spans="1:8" x14ac:dyDescent="0.35">
      <c r="A2377" s="77">
        <v>45383</v>
      </c>
      <c r="B2377" s="3" t="s">
        <v>311</v>
      </c>
      <c r="C2377" s="4" t="s">
        <v>312</v>
      </c>
      <c r="D2377" s="4" t="s">
        <v>314</v>
      </c>
      <c r="E2377" s="4" t="s">
        <v>288</v>
      </c>
      <c r="F2377" t="s">
        <v>233</v>
      </c>
      <c r="G2377" t="s">
        <v>230</v>
      </c>
      <c r="H2377">
        <f>VLOOKUP(C2377,'TB Apr 24'!$B$13:$AQ$103,42,0)</f>
        <v>0</v>
      </c>
    </row>
    <row r="2378" spans="1:8" x14ac:dyDescent="0.35">
      <c r="A2378" s="77">
        <v>45383</v>
      </c>
      <c r="B2378" s="3" t="s">
        <v>114</v>
      </c>
      <c r="C2378" s="4" t="s">
        <v>115</v>
      </c>
      <c r="D2378" s="4" t="s">
        <v>314</v>
      </c>
      <c r="E2378" s="4" t="s">
        <v>294</v>
      </c>
      <c r="F2378" t="s">
        <v>233</v>
      </c>
      <c r="G2378" t="s">
        <v>230</v>
      </c>
      <c r="H2378">
        <f>VLOOKUP(C2378,'TB Apr 24'!$B$13:$AQ$103,42,0)</f>
        <v>0</v>
      </c>
    </row>
    <row r="2379" spans="1:8" x14ac:dyDescent="0.35">
      <c r="A2379" s="77">
        <v>45383</v>
      </c>
      <c r="B2379" s="3" t="s">
        <v>116</v>
      </c>
      <c r="C2379" s="4" t="s">
        <v>117</v>
      </c>
      <c r="D2379" s="4" t="s">
        <v>314</v>
      </c>
      <c r="E2379" s="4" t="s">
        <v>296</v>
      </c>
      <c r="F2379" t="s">
        <v>233</v>
      </c>
      <c r="G2379" t="s">
        <v>230</v>
      </c>
      <c r="H2379">
        <f>VLOOKUP(C2379,'TB Apr 24'!$B$13:$AQ$103,42,0)</f>
        <v>0</v>
      </c>
    </row>
    <row r="2380" spans="1:8" x14ac:dyDescent="0.35">
      <c r="A2380" s="77">
        <v>45383</v>
      </c>
      <c r="B2380" s="3" t="s">
        <v>118</v>
      </c>
      <c r="C2380" s="4" t="s">
        <v>119</v>
      </c>
      <c r="D2380" s="4" t="s">
        <v>314</v>
      </c>
      <c r="E2380" s="4" t="s">
        <v>296</v>
      </c>
      <c r="F2380" t="s">
        <v>233</v>
      </c>
      <c r="G2380" t="s">
        <v>230</v>
      </c>
      <c r="H2380">
        <f>VLOOKUP(C2380,'TB Apr 24'!$B$13:$AQ$103,42,0)</f>
        <v>0</v>
      </c>
    </row>
    <row r="2381" spans="1:8" x14ac:dyDescent="0.35">
      <c r="A2381" s="77">
        <v>45383</v>
      </c>
      <c r="B2381" s="3" t="s">
        <v>120</v>
      </c>
      <c r="C2381" s="4" t="s">
        <v>121</v>
      </c>
      <c r="D2381" s="4" t="s">
        <v>314</v>
      </c>
      <c r="E2381" s="4" t="s">
        <v>322</v>
      </c>
      <c r="F2381" t="s">
        <v>233</v>
      </c>
      <c r="G2381" t="s">
        <v>230</v>
      </c>
      <c r="H2381">
        <f>VLOOKUP(C2381,'TB Apr 24'!$B$13:$AQ$103,42,0)</f>
        <v>0</v>
      </c>
    </row>
    <row r="2382" spans="1:8" x14ac:dyDescent="0.35">
      <c r="A2382" s="77">
        <v>45383</v>
      </c>
      <c r="B2382" s="3" t="s">
        <v>122</v>
      </c>
      <c r="C2382" s="4" t="s">
        <v>123</v>
      </c>
      <c r="D2382" s="4" t="s">
        <v>314</v>
      </c>
      <c r="E2382" s="4" t="s">
        <v>322</v>
      </c>
      <c r="F2382" t="s">
        <v>233</v>
      </c>
      <c r="G2382" t="s">
        <v>230</v>
      </c>
      <c r="H2382">
        <f>VLOOKUP(C2382,'TB Apr 24'!$B$13:$AQ$103,42,0)</f>
        <v>0</v>
      </c>
    </row>
    <row r="2383" spans="1:8" x14ac:dyDescent="0.35">
      <c r="A2383" s="77">
        <v>45383</v>
      </c>
      <c r="B2383" s="3" t="s">
        <v>124</v>
      </c>
      <c r="C2383" s="4" t="s">
        <v>125</v>
      </c>
      <c r="D2383" s="4" t="s">
        <v>314</v>
      </c>
      <c r="E2383" s="4" t="s">
        <v>322</v>
      </c>
      <c r="F2383" t="s">
        <v>233</v>
      </c>
      <c r="G2383" t="s">
        <v>230</v>
      </c>
      <c r="H2383">
        <f>VLOOKUP(C2383,'TB Apr 24'!$B$13:$AQ$103,42,0)</f>
        <v>0</v>
      </c>
    </row>
    <row r="2384" spans="1:8" x14ac:dyDescent="0.35">
      <c r="A2384" s="77">
        <v>45383</v>
      </c>
      <c r="B2384" s="3" t="s">
        <v>126</v>
      </c>
      <c r="C2384" s="4" t="s">
        <v>127</v>
      </c>
      <c r="D2384" s="4" t="s">
        <v>314</v>
      </c>
      <c r="E2384" s="4" t="s">
        <v>291</v>
      </c>
      <c r="F2384" t="s">
        <v>233</v>
      </c>
      <c r="G2384" t="s">
        <v>230</v>
      </c>
      <c r="H2384">
        <f>VLOOKUP(C2384,'TB Apr 24'!$B$13:$AQ$103,42,0)</f>
        <v>0</v>
      </c>
    </row>
    <row r="2385" spans="1:8" x14ac:dyDescent="0.35">
      <c r="A2385" s="77">
        <v>45383</v>
      </c>
      <c r="B2385" s="3" t="s">
        <v>128</v>
      </c>
      <c r="C2385" s="4" t="s">
        <v>129</v>
      </c>
      <c r="D2385" s="4" t="s">
        <v>314</v>
      </c>
      <c r="E2385" s="4" t="s">
        <v>322</v>
      </c>
      <c r="F2385" t="s">
        <v>233</v>
      </c>
      <c r="G2385" t="s">
        <v>230</v>
      </c>
      <c r="H2385">
        <f>VLOOKUP(C2385,'TB Apr 24'!$B$13:$AQ$103,42,0)</f>
        <v>0</v>
      </c>
    </row>
    <row r="2386" spans="1:8" x14ac:dyDescent="0.35">
      <c r="A2386" s="77">
        <v>45383</v>
      </c>
      <c r="B2386" s="3" t="s">
        <v>130</v>
      </c>
      <c r="C2386" s="4" t="s">
        <v>131</v>
      </c>
      <c r="D2386" s="4" t="s">
        <v>314</v>
      </c>
      <c r="E2386" s="4" t="s">
        <v>322</v>
      </c>
      <c r="F2386" t="s">
        <v>233</v>
      </c>
      <c r="G2386" t="s">
        <v>230</v>
      </c>
      <c r="H2386">
        <f>VLOOKUP(C2386,'TB Apr 24'!$B$13:$AQ$103,42,0)</f>
        <v>0</v>
      </c>
    </row>
    <row r="2387" spans="1:8" x14ac:dyDescent="0.35">
      <c r="A2387" s="77">
        <v>45383</v>
      </c>
      <c r="B2387" s="3" t="s">
        <v>132</v>
      </c>
      <c r="C2387" s="4" t="s">
        <v>133</v>
      </c>
      <c r="D2387" s="4" t="s">
        <v>314</v>
      </c>
      <c r="E2387" s="4" t="s">
        <v>320</v>
      </c>
      <c r="F2387" t="s">
        <v>233</v>
      </c>
      <c r="G2387" t="s">
        <v>230</v>
      </c>
      <c r="H2387">
        <f>VLOOKUP(C2387,'TB Apr 24'!$B$13:$AQ$103,42,0)</f>
        <v>0</v>
      </c>
    </row>
    <row r="2388" spans="1:8" x14ac:dyDescent="0.35">
      <c r="A2388" s="77">
        <v>45383</v>
      </c>
      <c r="B2388" s="3" t="s">
        <v>134</v>
      </c>
      <c r="C2388" s="4" t="s">
        <v>135</v>
      </c>
      <c r="D2388" s="4" t="s">
        <v>314</v>
      </c>
      <c r="E2388" s="4" t="s">
        <v>299</v>
      </c>
      <c r="F2388" t="s">
        <v>233</v>
      </c>
      <c r="G2388" t="s">
        <v>230</v>
      </c>
      <c r="H2388">
        <f>VLOOKUP(C2388,'TB Apr 24'!$B$13:$AQ$103,42,0)</f>
        <v>0</v>
      </c>
    </row>
    <row r="2389" spans="1:8" x14ac:dyDescent="0.35">
      <c r="A2389" s="77">
        <v>45383</v>
      </c>
      <c r="B2389" s="3" t="s">
        <v>136</v>
      </c>
      <c r="C2389" s="4" t="s">
        <v>137</v>
      </c>
      <c r="D2389" s="4" t="s">
        <v>314</v>
      </c>
      <c r="E2389" s="4" t="s">
        <v>322</v>
      </c>
      <c r="F2389" t="s">
        <v>233</v>
      </c>
      <c r="G2389" t="s">
        <v>230</v>
      </c>
      <c r="H2389">
        <f>VLOOKUP(C2389,'TB Apr 24'!$B$13:$AQ$103,42,0)</f>
        <v>0</v>
      </c>
    </row>
    <row r="2390" spans="1:8" x14ac:dyDescent="0.35">
      <c r="A2390" s="77">
        <v>45383</v>
      </c>
      <c r="B2390" s="3" t="s">
        <v>138</v>
      </c>
      <c r="C2390" s="4" t="s">
        <v>139</v>
      </c>
      <c r="D2390" s="4" t="s">
        <v>314</v>
      </c>
      <c r="E2390" s="4" t="s">
        <v>294</v>
      </c>
      <c r="F2390" t="s">
        <v>233</v>
      </c>
      <c r="G2390" t="s">
        <v>230</v>
      </c>
      <c r="H2390">
        <f>VLOOKUP(C2390,'TB Apr 24'!$B$13:$AQ$103,42,0)</f>
        <v>0</v>
      </c>
    </row>
    <row r="2391" spans="1:8" x14ac:dyDescent="0.35">
      <c r="A2391" s="77">
        <v>45383</v>
      </c>
      <c r="B2391" s="3" t="s">
        <v>140</v>
      </c>
      <c r="C2391" s="4" t="s">
        <v>141</v>
      </c>
      <c r="D2391" s="4" t="s">
        <v>314</v>
      </c>
      <c r="E2391" s="4" t="s">
        <v>268</v>
      </c>
      <c r="F2391" t="s">
        <v>233</v>
      </c>
      <c r="G2391" t="s">
        <v>230</v>
      </c>
      <c r="H2391">
        <f>VLOOKUP(C2391,'TB Apr 24'!$B$13:$AQ$103,42,0)</f>
        <v>0</v>
      </c>
    </row>
    <row r="2392" spans="1:8" x14ac:dyDescent="0.35">
      <c r="A2392" s="77">
        <v>45383</v>
      </c>
      <c r="B2392" s="3" t="s">
        <v>142</v>
      </c>
      <c r="C2392" s="4" t="s">
        <v>143</v>
      </c>
      <c r="D2392" s="4" t="s">
        <v>314</v>
      </c>
      <c r="E2392" s="4" t="s">
        <v>269</v>
      </c>
      <c r="F2392" t="s">
        <v>233</v>
      </c>
      <c r="G2392" t="s">
        <v>230</v>
      </c>
      <c r="H2392">
        <f>VLOOKUP(C2392,'TB Apr 24'!$B$13:$AQ$103,42,0)</f>
        <v>0</v>
      </c>
    </row>
    <row r="2393" spans="1:8" x14ac:dyDescent="0.35">
      <c r="A2393" s="77">
        <v>45383</v>
      </c>
      <c r="B2393" s="3" t="s">
        <v>144</v>
      </c>
      <c r="C2393" s="4" t="s">
        <v>145</v>
      </c>
      <c r="D2393" s="4" t="s">
        <v>314</v>
      </c>
      <c r="E2393" s="4" t="s">
        <v>288</v>
      </c>
      <c r="F2393" t="s">
        <v>233</v>
      </c>
      <c r="G2393" t="s">
        <v>230</v>
      </c>
      <c r="H2393">
        <f>VLOOKUP(C2393,'TB Apr 24'!$B$13:$AQ$103,42,0)</f>
        <v>0</v>
      </c>
    </row>
    <row r="2394" spans="1:8" x14ac:dyDescent="0.35">
      <c r="A2394" s="77">
        <v>45383</v>
      </c>
      <c r="B2394" s="3" t="s">
        <v>146</v>
      </c>
      <c r="C2394" s="4" t="s">
        <v>147</v>
      </c>
      <c r="D2394" s="4" t="s">
        <v>314</v>
      </c>
      <c r="E2394" s="4" t="s">
        <v>288</v>
      </c>
      <c r="F2394" t="s">
        <v>233</v>
      </c>
      <c r="G2394" t="s">
        <v>230</v>
      </c>
      <c r="H2394">
        <f>VLOOKUP(C2394,'TB Apr 24'!$B$13:$AQ$103,42,0)</f>
        <v>0</v>
      </c>
    </row>
    <row r="2395" spans="1:8" x14ac:dyDescent="0.35">
      <c r="A2395" s="77">
        <v>45383</v>
      </c>
      <c r="B2395" s="3" t="s">
        <v>148</v>
      </c>
      <c r="C2395" s="4" t="s">
        <v>149</v>
      </c>
      <c r="D2395" s="4" t="s">
        <v>314</v>
      </c>
      <c r="E2395" s="4" t="s">
        <v>287</v>
      </c>
      <c r="F2395" t="s">
        <v>233</v>
      </c>
      <c r="G2395" t="s">
        <v>230</v>
      </c>
      <c r="H2395">
        <f>VLOOKUP(C2395,'TB Apr 24'!$B$13:$AQ$103,42,0)</f>
        <v>0</v>
      </c>
    </row>
    <row r="2396" spans="1:8" x14ac:dyDescent="0.35">
      <c r="A2396" s="77">
        <v>45383</v>
      </c>
      <c r="B2396" s="3" t="s">
        <v>150</v>
      </c>
      <c r="C2396" s="4" t="s">
        <v>87</v>
      </c>
      <c r="D2396" s="4" t="s">
        <v>314</v>
      </c>
      <c r="E2396" s="4" t="s">
        <v>288</v>
      </c>
      <c r="F2396" t="s">
        <v>233</v>
      </c>
      <c r="G2396" t="s">
        <v>230</v>
      </c>
      <c r="H2396">
        <f>VLOOKUP(C2396,'TB Apr 24'!$B$13:$AQ$103,42,0)</f>
        <v>0</v>
      </c>
    </row>
    <row r="2397" spans="1:8" x14ac:dyDescent="0.35">
      <c r="A2397" s="77">
        <v>45383</v>
      </c>
      <c r="B2397" s="3" t="s">
        <v>151</v>
      </c>
      <c r="C2397" s="4" t="s">
        <v>152</v>
      </c>
      <c r="D2397" s="4" t="s">
        <v>314</v>
      </c>
      <c r="E2397" s="4" t="s">
        <v>288</v>
      </c>
      <c r="F2397" t="s">
        <v>233</v>
      </c>
      <c r="G2397" t="s">
        <v>230</v>
      </c>
      <c r="H2397">
        <f>VLOOKUP(C2397,'TB Apr 24'!$B$13:$AQ$103,42,0)</f>
        <v>0</v>
      </c>
    </row>
    <row r="2398" spans="1:8" x14ac:dyDescent="0.35">
      <c r="A2398" s="77">
        <v>45383</v>
      </c>
      <c r="B2398" s="3" t="s">
        <v>153</v>
      </c>
      <c r="C2398" s="4" t="s">
        <v>154</v>
      </c>
      <c r="D2398" s="4" t="s">
        <v>314</v>
      </c>
      <c r="E2398" s="4" t="s">
        <v>288</v>
      </c>
      <c r="F2398" t="s">
        <v>233</v>
      </c>
      <c r="G2398" t="s">
        <v>230</v>
      </c>
      <c r="H2398">
        <f>VLOOKUP(C2398,'TB Apr 24'!$B$13:$AQ$103,42,0)</f>
        <v>0</v>
      </c>
    </row>
    <row r="2399" spans="1:8" x14ac:dyDescent="0.35">
      <c r="A2399" s="77">
        <v>45383</v>
      </c>
      <c r="B2399" s="3" t="s">
        <v>155</v>
      </c>
      <c r="C2399" s="4" t="s">
        <v>156</v>
      </c>
      <c r="D2399" s="4" t="s">
        <v>314</v>
      </c>
      <c r="E2399" s="4" t="s">
        <v>288</v>
      </c>
      <c r="F2399" t="s">
        <v>233</v>
      </c>
      <c r="G2399" t="s">
        <v>230</v>
      </c>
      <c r="H2399">
        <f>VLOOKUP(C2399,'TB Apr 24'!$B$13:$AQ$103,42,0)</f>
        <v>0</v>
      </c>
    </row>
    <row r="2400" spans="1:8" x14ac:dyDescent="0.35">
      <c r="A2400" s="77">
        <v>45383</v>
      </c>
      <c r="B2400" s="3" t="s">
        <v>157</v>
      </c>
      <c r="C2400" s="4" t="s">
        <v>158</v>
      </c>
      <c r="D2400" s="4" t="s">
        <v>314</v>
      </c>
      <c r="E2400" s="4" t="s">
        <v>292</v>
      </c>
      <c r="F2400" t="s">
        <v>233</v>
      </c>
      <c r="G2400" t="s">
        <v>230</v>
      </c>
      <c r="H2400">
        <f>VLOOKUP(C2400,'TB Apr 24'!$B$13:$AQ$103,42,0)</f>
        <v>0</v>
      </c>
    </row>
    <row r="2401" spans="1:8" x14ac:dyDescent="0.35">
      <c r="A2401" s="77">
        <v>45383</v>
      </c>
      <c r="B2401" s="3" t="s">
        <v>159</v>
      </c>
      <c r="C2401" s="4" t="s">
        <v>160</v>
      </c>
      <c r="D2401" s="4" t="s">
        <v>314</v>
      </c>
      <c r="E2401" s="4" t="s">
        <v>323</v>
      </c>
      <c r="F2401" t="s">
        <v>233</v>
      </c>
      <c r="G2401" t="s">
        <v>230</v>
      </c>
      <c r="H2401">
        <f>VLOOKUP(C2401,'TB Apr 24'!$B$13:$AQ$103,42,0)</f>
        <v>0</v>
      </c>
    </row>
    <row r="2402" spans="1:8" x14ac:dyDescent="0.35">
      <c r="A2402" s="77">
        <v>45383</v>
      </c>
      <c r="B2402" s="3" t="s">
        <v>161</v>
      </c>
      <c r="C2402" s="4" t="s">
        <v>162</v>
      </c>
      <c r="D2402" s="4" t="s">
        <v>314</v>
      </c>
      <c r="E2402" s="4" t="s">
        <v>323</v>
      </c>
      <c r="F2402" t="s">
        <v>233</v>
      </c>
      <c r="G2402" t="s">
        <v>230</v>
      </c>
      <c r="H2402">
        <f>VLOOKUP(C2402,'TB Apr 24'!$B$13:$AQ$103,42,0)</f>
        <v>0</v>
      </c>
    </row>
    <row r="2403" spans="1:8" x14ac:dyDescent="0.35">
      <c r="A2403" s="77">
        <v>45383</v>
      </c>
      <c r="B2403" s="3" t="s">
        <v>163</v>
      </c>
      <c r="C2403" s="4" t="s">
        <v>164</v>
      </c>
      <c r="D2403" s="4" t="s">
        <v>314</v>
      </c>
      <c r="E2403" s="4" t="s">
        <v>319</v>
      </c>
      <c r="F2403" t="s">
        <v>233</v>
      </c>
      <c r="G2403" t="s">
        <v>230</v>
      </c>
      <c r="H2403">
        <f>VLOOKUP(C2403,'TB Apr 24'!$B$13:$AQ$103,42,0)</f>
        <v>0</v>
      </c>
    </row>
    <row r="2404" spans="1:8" x14ac:dyDescent="0.35">
      <c r="A2404" s="77">
        <v>45383</v>
      </c>
      <c r="B2404" s="3" t="s">
        <v>165</v>
      </c>
      <c r="C2404" s="4" t="s">
        <v>166</v>
      </c>
      <c r="D2404" s="4" t="s">
        <v>314</v>
      </c>
      <c r="E2404" s="4" t="s">
        <v>304</v>
      </c>
      <c r="F2404" t="s">
        <v>233</v>
      </c>
      <c r="G2404" t="s">
        <v>230</v>
      </c>
      <c r="H2404">
        <f>VLOOKUP(C2404,'TB Apr 24'!$B$13:$AQ$103,42,0)</f>
        <v>0</v>
      </c>
    </row>
    <row r="2405" spans="1:8" x14ac:dyDescent="0.35">
      <c r="A2405" s="77">
        <v>45383</v>
      </c>
      <c r="B2405" s="3" t="s">
        <v>167</v>
      </c>
      <c r="C2405" s="4" t="s">
        <v>168</v>
      </c>
      <c r="D2405" s="4" t="s">
        <v>314</v>
      </c>
      <c r="E2405" s="4" t="s">
        <v>322</v>
      </c>
      <c r="F2405" t="s">
        <v>233</v>
      </c>
      <c r="G2405" t="s">
        <v>230</v>
      </c>
      <c r="H2405">
        <f>VLOOKUP(C2405,'TB Apr 24'!$B$13:$AQ$103,42,0)</f>
        <v>0</v>
      </c>
    </row>
    <row r="2406" spans="1:8" x14ac:dyDescent="0.35">
      <c r="A2406" s="77">
        <v>45383</v>
      </c>
      <c r="B2406" s="3" t="s">
        <v>169</v>
      </c>
      <c r="C2406" s="4" t="s">
        <v>170</v>
      </c>
      <c r="D2406" s="4" t="s">
        <v>314</v>
      </c>
      <c r="E2406" s="4" t="s">
        <v>304</v>
      </c>
      <c r="F2406" t="s">
        <v>233</v>
      </c>
      <c r="G2406" t="s">
        <v>230</v>
      </c>
      <c r="H2406">
        <f>VLOOKUP(C2406,'TB Apr 24'!$B$13:$AQ$103,42,0)</f>
        <v>0</v>
      </c>
    </row>
    <row r="2407" spans="1:8" x14ac:dyDescent="0.35">
      <c r="A2407" s="77">
        <v>45383</v>
      </c>
      <c r="B2407" s="3" t="s">
        <v>171</v>
      </c>
      <c r="C2407" s="4" t="s">
        <v>172</v>
      </c>
      <c r="D2407" s="4" t="s">
        <v>314</v>
      </c>
      <c r="E2407" s="4" t="s">
        <v>303</v>
      </c>
      <c r="F2407" t="s">
        <v>233</v>
      </c>
      <c r="G2407" t="s">
        <v>230</v>
      </c>
      <c r="H2407">
        <f>VLOOKUP(C2407,'TB Apr 24'!$B$13:$AQ$103,42,0)</f>
        <v>0</v>
      </c>
    </row>
    <row r="2408" spans="1:8" x14ac:dyDescent="0.35">
      <c r="A2408" s="77">
        <v>45383</v>
      </c>
      <c r="B2408" s="3" t="s">
        <v>173</v>
      </c>
      <c r="C2408" s="4" t="s">
        <v>174</v>
      </c>
      <c r="D2408" s="4" t="s">
        <v>314</v>
      </c>
      <c r="E2408" s="4" t="s">
        <v>257</v>
      </c>
      <c r="F2408" t="s">
        <v>233</v>
      </c>
      <c r="G2408" t="s">
        <v>230</v>
      </c>
      <c r="H2408">
        <f>VLOOKUP(C2408,'TB Apr 24'!$B$13:$AQ$103,42,0)</f>
        <v>0</v>
      </c>
    </row>
    <row r="2409" spans="1:8" x14ac:dyDescent="0.35">
      <c r="A2409" s="77">
        <v>45383</v>
      </c>
      <c r="B2409" s="3" t="s">
        <v>175</v>
      </c>
      <c r="C2409" s="4" t="s">
        <v>176</v>
      </c>
      <c r="D2409" s="4" t="s">
        <v>314</v>
      </c>
      <c r="E2409" s="4" t="s">
        <v>257</v>
      </c>
      <c r="F2409" t="s">
        <v>233</v>
      </c>
      <c r="G2409" t="s">
        <v>230</v>
      </c>
      <c r="H2409">
        <f>VLOOKUP(C2409,'TB Apr 24'!$B$13:$AQ$103,42,0)</f>
        <v>0</v>
      </c>
    </row>
    <row r="2410" spans="1:8" x14ac:dyDescent="0.35">
      <c r="A2410" s="77">
        <v>45383</v>
      </c>
      <c r="B2410" s="3" t="s">
        <v>177</v>
      </c>
      <c r="C2410" s="4" t="s">
        <v>178</v>
      </c>
      <c r="D2410" s="4" t="s">
        <v>314</v>
      </c>
      <c r="E2410" s="4" t="s">
        <v>257</v>
      </c>
      <c r="F2410" t="s">
        <v>233</v>
      </c>
      <c r="G2410" t="s">
        <v>230</v>
      </c>
      <c r="H2410">
        <f>VLOOKUP(C2410,'TB Apr 24'!$B$13:$AQ$103,42,0)</f>
        <v>0</v>
      </c>
    </row>
    <row r="2411" spans="1:8" x14ac:dyDescent="0.35">
      <c r="A2411" s="77">
        <v>45383</v>
      </c>
      <c r="B2411" s="3" t="s">
        <v>179</v>
      </c>
      <c r="C2411" s="4" t="s">
        <v>180</v>
      </c>
      <c r="D2411" s="4" t="s">
        <v>314</v>
      </c>
      <c r="E2411" s="4" t="s">
        <v>322</v>
      </c>
      <c r="F2411" t="s">
        <v>233</v>
      </c>
      <c r="G2411" t="s">
        <v>230</v>
      </c>
      <c r="H2411">
        <f>VLOOKUP(C2411,'TB Apr 24'!$B$13:$AQ$103,42,0)</f>
        <v>0</v>
      </c>
    </row>
    <row r="2412" spans="1:8" x14ac:dyDescent="0.35">
      <c r="A2412" s="77">
        <v>45383</v>
      </c>
      <c r="B2412" s="3" t="s">
        <v>181</v>
      </c>
      <c r="C2412" s="4" t="s">
        <v>182</v>
      </c>
      <c r="D2412" s="4" t="s">
        <v>314</v>
      </c>
      <c r="E2412" s="4" t="s">
        <v>290</v>
      </c>
      <c r="F2412" t="s">
        <v>233</v>
      </c>
      <c r="G2412" t="s">
        <v>230</v>
      </c>
      <c r="H2412">
        <f>VLOOKUP(C2412,'TB Apr 24'!$B$13:$AQ$103,42,0)</f>
        <v>0</v>
      </c>
    </row>
    <row r="2413" spans="1:8" x14ac:dyDescent="0.35">
      <c r="A2413" s="77">
        <v>45383</v>
      </c>
      <c r="B2413" s="3" t="s">
        <v>183</v>
      </c>
      <c r="C2413" s="4" t="s">
        <v>184</v>
      </c>
      <c r="D2413" s="4" t="s">
        <v>314</v>
      </c>
      <c r="E2413" s="4" t="s">
        <v>290</v>
      </c>
      <c r="F2413" t="s">
        <v>233</v>
      </c>
      <c r="G2413" t="s">
        <v>230</v>
      </c>
      <c r="H2413">
        <f>VLOOKUP(C2413,'TB Apr 24'!$B$13:$AQ$103,42,0)</f>
        <v>0</v>
      </c>
    </row>
    <row r="2414" spans="1:8" x14ac:dyDescent="0.35">
      <c r="A2414" s="77">
        <v>45383</v>
      </c>
      <c r="B2414" s="3" t="s">
        <v>185</v>
      </c>
      <c r="C2414" s="4" t="s">
        <v>186</v>
      </c>
      <c r="D2414" s="4" t="s">
        <v>314</v>
      </c>
      <c r="E2414" s="4" t="s">
        <v>290</v>
      </c>
      <c r="F2414" t="s">
        <v>233</v>
      </c>
      <c r="G2414" t="s">
        <v>230</v>
      </c>
      <c r="H2414">
        <f>VLOOKUP(C2414,'TB Apr 24'!$B$13:$AQ$103,42,0)</f>
        <v>0</v>
      </c>
    </row>
    <row r="2415" spans="1:8" x14ac:dyDescent="0.35">
      <c r="A2415" s="77">
        <v>45383</v>
      </c>
      <c r="B2415" s="3" t="s">
        <v>187</v>
      </c>
      <c r="C2415" s="4" t="s">
        <v>188</v>
      </c>
      <c r="D2415" s="4" t="s">
        <v>314</v>
      </c>
      <c r="E2415" s="4" t="s">
        <v>291</v>
      </c>
      <c r="F2415" t="s">
        <v>233</v>
      </c>
      <c r="G2415" t="s">
        <v>230</v>
      </c>
      <c r="H2415">
        <f>VLOOKUP(C2415,'TB Apr 24'!$B$13:$AQ$103,42,0)</f>
        <v>0</v>
      </c>
    </row>
    <row r="2416" spans="1:8" x14ac:dyDescent="0.35">
      <c r="A2416" s="77">
        <v>45383</v>
      </c>
      <c r="B2416" s="3" t="s">
        <v>189</v>
      </c>
      <c r="C2416" s="4" t="s">
        <v>190</v>
      </c>
      <c r="D2416" s="4" t="s">
        <v>314</v>
      </c>
      <c r="E2416" s="4" t="s">
        <v>254</v>
      </c>
      <c r="F2416" t="s">
        <v>233</v>
      </c>
      <c r="G2416" t="s">
        <v>230</v>
      </c>
      <c r="H2416">
        <f>VLOOKUP(C2416,'TB Apr 24'!$B$13:$AQ$103,42,0)</f>
        <v>0</v>
      </c>
    </row>
    <row r="2417" spans="1:8" x14ac:dyDescent="0.35">
      <c r="A2417" s="77">
        <v>45383</v>
      </c>
      <c r="B2417" s="3" t="s">
        <v>191</v>
      </c>
      <c r="C2417" s="4" t="s">
        <v>192</v>
      </c>
      <c r="D2417" s="4" t="s">
        <v>314</v>
      </c>
      <c r="E2417" s="4" t="s">
        <v>254</v>
      </c>
      <c r="F2417" t="s">
        <v>233</v>
      </c>
      <c r="G2417" t="s">
        <v>230</v>
      </c>
      <c r="H2417">
        <f>VLOOKUP(C2417,'TB Apr 24'!$B$13:$AQ$103,42,0)</f>
        <v>0</v>
      </c>
    </row>
    <row r="2418" spans="1:8" x14ac:dyDescent="0.35">
      <c r="A2418" s="77">
        <v>45383</v>
      </c>
      <c r="B2418" s="3" t="s">
        <v>193</v>
      </c>
      <c r="C2418" s="4" t="s">
        <v>194</v>
      </c>
      <c r="D2418" s="4" t="s">
        <v>314</v>
      </c>
      <c r="E2418" s="4" t="s">
        <v>254</v>
      </c>
      <c r="F2418" t="s">
        <v>233</v>
      </c>
      <c r="G2418" t="s">
        <v>230</v>
      </c>
      <c r="H2418">
        <f>VLOOKUP(C2418,'TB Apr 24'!$B$13:$AQ$103,42,0)</f>
        <v>0</v>
      </c>
    </row>
    <row r="2419" spans="1:8" x14ac:dyDescent="0.35">
      <c r="A2419" s="77">
        <v>45383</v>
      </c>
      <c r="B2419" s="3" t="s">
        <v>195</v>
      </c>
      <c r="C2419" s="4" t="s">
        <v>196</v>
      </c>
      <c r="D2419" s="4" t="s">
        <v>314</v>
      </c>
      <c r="E2419" s="4" t="s">
        <v>255</v>
      </c>
      <c r="F2419" t="s">
        <v>233</v>
      </c>
      <c r="G2419" t="s">
        <v>230</v>
      </c>
      <c r="H2419">
        <f>VLOOKUP(C2419,'TB Apr 24'!$B$13:$AQ$103,42,0)</f>
        <v>0</v>
      </c>
    </row>
    <row r="2420" spans="1:8" x14ac:dyDescent="0.35">
      <c r="A2420" s="77">
        <v>45383</v>
      </c>
      <c r="B2420" s="3" t="s">
        <v>197</v>
      </c>
      <c r="C2420" s="4" t="s">
        <v>198</v>
      </c>
      <c r="D2420" s="4" t="s">
        <v>314</v>
      </c>
      <c r="E2420" s="4" t="s">
        <v>255</v>
      </c>
      <c r="F2420" t="s">
        <v>233</v>
      </c>
      <c r="G2420" t="s">
        <v>230</v>
      </c>
      <c r="H2420">
        <f>VLOOKUP(C2420,'TB Apr 24'!$B$13:$AQ$103,42,0)</f>
        <v>0</v>
      </c>
    </row>
    <row r="2421" spans="1:8" x14ac:dyDescent="0.35">
      <c r="A2421" s="77">
        <v>45383</v>
      </c>
      <c r="B2421" s="3" t="s">
        <v>199</v>
      </c>
      <c r="C2421" s="4" t="s">
        <v>200</v>
      </c>
      <c r="D2421" s="4" t="s">
        <v>314</v>
      </c>
      <c r="E2421" s="4" t="s">
        <v>254</v>
      </c>
      <c r="F2421" t="s">
        <v>233</v>
      </c>
      <c r="G2421" t="s">
        <v>230</v>
      </c>
      <c r="H2421">
        <f>VLOOKUP(C2421,'TB Apr 24'!$B$13:$AQ$103,42,0)</f>
        <v>0</v>
      </c>
    </row>
    <row r="2422" spans="1:8" x14ac:dyDescent="0.35">
      <c r="A2422" s="77">
        <v>45383</v>
      </c>
      <c r="B2422" s="3" t="s">
        <v>201</v>
      </c>
      <c r="C2422" s="4" t="s">
        <v>202</v>
      </c>
      <c r="D2422" s="4" t="s">
        <v>314</v>
      </c>
      <c r="E2422" s="4" t="s">
        <v>254</v>
      </c>
      <c r="F2422" t="s">
        <v>233</v>
      </c>
      <c r="G2422" t="s">
        <v>230</v>
      </c>
      <c r="H2422">
        <f>VLOOKUP(C2422,'TB Apr 24'!$B$13:$AQ$103,42,0)</f>
        <v>0</v>
      </c>
    </row>
    <row r="2423" spans="1:8" x14ac:dyDescent="0.35">
      <c r="A2423" s="77">
        <v>45383</v>
      </c>
      <c r="B2423" s="3" t="s">
        <v>203</v>
      </c>
      <c r="C2423" s="4" t="s">
        <v>204</v>
      </c>
      <c r="D2423" s="4" t="s">
        <v>314</v>
      </c>
      <c r="E2423" s="4" t="s">
        <v>256</v>
      </c>
      <c r="F2423" t="s">
        <v>233</v>
      </c>
      <c r="G2423" t="s">
        <v>230</v>
      </c>
      <c r="H2423">
        <f>VLOOKUP(C2423,'TB Apr 24'!$B$13:$AQ$103,42,0)</f>
        <v>0</v>
      </c>
    </row>
    <row r="2424" spans="1:8" x14ac:dyDescent="0.35">
      <c r="A2424" s="77">
        <v>45383</v>
      </c>
      <c r="B2424" s="3" t="s">
        <v>205</v>
      </c>
      <c r="C2424" s="6" t="s">
        <v>206</v>
      </c>
      <c r="D2424" s="4" t="s">
        <v>314</v>
      </c>
      <c r="E2424" s="6" t="s">
        <v>322</v>
      </c>
      <c r="F2424" s="79" t="s">
        <v>233</v>
      </c>
      <c r="G2424" s="79" t="s">
        <v>230</v>
      </c>
      <c r="H2424" s="79">
        <f>VLOOKUP(C2424,'TB Apr 24'!$B$13:$AQ$103,42,0)</f>
        <v>0</v>
      </c>
    </row>
    <row r="2425" spans="1:8" x14ac:dyDescent="0.35">
      <c r="A2425" s="77">
        <v>45383</v>
      </c>
      <c r="B2425" s="3" t="s">
        <v>57</v>
      </c>
      <c r="C2425" s="4" t="s">
        <v>58</v>
      </c>
      <c r="D2425" s="4" t="s">
        <v>314</v>
      </c>
      <c r="E2425" s="4" t="s">
        <v>253</v>
      </c>
      <c r="F2425" t="s">
        <v>233</v>
      </c>
      <c r="G2425" t="s">
        <v>219</v>
      </c>
      <c r="H2425">
        <f>VLOOKUP(C2425,'TB Apr 24'!$B$13:$AR$103,43,0)</f>
        <v>0</v>
      </c>
    </row>
    <row r="2426" spans="1:8" x14ac:dyDescent="0.35">
      <c r="A2426" s="77">
        <v>45383</v>
      </c>
      <c r="B2426" s="3" t="s">
        <v>307</v>
      </c>
      <c r="C2426" s="4" t="s">
        <v>308</v>
      </c>
      <c r="D2426" s="4" t="s">
        <v>314</v>
      </c>
      <c r="E2426" s="4" t="s">
        <v>253</v>
      </c>
      <c r="F2426" t="s">
        <v>233</v>
      </c>
      <c r="G2426" t="s">
        <v>219</v>
      </c>
      <c r="H2426">
        <f>VLOOKUP(C2426,'TB Apr 24'!$B$13:$AR$103,43,0)</f>
        <v>0</v>
      </c>
    </row>
    <row r="2427" spans="1:8" x14ac:dyDescent="0.35">
      <c r="A2427" s="77">
        <v>45383</v>
      </c>
      <c r="B2427" s="3" t="s">
        <v>59</v>
      </c>
      <c r="C2427" s="4" t="s">
        <v>60</v>
      </c>
      <c r="D2427" s="4" t="s">
        <v>314</v>
      </c>
      <c r="E2427" s="4" t="s">
        <v>253</v>
      </c>
      <c r="F2427" t="s">
        <v>233</v>
      </c>
      <c r="G2427" t="s">
        <v>219</v>
      </c>
      <c r="H2427">
        <f>VLOOKUP(C2427,'TB Apr 24'!$B$13:$AR$103,43,0)</f>
        <v>-58.15</v>
      </c>
    </row>
    <row r="2428" spans="1:8" x14ac:dyDescent="0.35">
      <c r="A2428" s="77">
        <v>45383</v>
      </c>
      <c r="B2428" s="3" t="s">
        <v>61</v>
      </c>
      <c r="C2428" s="4" t="s">
        <v>62</v>
      </c>
      <c r="D2428" s="4" t="s">
        <v>314</v>
      </c>
      <c r="E2428" s="4" t="s">
        <v>66</v>
      </c>
      <c r="F2428" t="s">
        <v>233</v>
      </c>
      <c r="G2428" t="s">
        <v>219</v>
      </c>
      <c r="H2428">
        <f>VLOOKUP(C2428,'TB Apr 24'!$B$13:$AR$103,43,0)</f>
        <v>-57946.2</v>
      </c>
    </row>
    <row r="2429" spans="1:8" x14ac:dyDescent="0.35">
      <c r="A2429" s="77">
        <v>45383</v>
      </c>
      <c r="B2429" s="3" t="s">
        <v>63</v>
      </c>
      <c r="C2429" s="4" t="s">
        <v>64</v>
      </c>
      <c r="D2429" s="4" t="s">
        <v>314</v>
      </c>
      <c r="E2429" s="4" t="s">
        <v>252</v>
      </c>
      <c r="F2429" t="s">
        <v>233</v>
      </c>
      <c r="G2429" t="s">
        <v>219</v>
      </c>
      <c r="H2429">
        <f>VLOOKUP(C2429,'TB Apr 24'!$B$13:$AR$103,43,0)</f>
        <v>0</v>
      </c>
    </row>
    <row r="2430" spans="1:8" x14ac:dyDescent="0.35">
      <c r="A2430" s="77">
        <v>45383</v>
      </c>
      <c r="B2430" s="3" t="s">
        <v>65</v>
      </c>
      <c r="C2430" s="4" t="s">
        <v>66</v>
      </c>
      <c r="D2430" s="4" t="s">
        <v>314</v>
      </c>
      <c r="E2430" s="4" t="s">
        <v>66</v>
      </c>
      <c r="F2430" t="s">
        <v>233</v>
      </c>
      <c r="G2430" t="s">
        <v>219</v>
      </c>
      <c r="H2430">
        <f>VLOOKUP(C2430,'TB Apr 24'!$B$13:$AR$103,43,0)</f>
        <v>-3827277.11</v>
      </c>
    </row>
    <row r="2431" spans="1:8" x14ac:dyDescent="0.35">
      <c r="A2431" s="77">
        <v>45383</v>
      </c>
      <c r="B2431" s="3" t="s">
        <v>67</v>
      </c>
      <c r="C2431" s="4" t="s">
        <v>68</v>
      </c>
      <c r="D2431" s="4" t="s">
        <v>314</v>
      </c>
      <c r="E2431" s="4" t="s">
        <v>252</v>
      </c>
      <c r="F2431" t="s">
        <v>233</v>
      </c>
      <c r="G2431" t="s">
        <v>219</v>
      </c>
      <c r="H2431">
        <f>VLOOKUP(C2431,'TB Apr 24'!$B$13:$AR$103,43,0)</f>
        <v>-754993.53</v>
      </c>
    </row>
    <row r="2432" spans="1:8" x14ac:dyDescent="0.35">
      <c r="A2432" s="77">
        <v>45383</v>
      </c>
      <c r="B2432" s="3" t="s">
        <v>69</v>
      </c>
      <c r="C2432" s="4" t="s">
        <v>70</v>
      </c>
      <c r="D2432" s="4" t="s">
        <v>314</v>
      </c>
      <c r="E2432" s="4" t="s">
        <v>70</v>
      </c>
      <c r="F2432" t="s">
        <v>233</v>
      </c>
      <c r="G2432" t="s">
        <v>219</v>
      </c>
      <c r="H2432">
        <f>VLOOKUP(C2432,'TB Apr 24'!$B$13:$AR$103,43,0)</f>
        <v>-590816.56000000006</v>
      </c>
    </row>
    <row r="2433" spans="1:8" x14ac:dyDescent="0.35">
      <c r="A2433" s="77">
        <v>45383</v>
      </c>
      <c r="B2433" s="3" t="s">
        <v>71</v>
      </c>
      <c r="C2433" s="4" t="s">
        <v>72</v>
      </c>
      <c r="D2433" s="4" t="s">
        <v>314</v>
      </c>
      <c r="E2433" s="4" t="s">
        <v>253</v>
      </c>
      <c r="F2433" t="s">
        <v>233</v>
      </c>
      <c r="G2433" t="s">
        <v>219</v>
      </c>
      <c r="H2433">
        <f>VLOOKUP(C2433,'TB Apr 24'!$B$13:$AR$103,43,0)</f>
        <v>0</v>
      </c>
    </row>
    <row r="2434" spans="1:8" x14ac:dyDescent="0.35">
      <c r="A2434" s="77">
        <v>45383</v>
      </c>
      <c r="B2434" s="3" t="s">
        <v>73</v>
      </c>
      <c r="C2434" s="4" t="s">
        <v>74</v>
      </c>
      <c r="D2434" s="4" t="s">
        <v>314</v>
      </c>
      <c r="E2434" s="4" t="s">
        <v>253</v>
      </c>
      <c r="F2434" t="s">
        <v>233</v>
      </c>
      <c r="G2434" t="s">
        <v>219</v>
      </c>
      <c r="H2434">
        <f>VLOOKUP(C2434,'TB Apr 24'!$B$13:$AR$103,43,0)</f>
        <v>-1134.5</v>
      </c>
    </row>
    <row r="2435" spans="1:8" x14ac:dyDescent="0.35">
      <c r="A2435" s="77">
        <v>45383</v>
      </c>
      <c r="B2435" s="3" t="s">
        <v>75</v>
      </c>
      <c r="C2435" s="4" t="s">
        <v>76</v>
      </c>
      <c r="D2435" s="4" t="s">
        <v>314</v>
      </c>
      <c r="E2435" s="4" t="s">
        <v>253</v>
      </c>
      <c r="F2435" t="s">
        <v>233</v>
      </c>
      <c r="G2435" t="s">
        <v>219</v>
      </c>
      <c r="H2435">
        <f>VLOOKUP(C2435,'TB Apr 24'!$B$13:$AR$103,43,0)</f>
        <v>0</v>
      </c>
    </row>
    <row r="2436" spans="1:8" x14ac:dyDescent="0.35">
      <c r="A2436" s="77">
        <v>45383</v>
      </c>
      <c r="B2436" s="3" t="s">
        <v>77</v>
      </c>
      <c r="C2436" s="4" t="s">
        <v>78</v>
      </c>
      <c r="D2436" s="4" t="s">
        <v>314</v>
      </c>
      <c r="E2436" s="4" t="s">
        <v>253</v>
      </c>
      <c r="F2436" t="s">
        <v>233</v>
      </c>
      <c r="G2436" t="s">
        <v>219</v>
      </c>
      <c r="H2436">
        <f>VLOOKUP(C2436,'TB Apr 24'!$B$13:$AR$103,43,0)</f>
        <v>-85987.1</v>
      </c>
    </row>
    <row r="2437" spans="1:8" x14ac:dyDescent="0.35">
      <c r="A2437" s="77">
        <v>45383</v>
      </c>
      <c r="B2437" s="3" t="s">
        <v>79</v>
      </c>
      <c r="C2437" s="4" t="s">
        <v>80</v>
      </c>
      <c r="D2437" s="4" t="s">
        <v>314</v>
      </c>
      <c r="E2437" s="4" t="s">
        <v>253</v>
      </c>
      <c r="F2437" t="s">
        <v>233</v>
      </c>
      <c r="G2437" t="s">
        <v>219</v>
      </c>
      <c r="H2437">
        <f>VLOOKUP(C2437,'TB Apr 24'!$B$13:$AR$103,43,0)</f>
        <v>-48179.22</v>
      </c>
    </row>
    <row r="2438" spans="1:8" x14ac:dyDescent="0.35">
      <c r="A2438" s="77">
        <v>45383</v>
      </c>
      <c r="B2438" s="3" t="s">
        <v>81</v>
      </c>
      <c r="C2438" s="4" t="s">
        <v>82</v>
      </c>
      <c r="D2438" s="4" t="s">
        <v>314</v>
      </c>
      <c r="E2438" s="4" t="s">
        <v>319</v>
      </c>
      <c r="F2438" t="s">
        <v>233</v>
      </c>
      <c r="G2438" t="s">
        <v>219</v>
      </c>
      <c r="H2438">
        <f>VLOOKUP(C2438,'TB Apr 24'!$B$13:$AR$103,43,0)</f>
        <v>0</v>
      </c>
    </row>
    <row r="2439" spans="1:8" x14ac:dyDescent="0.35">
      <c r="A2439" s="77">
        <v>45383</v>
      </c>
      <c r="B2439" s="3" t="s">
        <v>83</v>
      </c>
      <c r="C2439" s="4" t="s">
        <v>84</v>
      </c>
      <c r="D2439" s="4" t="s">
        <v>314</v>
      </c>
      <c r="E2439" s="4" t="s">
        <v>319</v>
      </c>
      <c r="F2439" t="s">
        <v>233</v>
      </c>
      <c r="G2439" t="s">
        <v>219</v>
      </c>
      <c r="H2439">
        <f>VLOOKUP(C2439,'TB Apr 24'!$B$13:$AR$103,43,0)</f>
        <v>0</v>
      </c>
    </row>
    <row r="2440" spans="1:8" x14ac:dyDescent="0.35">
      <c r="A2440" s="77">
        <v>45383</v>
      </c>
      <c r="B2440" s="3" t="s">
        <v>85</v>
      </c>
      <c r="C2440" s="4" t="s">
        <v>86</v>
      </c>
      <c r="D2440" s="4" t="s">
        <v>314</v>
      </c>
      <c r="E2440" s="4" t="s">
        <v>291</v>
      </c>
      <c r="F2440" t="s">
        <v>233</v>
      </c>
      <c r="G2440" t="s">
        <v>219</v>
      </c>
      <c r="H2440">
        <f>VLOOKUP(C2440,'TB Apr 24'!$B$13:$AR$103,43,0)</f>
        <v>6829.2</v>
      </c>
    </row>
    <row r="2441" spans="1:8" x14ac:dyDescent="0.35">
      <c r="A2441" s="77">
        <v>45383</v>
      </c>
      <c r="B2441" s="3" t="s">
        <v>88</v>
      </c>
      <c r="C2441" s="4" t="s">
        <v>89</v>
      </c>
      <c r="D2441" s="4" t="s">
        <v>314</v>
      </c>
      <c r="E2441" s="4" t="s">
        <v>300</v>
      </c>
      <c r="F2441" t="s">
        <v>233</v>
      </c>
      <c r="G2441" t="s">
        <v>219</v>
      </c>
      <c r="H2441">
        <f>VLOOKUP(C2441,'TB Apr 24'!$B$13:$AR$103,43,0)</f>
        <v>0</v>
      </c>
    </row>
    <row r="2442" spans="1:8" x14ac:dyDescent="0.35">
      <c r="A2442" s="77">
        <v>45383</v>
      </c>
      <c r="B2442" s="3" t="s">
        <v>90</v>
      </c>
      <c r="C2442" s="4" t="s">
        <v>91</v>
      </c>
      <c r="D2442" s="4" t="s">
        <v>314</v>
      </c>
      <c r="E2442" s="4" t="s">
        <v>300</v>
      </c>
      <c r="F2442" t="s">
        <v>233</v>
      </c>
      <c r="G2442" t="s">
        <v>219</v>
      </c>
      <c r="H2442">
        <f>VLOOKUP(C2442,'TB Apr 24'!$B$13:$AR$103,43,0)</f>
        <v>7824</v>
      </c>
    </row>
    <row r="2443" spans="1:8" x14ac:dyDescent="0.35">
      <c r="A2443" s="77">
        <v>45383</v>
      </c>
      <c r="B2443" s="3" t="s">
        <v>92</v>
      </c>
      <c r="C2443" s="4" t="s">
        <v>93</v>
      </c>
      <c r="D2443" s="4" t="s">
        <v>314</v>
      </c>
      <c r="E2443" s="4" t="s">
        <v>300</v>
      </c>
      <c r="F2443" t="s">
        <v>233</v>
      </c>
      <c r="G2443" t="s">
        <v>219</v>
      </c>
      <c r="H2443">
        <f>VLOOKUP(C2443,'TB Apr 24'!$B$13:$AR$103,43,0)</f>
        <v>0</v>
      </c>
    </row>
    <row r="2444" spans="1:8" x14ac:dyDescent="0.35">
      <c r="A2444" s="77">
        <v>45383</v>
      </c>
      <c r="B2444" s="3" t="s">
        <v>94</v>
      </c>
      <c r="C2444" s="4" t="s">
        <v>95</v>
      </c>
      <c r="D2444" s="4" t="s">
        <v>314</v>
      </c>
      <c r="E2444" s="4" t="s">
        <v>289</v>
      </c>
      <c r="F2444" t="s">
        <v>233</v>
      </c>
      <c r="G2444" t="s">
        <v>219</v>
      </c>
      <c r="H2444">
        <f>VLOOKUP(C2444,'TB Apr 24'!$B$13:$AR$103,43,0)</f>
        <v>978159</v>
      </c>
    </row>
    <row r="2445" spans="1:8" x14ac:dyDescent="0.35">
      <c r="A2445" s="77">
        <v>45383</v>
      </c>
      <c r="B2445" s="3" t="s">
        <v>96</v>
      </c>
      <c r="C2445" s="4" t="s">
        <v>97</v>
      </c>
      <c r="D2445" s="4" t="s">
        <v>314</v>
      </c>
      <c r="E2445" s="4" t="s">
        <v>289</v>
      </c>
      <c r="F2445" t="s">
        <v>233</v>
      </c>
      <c r="G2445" t="s">
        <v>219</v>
      </c>
      <c r="H2445">
        <f>VLOOKUP(C2445,'TB Apr 24'!$B$13:$AR$103,43,0)</f>
        <v>0</v>
      </c>
    </row>
    <row r="2446" spans="1:8" x14ac:dyDescent="0.35">
      <c r="A2446" s="77">
        <v>45383</v>
      </c>
      <c r="B2446" s="3" t="s">
        <v>309</v>
      </c>
      <c r="C2446" s="4" t="s">
        <v>310</v>
      </c>
      <c r="D2446" s="4" t="s">
        <v>314</v>
      </c>
      <c r="E2446" s="4" t="s">
        <v>289</v>
      </c>
      <c r="F2446" t="s">
        <v>233</v>
      </c>
      <c r="G2446" t="s">
        <v>219</v>
      </c>
      <c r="H2446">
        <f>VLOOKUP(C2446,'TB Apr 24'!$B$13:$AR$103,43,0)</f>
        <v>0</v>
      </c>
    </row>
    <row r="2447" spans="1:8" x14ac:dyDescent="0.35">
      <c r="A2447" s="77">
        <v>45383</v>
      </c>
      <c r="B2447" s="3" t="s">
        <v>98</v>
      </c>
      <c r="C2447" s="4" t="s">
        <v>99</v>
      </c>
      <c r="D2447" s="4" t="s">
        <v>314</v>
      </c>
      <c r="E2447" s="4" t="s">
        <v>289</v>
      </c>
      <c r="F2447" t="s">
        <v>233</v>
      </c>
      <c r="G2447" t="s">
        <v>219</v>
      </c>
      <c r="H2447">
        <f>VLOOKUP(C2447,'TB Apr 24'!$B$13:$AR$103,43,0)</f>
        <v>0</v>
      </c>
    </row>
    <row r="2448" spans="1:8" x14ac:dyDescent="0.35">
      <c r="A2448" s="77">
        <v>45383</v>
      </c>
      <c r="B2448" s="3" t="s">
        <v>100</v>
      </c>
      <c r="C2448" s="4" t="s">
        <v>101</v>
      </c>
      <c r="D2448" s="4" t="s">
        <v>314</v>
      </c>
      <c r="E2448" s="4" t="s">
        <v>291</v>
      </c>
      <c r="F2448" t="s">
        <v>233</v>
      </c>
      <c r="G2448" t="s">
        <v>219</v>
      </c>
      <c r="H2448">
        <f>VLOOKUP(C2448,'TB Apr 24'!$B$13:$AR$103,43,0)</f>
        <v>0</v>
      </c>
    </row>
    <row r="2449" spans="1:8" x14ac:dyDescent="0.35">
      <c r="A2449" s="77">
        <v>45383</v>
      </c>
      <c r="B2449" s="3" t="s">
        <v>102</v>
      </c>
      <c r="C2449" s="4" t="s">
        <v>103</v>
      </c>
      <c r="D2449" s="4" t="s">
        <v>314</v>
      </c>
      <c r="E2449" s="4" t="s">
        <v>291</v>
      </c>
      <c r="F2449" t="s">
        <v>233</v>
      </c>
      <c r="G2449" t="s">
        <v>219</v>
      </c>
      <c r="H2449">
        <f>VLOOKUP(C2449,'TB Apr 24'!$B$13:$AR$103,43,0)</f>
        <v>0</v>
      </c>
    </row>
    <row r="2450" spans="1:8" x14ac:dyDescent="0.35">
      <c r="A2450" s="77">
        <v>45383</v>
      </c>
      <c r="B2450" s="3" t="s">
        <v>104</v>
      </c>
      <c r="C2450" s="4" t="s">
        <v>105</v>
      </c>
      <c r="D2450" s="4" t="s">
        <v>314</v>
      </c>
      <c r="E2450" s="4" t="s">
        <v>291</v>
      </c>
      <c r="F2450" t="s">
        <v>233</v>
      </c>
      <c r="G2450" t="s">
        <v>219</v>
      </c>
      <c r="H2450">
        <f>VLOOKUP(C2450,'TB Apr 24'!$B$13:$AR$103,43,0)</f>
        <v>10168</v>
      </c>
    </row>
    <row r="2451" spans="1:8" x14ac:dyDescent="0.35">
      <c r="A2451" s="77">
        <v>45383</v>
      </c>
      <c r="B2451" s="3" t="s">
        <v>106</v>
      </c>
      <c r="C2451" s="4" t="s">
        <v>107</v>
      </c>
      <c r="D2451" s="4" t="s">
        <v>314</v>
      </c>
      <c r="E2451" s="4" t="s">
        <v>321</v>
      </c>
      <c r="F2451" t="s">
        <v>233</v>
      </c>
      <c r="G2451" t="s">
        <v>219</v>
      </c>
      <c r="H2451">
        <f>VLOOKUP(C2451,'TB Apr 24'!$B$13:$AR$103,43,0)</f>
        <v>756</v>
      </c>
    </row>
    <row r="2452" spans="1:8" x14ac:dyDescent="0.35">
      <c r="A2452" s="77">
        <v>45383</v>
      </c>
      <c r="B2452" s="3" t="s">
        <v>108</v>
      </c>
      <c r="C2452" s="4" t="s">
        <v>109</v>
      </c>
      <c r="D2452" s="4" t="s">
        <v>314</v>
      </c>
      <c r="E2452" s="4" t="s">
        <v>321</v>
      </c>
      <c r="F2452" t="s">
        <v>233</v>
      </c>
      <c r="G2452" t="s">
        <v>219</v>
      </c>
      <c r="H2452">
        <f>VLOOKUP(C2452,'TB Apr 24'!$B$13:$AR$103,43,0)</f>
        <v>0</v>
      </c>
    </row>
    <row r="2453" spans="1:8" x14ac:dyDescent="0.35">
      <c r="A2453" s="77">
        <v>45383</v>
      </c>
      <c r="B2453" s="3" t="s">
        <v>110</v>
      </c>
      <c r="C2453" s="4" t="s">
        <v>111</v>
      </c>
      <c r="D2453" s="4" t="s">
        <v>314</v>
      </c>
      <c r="E2453" s="4" t="s">
        <v>320</v>
      </c>
      <c r="F2453" t="s">
        <v>233</v>
      </c>
      <c r="G2453" t="s">
        <v>219</v>
      </c>
      <c r="H2453">
        <f>VLOOKUP(C2453,'TB Apr 24'!$B$13:$AR$103,43,0)</f>
        <v>3000</v>
      </c>
    </row>
    <row r="2454" spans="1:8" x14ac:dyDescent="0.35">
      <c r="A2454" s="77">
        <v>45383</v>
      </c>
      <c r="B2454" s="3" t="s">
        <v>112</v>
      </c>
      <c r="C2454" s="4" t="s">
        <v>113</v>
      </c>
      <c r="D2454" s="4" t="s">
        <v>314</v>
      </c>
      <c r="E2454" s="4" t="s">
        <v>321</v>
      </c>
      <c r="F2454" t="s">
        <v>233</v>
      </c>
      <c r="G2454" t="s">
        <v>219</v>
      </c>
      <c r="H2454">
        <f>VLOOKUP(C2454,'TB Apr 24'!$B$13:$AR$103,43,0)</f>
        <v>0</v>
      </c>
    </row>
    <row r="2455" spans="1:8" x14ac:dyDescent="0.35">
      <c r="A2455" s="77">
        <v>45383</v>
      </c>
      <c r="B2455" s="3" t="s">
        <v>311</v>
      </c>
      <c r="C2455" s="4" t="s">
        <v>312</v>
      </c>
      <c r="D2455" s="4" t="s">
        <v>314</v>
      </c>
      <c r="E2455" s="4" t="s">
        <v>288</v>
      </c>
      <c r="F2455" t="s">
        <v>233</v>
      </c>
      <c r="G2455" t="s">
        <v>219</v>
      </c>
      <c r="H2455">
        <f>VLOOKUP(C2455,'TB Apr 24'!$B$13:$AR$103,43,0)</f>
        <v>0</v>
      </c>
    </row>
    <row r="2456" spans="1:8" x14ac:dyDescent="0.35">
      <c r="A2456" s="77">
        <v>45383</v>
      </c>
      <c r="B2456" s="3" t="s">
        <v>114</v>
      </c>
      <c r="C2456" s="4" t="s">
        <v>115</v>
      </c>
      <c r="D2456" s="4" t="s">
        <v>314</v>
      </c>
      <c r="E2456" s="4" t="s">
        <v>294</v>
      </c>
      <c r="F2456" t="s">
        <v>233</v>
      </c>
      <c r="G2456" t="s">
        <v>219</v>
      </c>
      <c r="H2456">
        <f>VLOOKUP(C2456,'TB Apr 24'!$B$13:$AR$103,43,0)</f>
        <v>0</v>
      </c>
    </row>
    <row r="2457" spans="1:8" x14ac:dyDescent="0.35">
      <c r="A2457" s="77">
        <v>45383</v>
      </c>
      <c r="B2457" s="3" t="s">
        <v>116</v>
      </c>
      <c r="C2457" s="4" t="s">
        <v>117</v>
      </c>
      <c r="D2457" s="4" t="s">
        <v>314</v>
      </c>
      <c r="E2457" s="4" t="s">
        <v>296</v>
      </c>
      <c r="F2457" t="s">
        <v>233</v>
      </c>
      <c r="G2457" t="s">
        <v>219</v>
      </c>
      <c r="H2457">
        <f>VLOOKUP(C2457,'TB Apr 24'!$B$13:$AR$103,43,0)</f>
        <v>0</v>
      </c>
    </row>
    <row r="2458" spans="1:8" x14ac:dyDescent="0.35">
      <c r="A2458" s="77">
        <v>45383</v>
      </c>
      <c r="B2458" s="3" t="s">
        <v>118</v>
      </c>
      <c r="C2458" s="4" t="s">
        <v>119</v>
      </c>
      <c r="D2458" s="4" t="s">
        <v>314</v>
      </c>
      <c r="E2458" s="4" t="s">
        <v>296</v>
      </c>
      <c r="F2458" t="s">
        <v>233</v>
      </c>
      <c r="G2458" t="s">
        <v>219</v>
      </c>
      <c r="H2458">
        <f>VLOOKUP(C2458,'TB Apr 24'!$B$13:$AR$103,43,0)</f>
        <v>0</v>
      </c>
    </row>
    <row r="2459" spans="1:8" x14ac:dyDescent="0.35">
      <c r="A2459" s="77">
        <v>45383</v>
      </c>
      <c r="B2459" s="3" t="s">
        <v>120</v>
      </c>
      <c r="C2459" s="4" t="s">
        <v>121</v>
      </c>
      <c r="D2459" s="4" t="s">
        <v>314</v>
      </c>
      <c r="E2459" s="4" t="s">
        <v>322</v>
      </c>
      <c r="F2459" t="s">
        <v>233</v>
      </c>
      <c r="G2459" t="s">
        <v>219</v>
      </c>
      <c r="H2459">
        <f>VLOOKUP(C2459,'TB Apr 24'!$B$13:$AR$103,43,0)</f>
        <v>13514</v>
      </c>
    </row>
    <row r="2460" spans="1:8" x14ac:dyDescent="0.35">
      <c r="A2460" s="77">
        <v>45383</v>
      </c>
      <c r="B2460" s="3" t="s">
        <v>122</v>
      </c>
      <c r="C2460" s="4" t="s">
        <v>123</v>
      </c>
      <c r="D2460" s="4" t="s">
        <v>314</v>
      </c>
      <c r="E2460" s="4" t="s">
        <v>322</v>
      </c>
      <c r="F2460" t="s">
        <v>233</v>
      </c>
      <c r="G2460" t="s">
        <v>219</v>
      </c>
      <c r="H2460">
        <f>VLOOKUP(C2460,'TB Apr 24'!$B$13:$AR$103,43,0)</f>
        <v>30365.5</v>
      </c>
    </row>
    <row r="2461" spans="1:8" x14ac:dyDescent="0.35">
      <c r="A2461" s="77">
        <v>45383</v>
      </c>
      <c r="B2461" s="3" t="s">
        <v>124</v>
      </c>
      <c r="C2461" s="4" t="s">
        <v>125</v>
      </c>
      <c r="D2461" s="4" t="s">
        <v>314</v>
      </c>
      <c r="E2461" s="4" t="s">
        <v>322</v>
      </c>
      <c r="F2461" t="s">
        <v>233</v>
      </c>
      <c r="G2461" t="s">
        <v>219</v>
      </c>
      <c r="H2461">
        <f>VLOOKUP(C2461,'TB Apr 24'!$B$13:$AR$103,43,0)</f>
        <v>0</v>
      </c>
    </row>
    <row r="2462" spans="1:8" x14ac:dyDescent="0.35">
      <c r="A2462" s="77">
        <v>45383</v>
      </c>
      <c r="B2462" s="3" t="s">
        <v>126</v>
      </c>
      <c r="C2462" s="4" t="s">
        <v>127</v>
      </c>
      <c r="D2462" s="4" t="s">
        <v>314</v>
      </c>
      <c r="E2462" s="4" t="s">
        <v>291</v>
      </c>
      <c r="F2462" t="s">
        <v>233</v>
      </c>
      <c r="G2462" t="s">
        <v>219</v>
      </c>
      <c r="H2462">
        <f>VLOOKUP(C2462,'TB Apr 24'!$B$13:$AR$103,43,0)</f>
        <v>21600</v>
      </c>
    </row>
    <row r="2463" spans="1:8" x14ac:dyDescent="0.35">
      <c r="A2463" s="77">
        <v>45383</v>
      </c>
      <c r="B2463" s="3" t="s">
        <v>128</v>
      </c>
      <c r="C2463" s="4" t="s">
        <v>129</v>
      </c>
      <c r="D2463" s="4" t="s">
        <v>314</v>
      </c>
      <c r="E2463" s="4" t="s">
        <v>322</v>
      </c>
      <c r="F2463" t="s">
        <v>233</v>
      </c>
      <c r="G2463" t="s">
        <v>219</v>
      </c>
      <c r="H2463">
        <f>VLOOKUP(C2463,'TB Apr 24'!$B$13:$AR$103,43,0)</f>
        <v>5768</v>
      </c>
    </row>
    <row r="2464" spans="1:8" x14ac:dyDescent="0.35">
      <c r="A2464" s="77">
        <v>45383</v>
      </c>
      <c r="B2464" s="3" t="s">
        <v>130</v>
      </c>
      <c r="C2464" s="4" t="s">
        <v>131</v>
      </c>
      <c r="D2464" s="4" t="s">
        <v>314</v>
      </c>
      <c r="E2464" s="4" t="s">
        <v>322</v>
      </c>
      <c r="F2464" t="s">
        <v>233</v>
      </c>
      <c r="G2464" t="s">
        <v>219</v>
      </c>
      <c r="H2464">
        <f>VLOOKUP(C2464,'TB Apr 24'!$B$13:$AR$103,43,0)</f>
        <v>200</v>
      </c>
    </row>
    <row r="2465" spans="1:8" x14ac:dyDescent="0.35">
      <c r="A2465" s="77">
        <v>45383</v>
      </c>
      <c r="B2465" s="3" t="s">
        <v>132</v>
      </c>
      <c r="C2465" s="4" t="s">
        <v>133</v>
      </c>
      <c r="D2465" s="4" t="s">
        <v>314</v>
      </c>
      <c r="E2465" s="4" t="s">
        <v>320</v>
      </c>
      <c r="F2465" t="s">
        <v>233</v>
      </c>
      <c r="G2465" t="s">
        <v>219</v>
      </c>
      <c r="H2465">
        <f>VLOOKUP(C2465,'TB Apr 24'!$B$13:$AR$103,43,0)</f>
        <v>21309.8</v>
      </c>
    </row>
    <row r="2466" spans="1:8" x14ac:dyDescent="0.35">
      <c r="A2466" s="77">
        <v>45383</v>
      </c>
      <c r="B2466" s="3" t="s">
        <v>134</v>
      </c>
      <c r="C2466" s="4" t="s">
        <v>135</v>
      </c>
      <c r="D2466" s="4" t="s">
        <v>314</v>
      </c>
      <c r="E2466" s="4" t="s">
        <v>299</v>
      </c>
      <c r="F2466" t="s">
        <v>233</v>
      </c>
      <c r="G2466" t="s">
        <v>219</v>
      </c>
      <c r="H2466">
        <f>VLOOKUP(C2466,'TB Apr 24'!$B$13:$AR$103,43,0)</f>
        <v>0</v>
      </c>
    </row>
    <row r="2467" spans="1:8" x14ac:dyDescent="0.35">
      <c r="A2467" s="77">
        <v>45383</v>
      </c>
      <c r="B2467" s="3" t="s">
        <v>136</v>
      </c>
      <c r="C2467" s="4" t="s">
        <v>137</v>
      </c>
      <c r="D2467" s="4" t="s">
        <v>314</v>
      </c>
      <c r="E2467" s="4" t="s">
        <v>322</v>
      </c>
      <c r="F2467" t="s">
        <v>233</v>
      </c>
      <c r="G2467" t="s">
        <v>219</v>
      </c>
      <c r="H2467">
        <f>VLOOKUP(C2467,'TB Apr 24'!$B$13:$AR$103,43,0)</f>
        <v>0</v>
      </c>
    </row>
    <row r="2468" spans="1:8" x14ac:dyDescent="0.35">
      <c r="A2468" s="77">
        <v>45383</v>
      </c>
      <c r="B2468" s="3" t="s">
        <v>138</v>
      </c>
      <c r="C2468" s="4" t="s">
        <v>139</v>
      </c>
      <c r="D2468" s="4" t="s">
        <v>314</v>
      </c>
      <c r="E2468" s="4" t="s">
        <v>294</v>
      </c>
      <c r="F2468" t="s">
        <v>233</v>
      </c>
      <c r="G2468" t="s">
        <v>219</v>
      </c>
      <c r="H2468">
        <f>VLOOKUP(C2468,'TB Apr 24'!$B$13:$AR$103,43,0)</f>
        <v>74788.799999999988</v>
      </c>
    </row>
    <row r="2469" spans="1:8" x14ac:dyDescent="0.35">
      <c r="A2469" s="77">
        <v>45383</v>
      </c>
      <c r="B2469" s="3" t="s">
        <v>140</v>
      </c>
      <c r="C2469" s="4" t="s">
        <v>141</v>
      </c>
      <c r="D2469" s="4" t="s">
        <v>314</v>
      </c>
      <c r="E2469" s="4" t="s">
        <v>268</v>
      </c>
      <c r="F2469" t="s">
        <v>233</v>
      </c>
      <c r="G2469" t="s">
        <v>219</v>
      </c>
      <c r="H2469">
        <f>VLOOKUP(C2469,'TB Apr 24'!$B$13:$AR$103,43,0)</f>
        <v>590303.16070000001</v>
      </c>
    </row>
    <row r="2470" spans="1:8" x14ac:dyDescent="0.35">
      <c r="A2470" s="77">
        <v>45383</v>
      </c>
      <c r="B2470" s="3" t="s">
        <v>142</v>
      </c>
      <c r="C2470" s="4" t="s">
        <v>143</v>
      </c>
      <c r="D2470" s="4" t="s">
        <v>314</v>
      </c>
      <c r="E2470" s="4" t="s">
        <v>269</v>
      </c>
      <c r="F2470" t="s">
        <v>233</v>
      </c>
      <c r="G2470" t="s">
        <v>219</v>
      </c>
      <c r="H2470">
        <f>VLOOKUP(C2470,'TB Apr 24'!$B$13:$AR$103,43,0)</f>
        <v>165676</v>
      </c>
    </row>
    <row r="2471" spans="1:8" x14ac:dyDescent="0.35">
      <c r="A2471" s="77">
        <v>45383</v>
      </c>
      <c r="B2471" s="3" t="s">
        <v>144</v>
      </c>
      <c r="C2471" s="4" t="s">
        <v>145</v>
      </c>
      <c r="D2471" s="4" t="s">
        <v>314</v>
      </c>
      <c r="E2471" s="4" t="s">
        <v>288</v>
      </c>
      <c r="F2471" t="s">
        <v>233</v>
      </c>
      <c r="G2471" t="s">
        <v>219</v>
      </c>
      <c r="H2471">
        <f>VLOOKUP(C2471,'TB Apr 24'!$B$13:$AR$103,43,0)</f>
        <v>138716</v>
      </c>
    </row>
    <row r="2472" spans="1:8" x14ac:dyDescent="0.35">
      <c r="A2472" s="77">
        <v>45383</v>
      </c>
      <c r="B2472" s="3" t="s">
        <v>146</v>
      </c>
      <c r="C2472" s="4" t="s">
        <v>147</v>
      </c>
      <c r="D2472" s="4" t="s">
        <v>314</v>
      </c>
      <c r="E2472" s="4" t="s">
        <v>288</v>
      </c>
      <c r="F2472" t="s">
        <v>233</v>
      </c>
      <c r="G2472" t="s">
        <v>219</v>
      </c>
      <c r="H2472">
        <f>VLOOKUP(C2472,'TB Apr 24'!$B$13:$AR$103,43,0)</f>
        <v>0</v>
      </c>
    </row>
    <row r="2473" spans="1:8" x14ac:dyDescent="0.35">
      <c r="A2473" s="77">
        <v>45383</v>
      </c>
      <c r="B2473" s="3" t="s">
        <v>148</v>
      </c>
      <c r="C2473" s="4" t="s">
        <v>149</v>
      </c>
      <c r="D2473" s="4" t="s">
        <v>314</v>
      </c>
      <c r="E2473" s="4" t="s">
        <v>287</v>
      </c>
      <c r="F2473" t="s">
        <v>233</v>
      </c>
      <c r="G2473" t="s">
        <v>219</v>
      </c>
      <c r="H2473">
        <f>VLOOKUP(C2473,'TB Apr 24'!$B$13:$AR$103,43,0)</f>
        <v>136150</v>
      </c>
    </row>
    <row r="2474" spans="1:8" x14ac:dyDescent="0.35">
      <c r="A2474" s="77">
        <v>45383</v>
      </c>
      <c r="B2474" s="3" t="s">
        <v>150</v>
      </c>
      <c r="C2474" s="4" t="s">
        <v>87</v>
      </c>
      <c r="D2474" s="4" t="s">
        <v>314</v>
      </c>
      <c r="E2474" s="4" t="s">
        <v>288</v>
      </c>
      <c r="F2474" t="s">
        <v>233</v>
      </c>
      <c r="G2474" t="s">
        <v>219</v>
      </c>
      <c r="H2474">
        <f>VLOOKUP(C2474,'TB Apr 24'!$B$13:$AR$103,43,0)</f>
        <v>210250</v>
      </c>
    </row>
    <row r="2475" spans="1:8" x14ac:dyDescent="0.35">
      <c r="A2475" s="77">
        <v>45383</v>
      </c>
      <c r="B2475" s="3" t="s">
        <v>151</v>
      </c>
      <c r="C2475" s="4" t="s">
        <v>152</v>
      </c>
      <c r="D2475" s="4" t="s">
        <v>314</v>
      </c>
      <c r="E2475" s="4" t="s">
        <v>288</v>
      </c>
      <c r="F2475" t="s">
        <v>233</v>
      </c>
      <c r="G2475" t="s">
        <v>219</v>
      </c>
      <c r="H2475">
        <f>VLOOKUP(C2475,'TB Apr 24'!$B$13:$AR$103,43,0)</f>
        <v>22843</v>
      </c>
    </row>
    <row r="2476" spans="1:8" x14ac:dyDescent="0.35">
      <c r="A2476" s="77">
        <v>45383</v>
      </c>
      <c r="B2476" s="3" t="s">
        <v>153</v>
      </c>
      <c r="C2476" s="4" t="s">
        <v>154</v>
      </c>
      <c r="D2476" s="4" t="s">
        <v>314</v>
      </c>
      <c r="E2476" s="4" t="s">
        <v>288</v>
      </c>
      <c r="F2476" t="s">
        <v>233</v>
      </c>
      <c r="G2476" t="s">
        <v>219</v>
      </c>
      <c r="H2476">
        <f>VLOOKUP(C2476,'TB Apr 24'!$B$13:$AR$103,43,0)</f>
        <v>44714</v>
      </c>
    </row>
    <row r="2477" spans="1:8" x14ac:dyDescent="0.35">
      <c r="A2477" s="77">
        <v>45383</v>
      </c>
      <c r="B2477" s="3" t="s">
        <v>155</v>
      </c>
      <c r="C2477" s="4" t="s">
        <v>156</v>
      </c>
      <c r="D2477" s="4" t="s">
        <v>314</v>
      </c>
      <c r="E2477" s="4" t="s">
        <v>288</v>
      </c>
      <c r="F2477" t="s">
        <v>233</v>
      </c>
      <c r="G2477" t="s">
        <v>219</v>
      </c>
      <c r="H2477">
        <f>VLOOKUP(C2477,'TB Apr 24'!$B$13:$AR$103,43,0)</f>
        <v>0</v>
      </c>
    </row>
    <row r="2478" spans="1:8" x14ac:dyDescent="0.35">
      <c r="A2478" s="77">
        <v>45383</v>
      </c>
      <c r="B2478" s="3" t="s">
        <v>157</v>
      </c>
      <c r="C2478" s="4" t="s">
        <v>158</v>
      </c>
      <c r="D2478" s="4" t="s">
        <v>314</v>
      </c>
      <c r="E2478" s="4" t="s">
        <v>292</v>
      </c>
      <c r="F2478" t="s">
        <v>233</v>
      </c>
      <c r="G2478" t="s">
        <v>219</v>
      </c>
      <c r="H2478">
        <f>VLOOKUP(C2478,'TB Apr 24'!$B$13:$AR$103,43,0)</f>
        <v>4290.2</v>
      </c>
    </row>
    <row r="2479" spans="1:8" x14ac:dyDescent="0.35">
      <c r="A2479" s="77">
        <v>45383</v>
      </c>
      <c r="B2479" s="3" t="s">
        <v>159</v>
      </c>
      <c r="C2479" s="4" t="s">
        <v>160</v>
      </c>
      <c r="D2479" s="4" t="s">
        <v>314</v>
      </c>
      <c r="E2479" s="4" t="s">
        <v>323</v>
      </c>
      <c r="F2479" t="s">
        <v>233</v>
      </c>
      <c r="G2479" t="s">
        <v>219</v>
      </c>
      <c r="H2479">
        <f>VLOOKUP(C2479,'TB Apr 24'!$B$13:$AR$103,43,0)</f>
        <v>3400</v>
      </c>
    </row>
    <row r="2480" spans="1:8" x14ac:dyDescent="0.35">
      <c r="A2480" s="77">
        <v>45383</v>
      </c>
      <c r="B2480" s="3" t="s">
        <v>161</v>
      </c>
      <c r="C2480" s="4" t="s">
        <v>162</v>
      </c>
      <c r="D2480" s="4" t="s">
        <v>314</v>
      </c>
      <c r="E2480" s="4" t="s">
        <v>323</v>
      </c>
      <c r="F2480" t="s">
        <v>233</v>
      </c>
      <c r="G2480" t="s">
        <v>219</v>
      </c>
      <c r="H2480">
        <f>VLOOKUP(C2480,'TB Apr 24'!$B$13:$AR$103,43,0)</f>
        <v>0</v>
      </c>
    </row>
    <row r="2481" spans="1:8" x14ac:dyDescent="0.35">
      <c r="A2481" s="77">
        <v>45383</v>
      </c>
      <c r="B2481" s="3" t="s">
        <v>163</v>
      </c>
      <c r="C2481" s="4" t="s">
        <v>164</v>
      </c>
      <c r="D2481" s="4" t="s">
        <v>314</v>
      </c>
      <c r="E2481" s="4" t="s">
        <v>319</v>
      </c>
      <c r="F2481" t="s">
        <v>233</v>
      </c>
      <c r="G2481" t="s">
        <v>219</v>
      </c>
      <c r="H2481">
        <f>VLOOKUP(C2481,'TB Apr 24'!$B$13:$AR$103,43,0)</f>
        <v>3000</v>
      </c>
    </row>
    <row r="2482" spans="1:8" x14ac:dyDescent="0.35">
      <c r="A2482" s="77">
        <v>45383</v>
      </c>
      <c r="B2482" s="3" t="s">
        <v>165</v>
      </c>
      <c r="C2482" s="4" t="s">
        <v>166</v>
      </c>
      <c r="D2482" s="4" t="s">
        <v>314</v>
      </c>
      <c r="E2482" s="4" t="s">
        <v>304</v>
      </c>
      <c r="F2482" t="s">
        <v>233</v>
      </c>
      <c r="G2482" t="s">
        <v>219</v>
      </c>
      <c r="H2482">
        <f>VLOOKUP(C2482,'TB Apr 24'!$B$13:$AR$103,43,0)</f>
        <v>224916</v>
      </c>
    </row>
    <row r="2483" spans="1:8" x14ac:dyDescent="0.35">
      <c r="A2483" s="77">
        <v>45383</v>
      </c>
      <c r="B2483" s="3" t="s">
        <v>167</v>
      </c>
      <c r="C2483" s="4" t="s">
        <v>168</v>
      </c>
      <c r="D2483" s="4" t="s">
        <v>314</v>
      </c>
      <c r="E2483" s="4" t="s">
        <v>322</v>
      </c>
      <c r="F2483" t="s">
        <v>233</v>
      </c>
      <c r="G2483" t="s">
        <v>219</v>
      </c>
      <c r="H2483">
        <f>VLOOKUP(C2483,'TB Apr 24'!$B$13:$AR$103,43,0)</f>
        <v>0</v>
      </c>
    </row>
    <row r="2484" spans="1:8" x14ac:dyDescent="0.35">
      <c r="A2484" s="77">
        <v>45383</v>
      </c>
      <c r="B2484" s="3" t="s">
        <v>169</v>
      </c>
      <c r="C2484" s="4" t="s">
        <v>170</v>
      </c>
      <c r="D2484" s="4" t="s">
        <v>314</v>
      </c>
      <c r="E2484" s="4" t="s">
        <v>304</v>
      </c>
      <c r="F2484" t="s">
        <v>233</v>
      </c>
      <c r="G2484" t="s">
        <v>219</v>
      </c>
      <c r="H2484">
        <f>VLOOKUP(C2484,'TB Apr 24'!$B$13:$AR$103,43,0)</f>
        <v>45509</v>
      </c>
    </row>
    <row r="2485" spans="1:8" x14ac:dyDescent="0.35">
      <c r="A2485" s="77">
        <v>45383</v>
      </c>
      <c r="B2485" s="3" t="s">
        <v>171</v>
      </c>
      <c r="C2485" s="4" t="s">
        <v>172</v>
      </c>
      <c r="D2485" s="4" t="s">
        <v>314</v>
      </c>
      <c r="E2485" s="4" t="s">
        <v>303</v>
      </c>
      <c r="F2485" t="s">
        <v>233</v>
      </c>
      <c r="G2485" t="s">
        <v>219</v>
      </c>
      <c r="H2485">
        <f>VLOOKUP(C2485,'TB Apr 24'!$B$13:$AR$103,43,0)</f>
        <v>0</v>
      </c>
    </row>
    <row r="2486" spans="1:8" x14ac:dyDescent="0.35">
      <c r="A2486" s="77">
        <v>45383</v>
      </c>
      <c r="B2486" s="3" t="s">
        <v>173</v>
      </c>
      <c r="C2486" s="4" t="s">
        <v>174</v>
      </c>
      <c r="D2486" s="4" t="s">
        <v>314</v>
      </c>
      <c r="E2486" s="4" t="s">
        <v>257</v>
      </c>
      <c r="F2486" t="s">
        <v>233</v>
      </c>
      <c r="G2486" t="s">
        <v>219</v>
      </c>
      <c r="H2486">
        <f>VLOOKUP(C2486,'TB Apr 24'!$B$13:$AR$103,43,0)</f>
        <v>0</v>
      </c>
    </row>
    <row r="2487" spans="1:8" x14ac:dyDescent="0.35">
      <c r="A2487" s="77">
        <v>45383</v>
      </c>
      <c r="B2487" s="3" t="s">
        <v>175</v>
      </c>
      <c r="C2487" s="4" t="s">
        <v>176</v>
      </c>
      <c r="D2487" s="4" t="s">
        <v>314</v>
      </c>
      <c r="E2487" s="4" t="s">
        <v>257</v>
      </c>
      <c r="F2487" t="s">
        <v>233</v>
      </c>
      <c r="G2487" t="s">
        <v>219</v>
      </c>
      <c r="H2487">
        <f>VLOOKUP(C2487,'TB Apr 24'!$B$13:$AR$103,43,0)</f>
        <v>0</v>
      </c>
    </row>
    <row r="2488" spans="1:8" x14ac:dyDescent="0.35">
      <c r="A2488" s="77">
        <v>45383</v>
      </c>
      <c r="B2488" s="3" t="s">
        <v>177</v>
      </c>
      <c r="C2488" s="4" t="s">
        <v>178</v>
      </c>
      <c r="D2488" s="4" t="s">
        <v>314</v>
      </c>
      <c r="E2488" s="4" t="s">
        <v>257</v>
      </c>
      <c r="F2488" t="s">
        <v>233</v>
      </c>
      <c r="G2488" t="s">
        <v>219</v>
      </c>
      <c r="H2488">
        <f>VLOOKUP(C2488,'TB Apr 24'!$B$13:$AR$103,43,0)</f>
        <v>0</v>
      </c>
    </row>
    <row r="2489" spans="1:8" x14ac:dyDescent="0.35">
      <c r="A2489" s="77">
        <v>45383</v>
      </c>
      <c r="B2489" s="3" t="s">
        <v>179</v>
      </c>
      <c r="C2489" s="4" t="s">
        <v>180</v>
      </c>
      <c r="D2489" s="4" t="s">
        <v>314</v>
      </c>
      <c r="E2489" s="4" t="s">
        <v>322</v>
      </c>
      <c r="F2489" t="s">
        <v>233</v>
      </c>
      <c r="G2489" t="s">
        <v>219</v>
      </c>
      <c r="H2489">
        <f>VLOOKUP(C2489,'TB Apr 24'!$B$13:$AR$103,43,0)</f>
        <v>0</v>
      </c>
    </row>
    <row r="2490" spans="1:8" x14ac:dyDescent="0.35">
      <c r="A2490" s="77">
        <v>45383</v>
      </c>
      <c r="B2490" s="3" t="s">
        <v>181</v>
      </c>
      <c r="C2490" s="4" t="s">
        <v>182</v>
      </c>
      <c r="D2490" s="4" t="s">
        <v>314</v>
      </c>
      <c r="E2490" s="4" t="s">
        <v>290</v>
      </c>
      <c r="F2490" t="s">
        <v>233</v>
      </c>
      <c r="G2490" t="s">
        <v>219</v>
      </c>
      <c r="H2490">
        <f>VLOOKUP(C2490,'TB Apr 24'!$B$13:$AR$103,43,0)</f>
        <v>17040</v>
      </c>
    </row>
    <row r="2491" spans="1:8" x14ac:dyDescent="0.35">
      <c r="A2491" s="77">
        <v>45383</v>
      </c>
      <c r="B2491" s="3" t="s">
        <v>183</v>
      </c>
      <c r="C2491" s="4" t="s">
        <v>184</v>
      </c>
      <c r="D2491" s="4" t="s">
        <v>314</v>
      </c>
      <c r="E2491" s="4" t="s">
        <v>290</v>
      </c>
      <c r="F2491" t="s">
        <v>233</v>
      </c>
      <c r="G2491" t="s">
        <v>219</v>
      </c>
      <c r="H2491">
        <f>VLOOKUP(C2491,'TB Apr 24'!$B$13:$AR$103,43,0)</f>
        <v>0</v>
      </c>
    </row>
    <row r="2492" spans="1:8" x14ac:dyDescent="0.35">
      <c r="A2492" s="77">
        <v>45383</v>
      </c>
      <c r="B2492" s="3" t="s">
        <v>185</v>
      </c>
      <c r="C2492" s="4" t="s">
        <v>186</v>
      </c>
      <c r="D2492" s="4" t="s">
        <v>314</v>
      </c>
      <c r="E2492" s="4" t="s">
        <v>290</v>
      </c>
      <c r="F2492" t="s">
        <v>233</v>
      </c>
      <c r="G2492" t="s">
        <v>219</v>
      </c>
      <c r="H2492">
        <f>VLOOKUP(C2492,'TB Apr 24'!$B$13:$AR$103,43,0)</f>
        <v>110390</v>
      </c>
    </row>
    <row r="2493" spans="1:8" x14ac:dyDescent="0.35">
      <c r="A2493" s="77">
        <v>45383</v>
      </c>
      <c r="B2493" s="3" t="s">
        <v>187</v>
      </c>
      <c r="C2493" s="4" t="s">
        <v>188</v>
      </c>
      <c r="D2493" s="4" t="s">
        <v>314</v>
      </c>
      <c r="E2493" s="4" t="s">
        <v>291</v>
      </c>
      <c r="F2493" t="s">
        <v>233</v>
      </c>
      <c r="G2493" t="s">
        <v>219</v>
      </c>
      <c r="H2493">
        <f>VLOOKUP(C2493,'TB Apr 24'!$B$13:$AR$103,43,0)</f>
        <v>56198.8</v>
      </c>
    </row>
    <row r="2494" spans="1:8" x14ac:dyDescent="0.35">
      <c r="A2494" s="77">
        <v>45383</v>
      </c>
      <c r="B2494" s="3" t="s">
        <v>189</v>
      </c>
      <c r="C2494" s="4" t="s">
        <v>190</v>
      </c>
      <c r="D2494" s="4" t="s">
        <v>314</v>
      </c>
      <c r="E2494" s="4" t="s">
        <v>254</v>
      </c>
      <c r="F2494" t="s">
        <v>233</v>
      </c>
      <c r="G2494" t="s">
        <v>219</v>
      </c>
      <c r="H2494">
        <f>VLOOKUP(C2494,'TB Apr 24'!$B$13:$AR$103,43,0)</f>
        <v>0</v>
      </c>
    </row>
    <row r="2495" spans="1:8" x14ac:dyDescent="0.35">
      <c r="A2495" s="77">
        <v>45383</v>
      </c>
      <c r="B2495" s="3" t="s">
        <v>191</v>
      </c>
      <c r="C2495" s="4" t="s">
        <v>192</v>
      </c>
      <c r="D2495" s="4" t="s">
        <v>314</v>
      </c>
      <c r="E2495" s="4" t="s">
        <v>254</v>
      </c>
      <c r="F2495" t="s">
        <v>233</v>
      </c>
      <c r="G2495" t="s">
        <v>219</v>
      </c>
      <c r="H2495">
        <f>VLOOKUP(C2495,'TB Apr 24'!$B$13:$AR$103,43,0)</f>
        <v>0</v>
      </c>
    </row>
    <row r="2496" spans="1:8" x14ac:dyDescent="0.35">
      <c r="A2496" s="77">
        <v>45383</v>
      </c>
      <c r="B2496" s="3" t="s">
        <v>193</v>
      </c>
      <c r="C2496" s="4" t="s">
        <v>194</v>
      </c>
      <c r="D2496" s="4" t="s">
        <v>314</v>
      </c>
      <c r="E2496" s="4" t="s">
        <v>254</v>
      </c>
      <c r="F2496" t="s">
        <v>233</v>
      </c>
      <c r="G2496" t="s">
        <v>219</v>
      </c>
      <c r="H2496">
        <f>VLOOKUP(C2496,'TB Apr 24'!$B$13:$AR$103,43,0)</f>
        <v>1219422.3148638785</v>
      </c>
    </row>
    <row r="2497" spans="1:8" x14ac:dyDescent="0.35">
      <c r="A2497" s="77">
        <v>45383</v>
      </c>
      <c r="B2497" s="3" t="s">
        <v>195</v>
      </c>
      <c r="C2497" s="4" t="s">
        <v>196</v>
      </c>
      <c r="D2497" s="4" t="s">
        <v>314</v>
      </c>
      <c r="E2497" s="4" t="s">
        <v>255</v>
      </c>
      <c r="F2497" t="s">
        <v>233</v>
      </c>
      <c r="G2497" t="s">
        <v>219</v>
      </c>
      <c r="H2497">
        <f>VLOOKUP(C2497,'TB Apr 24'!$B$13:$AR$103,43,0)</f>
        <v>0</v>
      </c>
    </row>
    <row r="2498" spans="1:8" x14ac:dyDescent="0.35">
      <c r="A2498" s="77">
        <v>45383</v>
      </c>
      <c r="B2498" s="3" t="s">
        <v>197</v>
      </c>
      <c r="C2498" s="4" t="s">
        <v>198</v>
      </c>
      <c r="D2498" s="4" t="s">
        <v>314</v>
      </c>
      <c r="E2498" s="4" t="s">
        <v>255</v>
      </c>
      <c r="F2498" t="s">
        <v>233</v>
      </c>
      <c r="G2498" t="s">
        <v>219</v>
      </c>
      <c r="H2498">
        <f>VLOOKUP(C2498,'TB Apr 24'!$B$13:$AR$103,43,0)</f>
        <v>0</v>
      </c>
    </row>
    <row r="2499" spans="1:8" x14ac:dyDescent="0.35">
      <c r="A2499" s="77">
        <v>45383</v>
      </c>
      <c r="B2499" s="3" t="s">
        <v>199</v>
      </c>
      <c r="C2499" s="4" t="s">
        <v>200</v>
      </c>
      <c r="D2499" s="4" t="s">
        <v>314</v>
      </c>
      <c r="E2499" s="4" t="s">
        <v>254</v>
      </c>
      <c r="F2499" t="s">
        <v>233</v>
      </c>
      <c r="G2499" t="s">
        <v>219</v>
      </c>
      <c r="H2499">
        <f>VLOOKUP(C2499,'TB Apr 24'!$B$13:$AR$103,43,0)</f>
        <v>0</v>
      </c>
    </row>
    <row r="2500" spans="1:8" x14ac:dyDescent="0.35">
      <c r="A2500" s="77">
        <v>45383</v>
      </c>
      <c r="B2500" s="3" t="s">
        <v>201</v>
      </c>
      <c r="C2500" s="4" t="s">
        <v>202</v>
      </c>
      <c r="D2500" s="4" t="s">
        <v>314</v>
      </c>
      <c r="E2500" s="4" t="s">
        <v>254</v>
      </c>
      <c r="F2500" t="s">
        <v>233</v>
      </c>
      <c r="G2500" t="s">
        <v>219</v>
      </c>
      <c r="H2500">
        <f>VLOOKUP(C2500,'TB Apr 24'!$B$13:$AR$103,43,0)</f>
        <v>0</v>
      </c>
    </row>
    <row r="2501" spans="1:8" x14ac:dyDescent="0.35">
      <c r="A2501" s="77">
        <v>45383</v>
      </c>
      <c r="B2501" s="3" t="s">
        <v>203</v>
      </c>
      <c r="C2501" s="4" t="s">
        <v>204</v>
      </c>
      <c r="D2501" s="4" t="s">
        <v>314</v>
      </c>
      <c r="E2501" s="4" t="s">
        <v>256</v>
      </c>
      <c r="F2501" t="s">
        <v>233</v>
      </c>
      <c r="G2501" t="s">
        <v>219</v>
      </c>
      <c r="H2501">
        <f>VLOOKUP(C2501,'TB Apr 24'!$B$13:$AR$103,43,0)</f>
        <v>103818.18999999948</v>
      </c>
    </row>
    <row r="2502" spans="1:8" x14ac:dyDescent="0.35">
      <c r="A2502" s="77">
        <v>45383</v>
      </c>
      <c r="B2502" s="3" t="s">
        <v>205</v>
      </c>
      <c r="C2502" s="6" t="s">
        <v>206</v>
      </c>
      <c r="D2502" s="4" t="s">
        <v>314</v>
      </c>
      <c r="E2502" s="6" t="s">
        <v>322</v>
      </c>
      <c r="F2502" s="79" t="s">
        <v>233</v>
      </c>
      <c r="G2502" s="79" t="s">
        <v>219</v>
      </c>
      <c r="H2502" s="79">
        <f>VLOOKUP(C2502,'TB Apr 24'!$B$13:$AR$103,43,0)</f>
        <v>0</v>
      </c>
    </row>
    <row r="2503" spans="1:8" x14ac:dyDescent="0.35">
      <c r="A2503" s="77">
        <v>45383</v>
      </c>
      <c r="B2503" s="3" t="s">
        <v>57</v>
      </c>
      <c r="C2503" s="4" t="s">
        <v>58</v>
      </c>
      <c r="D2503" s="4" t="s">
        <v>314</v>
      </c>
      <c r="E2503" s="4" t="s">
        <v>253</v>
      </c>
      <c r="F2503" t="s">
        <v>318</v>
      </c>
      <c r="G2503" t="s">
        <v>216</v>
      </c>
      <c r="H2503">
        <f>VLOOKUP(C2503,'TB Apr 24'!$B$13:$AS$103,44,0)</f>
        <v>0</v>
      </c>
    </row>
    <row r="2504" spans="1:8" x14ac:dyDescent="0.35">
      <c r="A2504" s="77">
        <v>45383</v>
      </c>
      <c r="B2504" s="3" t="s">
        <v>307</v>
      </c>
      <c r="C2504" s="4" t="s">
        <v>308</v>
      </c>
      <c r="D2504" s="4" t="s">
        <v>314</v>
      </c>
      <c r="E2504" s="4" t="s">
        <v>253</v>
      </c>
      <c r="F2504" t="s">
        <v>318</v>
      </c>
      <c r="G2504" t="s">
        <v>216</v>
      </c>
      <c r="H2504">
        <f>VLOOKUP(C2504,'TB Apr 24'!$B$13:$AS$103,44,0)</f>
        <v>0</v>
      </c>
    </row>
    <row r="2505" spans="1:8" x14ac:dyDescent="0.35">
      <c r="A2505" s="77">
        <v>45383</v>
      </c>
      <c r="B2505" s="3" t="s">
        <v>59</v>
      </c>
      <c r="C2505" s="4" t="s">
        <v>60</v>
      </c>
      <c r="D2505" s="4" t="s">
        <v>314</v>
      </c>
      <c r="E2505" s="4" t="s">
        <v>253</v>
      </c>
      <c r="F2505" t="s">
        <v>318</v>
      </c>
      <c r="G2505" t="s">
        <v>216</v>
      </c>
      <c r="H2505">
        <f>VLOOKUP(C2505,'TB Apr 24'!$B$13:$AS$103,44,0)</f>
        <v>-41.22</v>
      </c>
    </row>
    <row r="2506" spans="1:8" x14ac:dyDescent="0.35">
      <c r="A2506" s="77">
        <v>45383</v>
      </c>
      <c r="B2506" s="3" t="s">
        <v>61</v>
      </c>
      <c r="C2506" s="4" t="s">
        <v>62</v>
      </c>
      <c r="D2506" s="4" t="s">
        <v>314</v>
      </c>
      <c r="E2506" s="4" t="s">
        <v>66</v>
      </c>
      <c r="F2506" t="s">
        <v>318</v>
      </c>
      <c r="G2506" t="s">
        <v>216</v>
      </c>
      <c r="H2506">
        <f>VLOOKUP(C2506,'TB Apr 24'!$B$13:$AS$103,44,0)</f>
        <v>-49154.38</v>
      </c>
    </row>
    <row r="2507" spans="1:8" x14ac:dyDescent="0.35">
      <c r="A2507" s="77">
        <v>45383</v>
      </c>
      <c r="B2507" s="3" t="s">
        <v>63</v>
      </c>
      <c r="C2507" s="4" t="s">
        <v>64</v>
      </c>
      <c r="D2507" s="4" t="s">
        <v>314</v>
      </c>
      <c r="E2507" s="4" t="s">
        <v>252</v>
      </c>
      <c r="F2507" t="s">
        <v>318</v>
      </c>
      <c r="G2507" t="s">
        <v>216</v>
      </c>
      <c r="H2507">
        <f>VLOOKUP(C2507,'TB Apr 24'!$B$13:$AS$103,44,0)</f>
        <v>0</v>
      </c>
    </row>
    <row r="2508" spans="1:8" x14ac:dyDescent="0.35">
      <c r="A2508" s="77">
        <v>45383</v>
      </c>
      <c r="B2508" s="3" t="s">
        <v>65</v>
      </c>
      <c r="C2508" s="4" t="s">
        <v>66</v>
      </c>
      <c r="D2508" s="4" t="s">
        <v>314</v>
      </c>
      <c r="E2508" s="4" t="s">
        <v>66</v>
      </c>
      <c r="F2508" t="s">
        <v>318</v>
      </c>
      <c r="G2508" t="s">
        <v>216</v>
      </c>
      <c r="H2508">
        <f>VLOOKUP(C2508,'TB Apr 24'!$B$13:$AS$103,44,0)</f>
        <v>-1285933.1000000001</v>
      </c>
    </row>
    <row r="2509" spans="1:8" x14ac:dyDescent="0.35">
      <c r="A2509" s="77">
        <v>45383</v>
      </c>
      <c r="B2509" s="3" t="s">
        <v>67</v>
      </c>
      <c r="C2509" s="4" t="s">
        <v>68</v>
      </c>
      <c r="D2509" s="4" t="s">
        <v>314</v>
      </c>
      <c r="E2509" s="4" t="s">
        <v>252</v>
      </c>
      <c r="F2509" t="s">
        <v>318</v>
      </c>
      <c r="G2509" t="s">
        <v>216</v>
      </c>
      <c r="H2509">
        <f>VLOOKUP(C2509,'TB Apr 24'!$B$13:$AS$103,44,0)</f>
        <v>-242009.09</v>
      </c>
    </row>
    <row r="2510" spans="1:8" x14ac:dyDescent="0.35">
      <c r="A2510" s="77">
        <v>45383</v>
      </c>
      <c r="B2510" s="3" t="s">
        <v>69</v>
      </c>
      <c r="C2510" s="4" t="s">
        <v>70</v>
      </c>
      <c r="D2510" s="4" t="s">
        <v>314</v>
      </c>
      <c r="E2510" s="4" t="s">
        <v>70</v>
      </c>
      <c r="F2510" t="s">
        <v>318</v>
      </c>
      <c r="G2510" t="s">
        <v>216</v>
      </c>
      <c r="H2510">
        <f>VLOOKUP(C2510,'TB Apr 24'!$B$13:$AS$103,44,0)</f>
        <v>-411124.06</v>
      </c>
    </row>
    <row r="2511" spans="1:8" x14ac:dyDescent="0.35">
      <c r="A2511" s="77">
        <v>45383</v>
      </c>
      <c r="B2511" s="3" t="s">
        <v>71</v>
      </c>
      <c r="C2511" s="4" t="s">
        <v>72</v>
      </c>
      <c r="D2511" s="4" t="s">
        <v>314</v>
      </c>
      <c r="E2511" s="4" t="s">
        <v>253</v>
      </c>
      <c r="F2511" t="s">
        <v>318</v>
      </c>
      <c r="G2511" t="s">
        <v>216</v>
      </c>
      <c r="H2511">
        <f>VLOOKUP(C2511,'TB Apr 24'!$B$13:$AS$103,44,0)</f>
        <v>0</v>
      </c>
    </row>
    <row r="2512" spans="1:8" x14ac:dyDescent="0.35">
      <c r="A2512" s="77">
        <v>45383</v>
      </c>
      <c r="B2512" s="3" t="s">
        <v>73</v>
      </c>
      <c r="C2512" s="4" t="s">
        <v>74</v>
      </c>
      <c r="D2512" s="4" t="s">
        <v>314</v>
      </c>
      <c r="E2512" s="4" t="s">
        <v>253</v>
      </c>
      <c r="F2512" t="s">
        <v>318</v>
      </c>
      <c r="G2512" t="s">
        <v>216</v>
      </c>
      <c r="H2512">
        <f>VLOOKUP(C2512,'TB Apr 24'!$B$13:$AS$103,44,0)</f>
        <v>-2771.24</v>
      </c>
    </row>
    <row r="2513" spans="1:8" x14ac:dyDescent="0.35">
      <c r="A2513" s="77">
        <v>45383</v>
      </c>
      <c r="B2513" s="3" t="s">
        <v>75</v>
      </c>
      <c r="C2513" s="4" t="s">
        <v>76</v>
      </c>
      <c r="D2513" s="4" t="s">
        <v>314</v>
      </c>
      <c r="E2513" s="4" t="s">
        <v>253</v>
      </c>
      <c r="F2513" t="s">
        <v>318</v>
      </c>
      <c r="G2513" t="s">
        <v>216</v>
      </c>
      <c r="H2513">
        <f>VLOOKUP(C2513,'TB Apr 24'!$B$13:$AS$103,44,0)</f>
        <v>0</v>
      </c>
    </row>
    <row r="2514" spans="1:8" x14ac:dyDescent="0.35">
      <c r="A2514" s="77">
        <v>45383</v>
      </c>
      <c r="B2514" s="3" t="s">
        <v>77</v>
      </c>
      <c r="C2514" s="4" t="s">
        <v>78</v>
      </c>
      <c r="D2514" s="4" t="s">
        <v>314</v>
      </c>
      <c r="E2514" s="4" t="s">
        <v>253</v>
      </c>
      <c r="F2514" t="s">
        <v>318</v>
      </c>
      <c r="G2514" t="s">
        <v>216</v>
      </c>
      <c r="H2514">
        <f>VLOOKUP(C2514,'TB Apr 24'!$B$13:$AS$103,44,0)</f>
        <v>-16849.12</v>
      </c>
    </row>
    <row r="2515" spans="1:8" x14ac:dyDescent="0.35">
      <c r="A2515" s="77">
        <v>45383</v>
      </c>
      <c r="B2515" s="3" t="s">
        <v>79</v>
      </c>
      <c r="C2515" s="4" t="s">
        <v>80</v>
      </c>
      <c r="D2515" s="4" t="s">
        <v>314</v>
      </c>
      <c r="E2515" s="4" t="s">
        <v>253</v>
      </c>
      <c r="F2515" t="s">
        <v>318</v>
      </c>
      <c r="G2515" t="s">
        <v>216</v>
      </c>
      <c r="H2515">
        <f>VLOOKUP(C2515,'TB Apr 24'!$B$13:$AS$103,44,0)</f>
        <v>-32686.080000000002</v>
      </c>
    </row>
    <row r="2516" spans="1:8" x14ac:dyDescent="0.35">
      <c r="A2516" s="77">
        <v>45383</v>
      </c>
      <c r="B2516" s="3" t="s">
        <v>81</v>
      </c>
      <c r="C2516" s="4" t="s">
        <v>82</v>
      </c>
      <c r="D2516" s="4" t="s">
        <v>314</v>
      </c>
      <c r="E2516" s="4" t="s">
        <v>319</v>
      </c>
      <c r="F2516" t="s">
        <v>318</v>
      </c>
      <c r="G2516" t="s">
        <v>216</v>
      </c>
      <c r="H2516">
        <f>VLOOKUP(C2516,'TB Apr 24'!$B$13:$AS$103,44,0)</f>
        <v>0</v>
      </c>
    </row>
    <row r="2517" spans="1:8" x14ac:dyDescent="0.35">
      <c r="A2517" s="77">
        <v>45383</v>
      </c>
      <c r="B2517" s="3" t="s">
        <v>83</v>
      </c>
      <c r="C2517" s="4" t="s">
        <v>84</v>
      </c>
      <c r="D2517" s="4" t="s">
        <v>314</v>
      </c>
      <c r="E2517" s="4" t="s">
        <v>319</v>
      </c>
      <c r="F2517" t="s">
        <v>318</v>
      </c>
      <c r="G2517" t="s">
        <v>216</v>
      </c>
      <c r="H2517">
        <f>VLOOKUP(C2517,'TB Apr 24'!$B$13:$AS$103,44,0)</f>
        <v>0</v>
      </c>
    </row>
    <row r="2518" spans="1:8" x14ac:dyDescent="0.35">
      <c r="A2518" s="77">
        <v>45383</v>
      </c>
      <c r="B2518" s="3" t="s">
        <v>85</v>
      </c>
      <c r="C2518" s="4" t="s">
        <v>86</v>
      </c>
      <c r="D2518" s="4" t="s">
        <v>314</v>
      </c>
      <c r="E2518" s="4" t="s">
        <v>291</v>
      </c>
      <c r="F2518" t="s">
        <v>318</v>
      </c>
      <c r="G2518" t="s">
        <v>216</v>
      </c>
      <c r="H2518">
        <f>VLOOKUP(C2518,'TB Apr 24'!$B$13:$AS$103,44,0)</f>
        <v>0</v>
      </c>
    </row>
    <row r="2519" spans="1:8" x14ac:dyDescent="0.35">
      <c r="A2519" s="77">
        <v>45383</v>
      </c>
      <c r="B2519" s="3" t="s">
        <v>88</v>
      </c>
      <c r="C2519" s="4" t="s">
        <v>89</v>
      </c>
      <c r="D2519" s="4" t="s">
        <v>314</v>
      </c>
      <c r="E2519" s="4" t="s">
        <v>300</v>
      </c>
      <c r="F2519" t="s">
        <v>318</v>
      </c>
      <c r="G2519" t="s">
        <v>216</v>
      </c>
      <c r="H2519">
        <f>VLOOKUP(C2519,'TB Apr 24'!$B$13:$AS$103,44,0)</f>
        <v>0</v>
      </c>
    </row>
    <row r="2520" spans="1:8" x14ac:dyDescent="0.35">
      <c r="A2520" s="77">
        <v>45383</v>
      </c>
      <c r="B2520" s="3" t="s">
        <v>90</v>
      </c>
      <c r="C2520" s="4" t="s">
        <v>91</v>
      </c>
      <c r="D2520" s="4" t="s">
        <v>314</v>
      </c>
      <c r="E2520" s="4" t="s">
        <v>300</v>
      </c>
      <c r="F2520" t="s">
        <v>318</v>
      </c>
      <c r="G2520" t="s">
        <v>216</v>
      </c>
      <c r="H2520">
        <f>VLOOKUP(C2520,'TB Apr 24'!$B$13:$AS$103,44,0)</f>
        <v>13793</v>
      </c>
    </row>
    <row r="2521" spans="1:8" x14ac:dyDescent="0.35">
      <c r="A2521" s="77">
        <v>45383</v>
      </c>
      <c r="B2521" s="3" t="s">
        <v>92</v>
      </c>
      <c r="C2521" s="4" t="s">
        <v>93</v>
      </c>
      <c r="D2521" s="4" t="s">
        <v>314</v>
      </c>
      <c r="E2521" s="4" t="s">
        <v>300</v>
      </c>
      <c r="F2521" t="s">
        <v>318</v>
      </c>
      <c r="G2521" t="s">
        <v>216</v>
      </c>
      <c r="H2521">
        <f>VLOOKUP(C2521,'TB Apr 24'!$B$13:$AS$103,44,0)</f>
        <v>9000</v>
      </c>
    </row>
    <row r="2522" spans="1:8" x14ac:dyDescent="0.35">
      <c r="A2522" s="77">
        <v>45383</v>
      </c>
      <c r="B2522" s="3" t="s">
        <v>94</v>
      </c>
      <c r="C2522" s="4" t="s">
        <v>95</v>
      </c>
      <c r="D2522" s="4" t="s">
        <v>314</v>
      </c>
      <c r="E2522" s="4" t="s">
        <v>289</v>
      </c>
      <c r="F2522" t="s">
        <v>318</v>
      </c>
      <c r="G2522" t="s">
        <v>216</v>
      </c>
      <c r="H2522">
        <f>VLOOKUP(C2522,'TB Apr 24'!$B$13:$AS$103,44,0)</f>
        <v>508675.25</v>
      </c>
    </row>
    <row r="2523" spans="1:8" x14ac:dyDescent="0.35">
      <c r="A2523" s="77">
        <v>45383</v>
      </c>
      <c r="B2523" s="3" t="s">
        <v>96</v>
      </c>
      <c r="C2523" s="4" t="s">
        <v>97</v>
      </c>
      <c r="D2523" s="4" t="s">
        <v>314</v>
      </c>
      <c r="E2523" s="4" t="s">
        <v>289</v>
      </c>
      <c r="F2523" t="s">
        <v>318</v>
      </c>
      <c r="G2523" t="s">
        <v>216</v>
      </c>
      <c r="H2523">
        <f>VLOOKUP(C2523,'TB Apr 24'!$B$13:$AS$103,44,0)</f>
        <v>0</v>
      </c>
    </row>
    <row r="2524" spans="1:8" x14ac:dyDescent="0.35">
      <c r="A2524" s="77">
        <v>45383</v>
      </c>
      <c r="B2524" s="3" t="s">
        <v>309</v>
      </c>
      <c r="C2524" s="4" t="s">
        <v>310</v>
      </c>
      <c r="D2524" s="4" t="s">
        <v>314</v>
      </c>
      <c r="E2524" s="4" t="s">
        <v>289</v>
      </c>
      <c r="F2524" t="s">
        <v>318</v>
      </c>
      <c r="G2524" t="s">
        <v>216</v>
      </c>
      <c r="H2524">
        <f>VLOOKUP(C2524,'TB Apr 24'!$B$13:$AS$103,44,0)</f>
        <v>0</v>
      </c>
    </row>
    <row r="2525" spans="1:8" x14ac:dyDescent="0.35">
      <c r="A2525" s="77">
        <v>45383</v>
      </c>
      <c r="B2525" s="3" t="s">
        <v>98</v>
      </c>
      <c r="C2525" s="4" t="s">
        <v>99</v>
      </c>
      <c r="D2525" s="4" t="s">
        <v>314</v>
      </c>
      <c r="E2525" s="4" t="s">
        <v>289</v>
      </c>
      <c r="F2525" t="s">
        <v>318</v>
      </c>
      <c r="G2525" t="s">
        <v>216</v>
      </c>
      <c r="H2525">
        <f>VLOOKUP(C2525,'TB Apr 24'!$B$13:$AS$103,44,0)</f>
        <v>0</v>
      </c>
    </row>
    <row r="2526" spans="1:8" x14ac:dyDescent="0.35">
      <c r="A2526" s="77">
        <v>45383</v>
      </c>
      <c r="B2526" s="3" t="s">
        <v>100</v>
      </c>
      <c r="C2526" s="4" t="s">
        <v>101</v>
      </c>
      <c r="D2526" s="4" t="s">
        <v>314</v>
      </c>
      <c r="E2526" s="4" t="s">
        <v>291</v>
      </c>
      <c r="F2526" t="s">
        <v>318</v>
      </c>
      <c r="G2526" t="s">
        <v>216</v>
      </c>
      <c r="H2526">
        <f>VLOOKUP(C2526,'TB Apr 24'!$B$13:$AS$103,44,0)</f>
        <v>0</v>
      </c>
    </row>
    <row r="2527" spans="1:8" x14ac:dyDescent="0.35">
      <c r="A2527" s="77">
        <v>45383</v>
      </c>
      <c r="B2527" s="3" t="s">
        <v>102</v>
      </c>
      <c r="C2527" s="4" t="s">
        <v>103</v>
      </c>
      <c r="D2527" s="4" t="s">
        <v>314</v>
      </c>
      <c r="E2527" s="4" t="s">
        <v>291</v>
      </c>
      <c r="F2527" t="s">
        <v>318</v>
      </c>
      <c r="G2527" t="s">
        <v>216</v>
      </c>
      <c r="H2527">
        <f>VLOOKUP(C2527,'TB Apr 24'!$B$13:$AS$103,44,0)</f>
        <v>0</v>
      </c>
    </row>
    <row r="2528" spans="1:8" x14ac:dyDescent="0.35">
      <c r="A2528" s="77">
        <v>45383</v>
      </c>
      <c r="B2528" s="3" t="s">
        <v>104</v>
      </c>
      <c r="C2528" s="4" t="s">
        <v>105</v>
      </c>
      <c r="D2528" s="4" t="s">
        <v>314</v>
      </c>
      <c r="E2528" s="4" t="s">
        <v>291</v>
      </c>
      <c r="F2528" t="s">
        <v>318</v>
      </c>
      <c r="G2528" t="s">
        <v>216</v>
      </c>
      <c r="H2528">
        <f>VLOOKUP(C2528,'TB Apr 24'!$B$13:$AS$103,44,0)</f>
        <v>0</v>
      </c>
    </row>
    <row r="2529" spans="1:8" x14ac:dyDescent="0.35">
      <c r="A2529" s="77">
        <v>45383</v>
      </c>
      <c r="B2529" s="3" t="s">
        <v>106</v>
      </c>
      <c r="C2529" s="4" t="s">
        <v>107</v>
      </c>
      <c r="D2529" s="4" t="s">
        <v>314</v>
      </c>
      <c r="E2529" s="4" t="s">
        <v>321</v>
      </c>
      <c r="F2529" t="s">
        <v>318</v>
      </c>
      <c r="G2529" t="s">
        <v>216</v>
      </c>
      <c r="H2529">
        <f>VLOOKUP(C2529,'TB Apr 24'!$B$13:$AS$103,44,0)</f>
        <v>0</v>
      </c>
    </row>
    <row r="2530" spans="1:8" x14ac:dyDescent="0.35">
      <c r="A2530" s="77">
        <v>45383</v>
      </c>
      <c r="B2530" s="3" t="s">
        <v>108</v>
      </c>
      <c r="C2530" s="4" t="s">
        <v>109</v>
      </c>
      <c r="D2530" s="4" t="s">
        <v>314</v>
      </c>
      <c r="E2530" s="4" t="s">
        <v>321</v>
      </c>
      <c r="F2530" t="s">
        <v>318</v>
      </c>
      <c r="G2530" t="s">
        <v>216</v>
      </c>
      <c r="H2530">
        <f>VLOOKUP(C2530,'TB Apr 24'!$B$13:$AS$103,44,0)</f>
        <v>0</v>
      </c>
    </row>
    <row r="2531" spans="1:8" x14ac:dyDescent="0.35">
      <c r="A2531" s="77">
        <v>45383</v>
      </c>
      <c r="B2531" s="3" t="s">
        <v>110</v>
      </c>
      <c r="C2531" s="4" t="s">
        <v>111</v>
      </c>
      <c r="D2531" s="4" t="s">
        <v>314</v>
      </c>
      <c r="E2531" s="4" t="s">
        <v>320</v>
      </c>
      <c r="F2531" t="s">
        <v>318</v>
      </c>
      <c r="G2531" t="s">
        <v>216</v>
      </c>
      <c r="H2531">
        <f>VLOOKUP(C2531,'TB Apr 24'!$B$13:$AS$103,44,0)</f>
        <v>0</v>
      </c>
    </row>
    <row r="2532" spans="1:8" x14ac:dyDescent="0.35">
      <c r="A2532" s="77">
        <v>45383</v>
      </c>
      <c r="B2532" s="3" t="s">
        <v>112</v>
      </c>
      <c r="C2532" s="4" t="s">
        <v>113</v>
      </c>
      <c r="D2532" s="4" t="s">
        <v>314</v>
      </c>
      <c r="E2532" s="4" t="s">
        <v>321</v>
      </c>
      <c r="F2532" t="s">
        <v>318</v>
      </c>
      <c r="G2532" t="s">
        <v>216</v>
      </c>
      <c r="H2532">
        <f>VLOOKUP(C2532,'TB Apr 24'!$B$13:$AS$103,44,0)</f>
        <v>707</v>
      </c>
    </row>
    <row r="2533" spans="1:8" x14ac:dyDescent="0.35">
      <c r="A2533" s="77">
        <v>45383</v>
      </c>
      <c r="B2533" s="3" t="s">
        <v>311</v>
      </c>
      <c r="C2533" s="4" t="s">
        <v>312</v>
      </c>
      <c r="D2533" s="4" t="s">
        <v>314</v>
      </c>
      <c r="E2533" s="4" t="s">
        <v>288</v>
      </c>
      <c r="F2533" t="s">
        <v>318</v>
      </c>
      <c r="G2533" t="s">
        <v>216</v>
      </c>
      <c r="H2533">
        <f>VLOOKUP(C2533,'TB Apr 24'!$B$13:$AS$103,44,0)</f>
        <v>0</v>
      </c>
    </row>
    <row r="2534" spans="1:8" x14ac:dyDescent="0.35">
      <c r="A2534" s="77">
        <v>45383</v>
      </c>
      <c r="B2534" s="3" t="s">
        <v>114</v>
      </c>
      <c r="C2534" s="4" t="s">
        <v>115</v>
      </c>
      <c r="D2534" s="4" t="s">
        <v>314</v>
      </c>
      <c r="E2534" s="4" t="s">
        <v>294</v>
      </c>
      <c r="F2534" t="s">
        <v>318</v>
      </c>
      <c r="G2534" t="s">
        <v>216</v>
      </c>
      <c r="H2534">
        <f>VLOOKUP(C2534,'TB Apr 24'!$B$13:$AS$103,44,0)</f>
        <v>0</v>
      </c>
    </row>
    <row r="2535" spans="1:8" x14ac:dyDescent="0.35">
      <c r="A2535" s="77">
        <v>45383</v>
      </c>
      <c r="B2535" s="3" t="s">
        <v>116</v>
      </c>
      <c r="C2535" s="4" t="s">
        <v>117</v>
      </c>
      <c r="D2535" s="4" t="s">
        <v>314</v>
      </c>
      <c r="E2535" s="4" t="s">
        <v>296</v>
      </c>
      <c r="F2535" t="s">
        <v>318</v>
      </c>
      <c r="G2535" t="s">
        <v>216</v>
      </c>
      <c r="H2535">
        <f>VLOOKUP(C2535,'TB Apr 24'!$B$13:$AS$103,44,0)</f>
        <v>0</v>
      </c>
    </row>
    <row r="2536" spans="1:8" x14ac:dyDescent="0.35">
      <c r="A2536" s="77">
        <v>45383</v>
      </c>
      <c r="B2536" s="3" t="s">
        <v>118</v>
      </c>
      <c r="C2536" s="4" t="s">
        <v>119</v>
      </c>
      <c r="D2536" s="4" t="s">
        <v>314</v>
      </c>
      <c r="E2536" s="4" t="s">
        <v>296</v>
      </c>
      <c r="F2536" t="s">
        <v>318</v>
      </c>
      <c r="G2536" t="s">
        <v>216</v>
      </c>
      <c r="H2536">
        <f>VLOOKUP(C2536,'TB Apr 24'!$B$13:$AS$103,44,0)</f>
        <v>30500</v>
      </c>
    </row>
    <row r="2537" spans="1:8" x14ac:dyDescent="0.35">
      <c r="A2537" s="77">
        <v>45383</v>
      </c>
      <c r="B2537" s="3" t="s">
        <v>120</v>
      </c>
      <c r="C2537" s="4" t="s">
        <v>121</v>
      </c>
      <c r="D2537" s="4" t="s">
        <v>314</v>
      </c>
      <c r="E2537" s="4" t="s">
        <v>322</v>
      </c>
      <c r="F2537" t="s">
        <v>318</v>
      </c>
      <c r="G2537" t="s">
        <v>216</v>
      </c>
      <c r="H2537">
        <f>VLOOKUP(C2537,'TB Apr 24'!$B$13:$AS$103,44,0)</f>
        <v>0</v>
      </c>
    </row>
    <row r="2538" spans="1:8" x14ac:dyDescent="0.35">
      <c r="A2538" s="77">
        <v>45383</v>
      </c>
      <c r="B2538" s="3" t="s">
        <v>122</v>
      </c>
      <c r="C2538" s="4" t="s">
        <v>123</v>
      </c>
      <c r="D2538" s="4" t="s">
        <v>314</v>
      </c>
      <c r="E2538" s="4" t="s">
        <v>322</v>
      </c>
      <c r="F2538" t="s">
        <v>318</v>
      </c>
      <c r="G2538" t="s">
        <v>216</v>
      </c>
      <c r="H2538">
        <f>VLOOKUP(C2538,'TB Apr 24'!$B$13:$AS$103,44,0)</f>
        <v>0</v>
      </c>
    </row>
    <row r="2539" spans="1:8" x14ac:dyDescent="0.35">
      <c r="A2539" s="77">
        <v>45383</v>
      </c>
      <c r="B2539" s="3" t="s">
        <v>124</v>
      </c>
      <c r="C2539" s="4" t="s">
        <v>125</v>
      </c>
      <c r="D2539" s="4" t="s">
        <v>314</v>
      </c>
      <c r="E2539" s="4" t="s">
        <v>322</v>
      </c>
      <c r="F2539" t="s">
        <v>318</v>
      </c>
      <c r="G2539" t="s">
        <v>216</v>
      </c>
      <c r="H2539">
        <f>VLOOKUP(C2539,'TB Apr 24'!$B$13:$AS$103,44,0)</f>
        <v>0</v>
      </c>
    </row>
    <row r="2540" spans="1:8" x14ac:dyDescent="0.35">
      <c r="A2540" s="77">
        <v>45383</v>
      </c>
      <c r="B2540" s="3" t="s">
        <v>126</v>
      </c>
      <c r="C2540" s="4" t="s">
        <v>127</v>
      </c>
      <c r="D2540" s="4" t="s">
        <v>314</v>
      </c>
      <c r="E2540" s="4" t="s">
        <v>291</v>
      </c>
      <c r="F2540" t="s">
        <v>318</v>
      </c>
      <c r="G2540" t="s">
        <v>216</v>
      </c>
      <c r="H2540">
        <f>VLOOKUP(C2540,'TB Apr 24'!$B$13:$AS$103,44,0)</f>
        <v>0</v>
      </c>
    </row>
    <row r="2541" spans="1:8" x14ac:dyDescent="0.35">
      <c r="A2541" s="77">
        <v>45383</v>
      </c>
      <c r="B2541" s="3" t="s">
        <v>128</v>
      </c>
      <c r="C2541" s="4" t="s">
        <v>129</v>
      </c>
      <c r="D2541" s="4" t="s">
        <v>314</v>
      </c>
      <c r="E2541" s="4" t="s">
        <v>322</v>
      </c>
      <c r="F2541" t="s">
        <v>318</v>
      </c>
      <c r="G2541" t="s">
        <v>216</v>
      </c>
      <c r="H2541">
        <f>VLOOKUP(C2541,'TB Apr 24'!$B$13:$AS$103,44,0)</f>
        <v>14907</v>
      </c>
    </row>
    <row r="2542" spans="1:8" x14ac:dyDescent="0.35">
      <c r="A2542" s="77">
        <v>45383</v>
      </c>
      <c r="B2542" s="3" t="s">
        <v>130</v>
      </c>
      <c r="C2542" s="4" t="s">
        <v>131</v>
      </c>
      <c r="D2542" s="4" t="s">
        <v>314</v>
      </c>
      <c r="E2542" s="4" t="s">
        <v>322</v>
      </c>
      <c r="F2542" t="s">
        <v>318</v>
      </c>
      <c r="G2542" t="s">
        <v>216</v>
      </c>
      <c r="H2542">
        <f>VLOOKUP(C2542,'TB Apr 24'!$B$13:$AS$103,44,0)</f>
        <v>70</v>
      </c>
    </row>
    <row r="2543" spans="1:8" x14ac:dyDescent="0.35">
      <c r="A2543" s="77">
        <v>45383</v>
      </c>
      <c r="B2543" s="3" t="s">
        <v>132</v>
      </c>
      <c r="C2543" s="4" t="s">
        <v>133</v>
      </c>
      <c r="D2543" s="4" t="s">
        <v>314</v>
      </c>
      <c r="E2543" s="4" t="s">
        <v>320</v>
      </c>
      <c r="F2543" t="s">
        <v>318</v>
      </c>
      <c r="G2543" t="s">
        <v>216</v>
      </c>
      <c r="H2543">
        <f>VLOOKUP(C2543,'TB Apr 24'!$B$13:$AS$103,44,0)</f>
        <v>12410</v>
      </c>
    </row>
    <row r="2544" spans="1:8" x14ac:dyDescent="0.35">
      <c r="A2544" s="77">
        <v>45383</v>
      </c>
      <c r="B2544" s="3" t="s">
        <v>134</v>
      </c>
      <c r="C2544" s="4" t="s">
        <v>135</v>
      </c>
      <c r="D2544" s="4" t="s">
        <v>314</v>
      </c>
      <c r="E2544" s="4" t="s">
        <v>299</v>
      </c>
      <c r="F2544" t="s">
        <v>318</v>
      </c>
      <c r="G2544" t="s">
        <v>216</v>
      </c>
      <c r="H2544">
        <f>VLOOKUP(C2544,'TB Apr 24'!$B$13:$AS$103,44,0)</f>
        <v>0</v>
      </c>
    </row>
    <row r="2545" spans="1:8" x14ac:dyDescent="0.35">
      <c r="A2545" s="77">
        <v>45383</v>
      </c>
      <c r="B2545" s="3" t="s">
        <v>136</v>
      </c>
      <c r="C2545" s="4" t="s">
        <v>137</v>
      </c>
      <c r="D2545" s="4" t="s">
        <v>314</v>
      </c>
      <c r="E2545" s="4" t="s">
        <v>322</v>
      </c>
      <c r="F2545" t="s">
        <v>318</v>
      </c>
      <c r="G2545" t="s">
        <v>216</v>
      </c>
      <c r="H2545">
        <f>VLOOKUP(C2545,'TB Apr 24'!$B$13:$AS$103,44,0)</f>
        <v>350</v>
      </c>
    </row>
    <row r="2546" spans="1:8" x14ac:dyDescent="0.35">
      <c r="A2546" s="77">
        <v>45383</v>
      </c>
      <c r="B2546" s="3" t="s">
        <v>138</v>
      </c>
      <c r="C2546" s="4" t="s">
        <v>139</v>
      </c>
      <c r="D2546" s="4" t="s">
        <v>314</v>
      </c>
      <c r="E2546" s="4" t="s">
        <v>294</v>
      </c>
      <c r="F2546" t="s">
        <v>318</v>
      </c>
      <c r="G2546" t="s">
        <v>216</v>
      </c>
      <c r="H2546">
        <f>VLOOKUP(C2546,'TB Apr 24'!$B$13:$AS$103,44,0)</f>
        <v>193750.2</v>
      </c>
    </row>
    <row r="2547" spans="1:8" x14ac:dyDescent="0.35">
      <c r="A2547" s="77">
        <v>45383</v>
      </c>
      <c r="B2547" s="3" t="s">
        <v>140</v>
      </c>
      <c r="C2547" s="4" t="s">
        <v>141</v>
      </c>
      <c r="D2547" s="4" t="s">
        <v>314</v>
      </c>
      <c r="E2547" s="4" t="s">
        <v>268</v>
      </c>
      <c r="F2547" t="s">
        <v>318</v>
      </c>
      <c r="G2547" t="s">
        <v>216</v>
      </c>
      <c r="H2547">
        <f>VLOOKUP(C2547,'TB Apr 24'!$B$13:$AS$103,44,0)</f>
        <v>224462.51190000001</v>
      </c>
    </row>
    <row r="2548" spans="1:8" x14ac:dyDescent="0.35">
      <c r="A2548" s="77">
        <v>45383</v>
      </c>
      <c r="B2548" s="3" t="s">
        <v>142</v>
      </c>
      <c r="C2548" s="4" t="s">
        <v>143</v>
      </c>
      <c r="D2548" s="4" t="s">
        <v>314</v>
      </c>
      <c r="E2548" s="4" t="s">
        <v>269</v>
      </c>
      <c r="F2548" t="s">
        <v>318</v>
      </c>
      <c r="G2548" t="s">
        <v>216</v>
      </c>
      <c r="H2548">
        <f>VLOOKUP(C2548,'TB Apr 24'!$B$13:$AS$103,44,0)</f>
        <v>159265</v>
      </c>
    </row>
    <row r="2549" spans="1:8" x14ac:dyDescent="0.35">
      <c r="A2549" s="77">
        <v>45383</v>
      </c>
      <c r="B2549" s="3" t="s">
        <v>144</v>
      </c>
      <c r="C2549" s="4" t="s">
        <v>145</v>
      </c>
      <c r="D2549" s="4" t="s">
        <v>314</v>
      </c>
      <c r="E2549" s="4" t="s">
        <v>288</v>
      </c>
      <c r="F2549" t="s">
        <v>318</v>
      </c>
      <c r="G2549" t="s">
        <v>216</v>
      </c>
      <c r="H2549">
        <f>VLOOKUP(C2549,'TB Apr 24'!$B$13:$AS$103,44,0)</f>
        <v>117301</v>
      </c>
    </row>
    <row r="2550" spans="1:8" x14ac:dyDescent="0.35">
      <c r="A2550" s="77">
        <v>45383</v>
      </c>
      <c r="B2550" s="3" t="s">
        <v>146</v>
      </c>
      <c r="C2550" s="4" t="s">
        <v>147</v>
      </c>
      <c r="D2550" s="4" t="s">
        <v>314</v>
      </c>
      <c r="E2550" s="4" t="s">
        <v>288</v>
      </c>
      <c r="F2550" t="s">
        <v>318</v>
      </c>
      <c r="G2550" t="s">
        <v>216</v>
      </c>
      <c r="H2550">
        <f>VLOOKUP(C2550,'TB Apr 24'!$B$13:$AS$103,44,0)</f>
        <v>23099.75</v>
      </c>
    </row>
    <row r="2551" spans="1:8" x14ac:dyDescent="0.35">
      <c r="A2551" s="77">
        <v>45383</v>
      </c>
      <c r="B2551" s="3" t="s">
        <v>148</v>
      </c>
      <c r="C2551" s="4" t="s">
        <v>149</v>
      </c>
      <c r="D2551" s="4" t="s">
        <v>314</v>
      </c>
      <c r="E2551" s="4" t="s">
        <v>287</v>
      </c>
      <c r="F2551" t="s">
        <v>318</v>
      </c>
      <c r="G2551" t="s">
        <v>216</v>
      </c>
      <c r="H2551">
        <f>VLOOKUP(C2551,'TB Apr 24'!$B$13:$AS$103,44,0)</f>
        <v>0</v>
      </c>
    </row>
    <row r="2552" spans="1:8" x14ac:dyDescent="0.35">
      <c r="A2552" s="77">
        <v>45383</v>
      </c>
      <c r="B2552" s="3" t="s">
        <v>150</v>
      </c>
      <c r="C2552" s="4" t="s">
        <v>87</v>
      </c>
      <c r="D2552" s="4" t="s">
        <v>314</v>
      </c>
      <c r="E2552" s="4" t="s">
        <v>288</v>
      </c>
      <c r="F2552" t="s">
        <v>318</v>
      </c>
      <c r="G2552" t="s">
        <v>216</v>
      </c>
      <c r="H2552">
        <f>VLOOKUP(C2552,'TB Apr 24'!$B$13:$AS$103,44,0)</f>
        <v>24509</v>
      </c>
    </row>
    <row r="2553" spans="1:8" x14ac:dyDescent="0.35">
      <c r="A2553" s="77">
        <v>45383</v>
      </c>
      <c r="B2553" s="3" t="s">
        <v>151</v>
      </c>
      <c r="C2553" s="4" t="s">
        <v>152</v>
      </c>
      <c r="D2553" s="4" t="s">
        <v>314</v>
      </c>
      <c r="E2553" s="4" t="s">
        <v>288</v>
      </c>
      <c r="F2553" t="s">
        <v>318</v>
      </c>
      <c r="G2553" t="s">
        <v>216</v>
      </c>
      <c r="H2553">
        <f>VLOOKUP(C2553,'TB Apr 24'!$B$13:$AS$103,44,0)</f>
        <v>2849</v>
      </c>
    </row>
    <row r="2554" spans="1:8" x14ac:dyDescent="0.35">
      <c r="A2554" s="77">
        <v>45383</v>
      </c>
      <c r="B2554" s="3" t="s">
        <v>153</v>
      </c>
      <c r="C2554" s="4" t="s">
        <v>154</v>
      </c>
      <c r="D2554" s="4" t="s">
        <v>314</v>
      </c>
      <c r="E2554" s="4" t="s">
        <v>288</v>
      </c>
      <c r="F2554" t="s">
        <v>318</v>
      </c>
      <c r="G2554" t="s">
        <v>216</v>
      </c>
      <c r="H2554">
        <f>VLOOKUP(C2554,'TB Apr 24'!$B$13:$AS$103,44,0)</f>
        <v>13062</v>
      </c>
    </row>
    <row r="2555" spans="1:8" x14ac:dyDescent="0.35">
      <c r="A2555" s="77">
        <v>45383</v>
      </c>
      <c r="B2555" s="3" t="s">
        <v>155</v>
      </c>
      <c r="C2555" s="4" t="s">
        <v>156</v>
      </c>
      <c r="D2555" s="4" t="s">
        <v>314</v>
      </c>
      <c r="E2555" s="4" t="s">
        <v>288</v>
      </c>
      <c r="F2555" t="s">
        <v>318</v>
      </c>
      <c r="G2555" t="s">
        <v>216</v>
      </c>
      <c r="H2555">
        <f>VLOOKUP(C2555,'TB Apr 24'!$B$13:$AS$103,44,0)</f>
        <v>2011</v>
      </c>
    </row>
    <row r="2556" spans="1:8" x14ac:dyDescent="0.35">
      <c r="A2556" s="77">
        <v>45383</v>
      </c>
      <c r="B2556" s="3" t="s">
        <v>157</v>
      </c>
      <c r="C2556" s="4" t="s">
        <v>158</v>
      </c>
      <c r="D2556" s="4" t="s">
        <v>314</v>
      </c>
      <c r="E2556" s="4" t="s">
        <v>292</v>
      </c>
      <c r="F2556" t="s">
        <v>318</v>
      </c>
      <c r="G2556" t="s">
        <v>216</v>
      </c>
      <c r="H2556">
        <f>VLOOKUP(C2556,'TB Apr 24'!$B$13:$AS$103,44,0)</f>
        <v>0</v>
      </c>
    </row>
    <row r="2557" spans="1:8" x14ac:dyDescent="0.35">
      <c r="A2557" s="77">
        <v>45383</v>
      </c>
      <c r="B2557" s="3" t="s">
        <v>159</v>
      </c>
      <c r="C2557" s="4" t="s">
        <v>160</v>
      </c>
      <c r="D2557" s="4" t="s">
        <v>314</v>
      </c>
      <c r="E2557" s="4" t="s">
        <v>323</v>
      </c>
      <c r="F2557" t="s">
        <v>318</v>
      </c>
      <c r="G2557" t="s">
        <v>216</v>
      </c>
      <c r="H2557">
        <f>VLOOKUP(C2557,'TB Apr 24'!$B$13:$AS$103,44,0)</f>
        <v>0</v>
      </c>
    </row>
    <row r="2558" spans="1:8" x14ac:dyDescent="0.35">
      <c r="A2558" s="77">
        <v>45383</v>
      </c>
      <c r="B2558" s="3" t="s">
        <v>161</v>
      </c>
      <c r="C2558" s="4" t="s">
        <v>162</v>
      </c>
      <c r="D2558" s="4" t="s">
        <v>314</v>
      </c>
      <c r="E2558" s="4" t="s">
        <v>323</v>
      </c>
      <c r="F2558" t="s">
        <v>318</v>
      </c>
      <c r="G2558" t="s">
        <v>216</v>
      </c>
      <c r="H2558">
        <f>VLOOKUP(C2558,'TB Apr 24'!$B$13:$AS$103,44,0)</f>
        <v>0</v>
      </c>
    </row>
    <row r="2559" spans="1:8" x14ac:dyDescent="0.35">
      <c r="A2559" s="77">
        <v>45383</v>
      </c>
      <c r="B2559" s="3" t="s">
        <v>163</v>
      </c>
      <c r="C2559" s="4" t="s">
        <v>164</v>
      </c>
      <c r="D2559" s="4" t="s">
        <v>314</v>
      </c>
      <c r="E2559" s="4" t="s">
        <v>319</v>
      </c>
      <c r="F2559" t="s">
        <v>318</v>
      </c>
      <c r="G2559" t="s">
        <v>216</v>
      </c>
      <c r="H2559">
        <f>VLOOKUP(C2559,'TB Apr 24'!$B$13:$AS$103,44,0)</f>
        <v>0</v>
      </c>
    </row>
    <row r="2560" spans="1:8" x14ac:dyDescent="0.35">
      <c r="A2560" s="77">
        <v>45383</v>
      </c>
      <c r="B2560" s="3" t="s">
        <v>165</v>
      </c>
      <c r="C2560" s="4" t="s">
        <v>166</v>
      </c>
      <c r="D2560" s="4" t="s">
        <v>314</v>
      </c>
      <c r="E2560" s="4" t="s">
        <v>304</v>
      </c>
      <c r="F2560" t="s">
        <v>318</v>
      </c>
      <c r="G2560" t="s">
        <v>216</v>
      </c>
      <c r="H2560">
        <f>VLOOKUP(C2560,'TB Apr 24'!$B$13:$AS$103,44,0)</f>
        <v>10393</v>
      </c>
    </row>
    <row r="2561" spans="1:8" x14ac:dyDescent="0.35">
      <c r="A2561" s="77">
        <v>45383</v>
      </c>
      <c r="B2561" s="3" t="s">
        <v>167</v>
      </c>
      <c r="C2561" s="4" t="s">
        <v>168</v>
      </c>
      <c r="D2561" s="4" t="s">
        <v>314</v>
      </c>
      <c r="E2561" s="4" t="s">
        <v>322</v>
      </c>
      <c r="F2561" t="s">
        <v>318</v>
      </c>
      <c r="G2561" t="s">
        <v>216</v>
      </c>
      <c r="H2561">
        <f>VLOOKUP(C2561,'TB Apr 24'!$B$13:$AS$103,44,0)</f>
        <v>10799</v>
      </c>
    </row>
    <row r="2562" spans="1:8" x14ac:dyDescent="0.35">
      <c r="A2562" s="77">
        <v>45383</v>
      </c>
      <c r="B2562" s="3" t="s">
        <v>169</v>
      </c>
      <c r="C2562" s="4" t="s">
        <v>170</v>
      </c>
      <c r="D2562" s="4" t="s">
        <v>314</v>
      </c>
      <c r="E2562" s="4" t="s">
        <v>304</v>
      </c>
      <c r="F2562" t="s">
        <v>318</v>
      </c>
      <c r="G2562" t="s">
        <v>216</v>
      </c>
      <c r="H2562">
        <f>VLOOKUP(C2562,'TB Apr 24'!$B$13:$AS$103,44,0)</f>
        <v>16350</v>
      </c>
    </row>
    <row r="2563" spans="1:8" x14ac:dyDescent="0.35">
      <c r="A2563" s="77">
        <v>45383</v>
      </c>
      <c r="B2563" s="3" t="s">
        <v>171</v>
      </c>
      <c r="C2563" s="4" t="s">
        <v>172</v>
      </c>
      <c r="D2563" s="4" t="s">
        <v>314</v>
      </c>
      <c r="E2563" s="4" t="s">
        <v>303</v>
      </c>
      <c r="F2563" t="s">
        <v>318</v>
      </c>
      <c r="G2563" t="s">
        <v>216</v>
      </c>
      <c r="H2563">
        <f>VLOOKUP(C2563,'TB Apr 24'!$B$13:$AS$103,44,0)</f>
        <v>0</v>
      </c>
    </row>
    <row r="2564" spans="1:8" x14ac:dyDescent="0.35">
      <c r="A2564" s="77">
        <v>45383</v>
      </c>
      <c r="B2564" s="3" t="s">
        <v>173</v>
      </c>
      <c r="C2564" s="4" t="s">
        <v>174</v>
      </c>
      <c r="D2564" s="4" t="s">
        <v>314</v>
      </c>
      <c r="E2564" s="4" t="s">
        <v>257</v>
      </c>
      <c r="F2564" t="s">
        <v>318</v>
      </c>
      <c r="G2564" t="s">
        <v>216</v>
      </c>
      <c r="H2564">
        <f>VLOOKUP(C2564,'TB Apr 24'!$B$13:$AS$103,44,0)</f>
        <v>0</v>
      </c>
    </row>
    <row r="2565" spans="1:8" x14ac:dyDescent="0.35">
      <c r="A2565" s="77">
        <v>45383</v>
      </c>
      <c r="B2565" s="3" t="s">
        <v>175</v>
      </c>
      <c r="C2565" s="4" t="s">
        <v>176</v>
      </c>
      <c r="D2565" s="4" t="s">
        <v>314</v>
      </c>
      <c r="E2565" s="4" t="s">
        <v>257</v>
      </c>
      <c r="F2565" t="s">
        <v>318</v>
      </c>
      <c r="G2565" t="s">
        <v>216</v>
      </c>
      <c r="H2565">
        <f>VLOOKUP(C2565,'TB Apr 24'!$B$13:$AS$103,44,0)</f>
        <v>0</v>
      </c>
    </row>
    <row r="2566" spans="1:8" x14ac:dyDescent="0.35">
      <c r="A2566" s="77">
        <v>45383</v>
      </c>
      <c r="B2566" s="3" t="s">
        <v>177</v>
      </c>
      <c r="C2566" s="4" t="s">
        <v>178</v>
      </c>
      <c r="D2566" s="4" t="s">
        <v>314</v>
      </c>
      <c r="E2566" s="4" t="s">
        <v>257</v>
      </c>
      <c r="F2566" t="s">
        <v>318</v>
      </c>
      <c r="G2566" t="s">
        <v>216</v>
      </c>
      <c r="H2566">
        <f>VLOOKUP(C2566,'TB Apr 24'!$B$13:$AS$103,44,0)</f>
        <v>0</v>
      </c>
    </row>
    <row r="2567" spans="1:8" x14ac:dyDescent="0.35">
      <c r="A2567" s="77">
        <v>45383</v>
      </c>
      <c r="B2567" s="3" t="s">
        <v>179</v>
      </c>
      <c r="C2567" s="4" t="s">
        <v>180</v>
      </c>
      <c r="D2567" s="4" t="s">
        <v>314</v>
      </c>
      <c r="E2567" s="4" t="s">
        <v>322</v>
      </c>
      <c r="F2567" t="s">
        <v>318</v>
      </c>
      <c r="G2567" t="s">
        <v>216</v>
      </c>
      <c r="H2567">
        <f>VLOOKUP(C2567,'TB Apr 24'!$B$13:$AS$103,44,0)</f>
        <v>0</v>
      </c>
    </row>
    <row r="2568" spans="1:8" x14ac:dyDescent="0.35">
      <c r="A2568" s="77">
        <v>45383</v>
      </c>
      <c r="B2568" s="3" t="s">
        <v>181</v>
      </c>
      <c r="C2568" s="4" t="s">
        <v>182</v>
      </c>
      <c r="D2568" s="4" t="s">
        <v>314</v>
      </c>
      <c r="E2568" s="4" t="s">
        <v>290</v>
      </c>
      <c r="F2568" t="s">
        <v>318</v>
      </c>
      <c r="G2568" t="s">
        <v>216</v>
      </c>
      <c r="H2568">
        <f>VLOOKUP(C2568,'TB Apr 24'!$B$13:$AS$103,44,0)</f>
        <v>3210</v>
      </c>
    </row>
    <row r="2569" spans="1:8" x14ac:dyDescent="0.35">
      <c r="A2569" s="77">
        <v>45383</v>
      </c>
      <c r="B2569" s="3" t="s">
        <v>183</v>
      </c>
      <c r="C2569" s="4" t="s">
        <v>184</v>
      </c>
      <c r="D2569" s="4" t="s">
        <v>314</v>
      </c>
      <c r="E2569" s="4" t="s">
        <v>290</v>
      </c>
      <c r="F2569" t="s">
        <v>318</v>
      </c>
      <c r="G2569" t="s">
        <v>216</v>
      </c>
      <c r="H2569">
        <f>VLOOKUP(C2569,'TB Apr 24'!$B$13:$AS$103,44,0)</f>
        <v>0</v>
      </c>
    </row>
    <row r="2570" spans="1:8" x14ac:dyDescent="0.35">
      <c r="A2570" s="77">
        <v>45383</v>
      </c>
      <c r="B2570" s="3" t="s">
        <v>185</v>
      </c>
      <c r="C2570" s="4" t="s">
        <v>186</v>
      </c>
      <c r="D2570" s="4" t="s">
        <v>314</v>
      </c>
      <c r="E2570" s="4" t="s">
        <v>290</v>
      </c>
      <c r="F2570" t="s">
        <v>318</v>
      </c>
      <c r="G2570" t="s">
        <v>216</v>
      </c>
      <c r="H2570">
        <f>VLOOKUP(C2570,'TB Apr 24'!$B$13:$AS$103,44,0)</f>
        <v>22700</v>
      </c>
    </row>
    <row r="2571" spans="1:8" x14ac:dyDescent="0.35">
      <c r="A2571" s="77">
        <v>45383</v>
      </c>
      <c r="B2571" s="3" t="s">
        <v>187</v>
      </c>
      <c r="C2571" s="4" t="s">
        <v>188</v>
      </c>
      <c r="D2571" s="4" t="s">
        <v>314</v>
      </c>
      <c r="E2571" s="4" t="s">
        <v>291</v>
      </c>
      <c r="F2571" t="s">
        <v>318</v>
      </c>
      <c r="G2571" t="s">
        <v>216</v>
      </c>
      <c r="H2571">
        <f>VLOOKUP(C2571,'TB Apr 24'!$B$13:$AS$103,44,0)</f>
        <v>37975.975400000003</v>
      </c>
    </row>
    <row r="2572" spans="1:8" x14ac:dyDescent="0.35">
      <c r="A2572" s="77">
        <v>45383</v>
      </c>
      <c r="B2572" s="3" t="s">
        <v>189</v>
      </c>
      <c r="C2572" s="4" t="s">
        <v>190</v>
      </c>
      <c r="D2572" s="4" t="s">
        <v>314</v>
      </c>
      <c r="E2572" s="4" t="s">
        <v>254</v>
      </c>
      <c r="F2572" t="s">
        <v>318</v>
      </c>
      <c r="G2572" t="s">
        <v>216</v>
      </c>
      <c r="H2572">
        <f>VLOOKUP(C2572,'TB Apr 24'!$B$13:$AS$103,44,0)</f>
        <v>0</v>
      </c>
    </row>
    <row r="2573" spans="1:8" x14ac:dyDescent="0.35">
      <c r="A2573" s="77">
        <v>45383</v>
      </c>
      <c r="B2573" s="3" t="s">
        <v>191</v>
      </c>
      <c r="C2573" s="4" t="s">
        <v>192</v>
      </c>
      <c r="D2573" s="4" t="s">
        <v>314</v>
      </c>
      <c r="E2573" s="4" t="s">
        <v>254</v>
      </c>
      <c r="F2573" t="s">
        <v>318</v>
      </c>
      <c r="G2573" t="s">
        <v>216</v>
      </c>
      <c r="H2573">
        <f>VLOOKUP(C2573,'TB Apr 24'!$B$13:$AS$103,44,0)</f>
        <v>0</v>
      </c>
    </row>
    <row r="2574" spans="1:8" x14ac:dyDescent="0.35">
      <c r="A2574" s="77">
        <v>45383</v>
      </c>
      <c r="B2574" s="3" t="s">
        <v>193</v>
      </c>
      <c r="C2574" s="4" t="s">
        <v>194</v>
      </c>
      <c r="D2574" s="4" t="s">
        <v>314</v>
      </c>
      <c r="E2574" s="4" t="s">
        <v>254</v>
      </c>
      <c r="F2574" t="s">
        <v>318</v>
      </c>
      <c r="G2574" t="s">
        <v>216</v>
      </c>
      <c r="H2574">
        <f>VLOOKUP(C2574,'TB Apr 24'!$B$13:$AS$103,44,0)</f>
        <v>424492</v>
      </c>
    </row>
    <row r="2575" spans="1:8" x14ac:dyDescent="0.35">
      <c r="A2575" s="77">
        <v>45383</v>
      </c>
      <c r="B2575" s="3" t="s">
        <v>195</v>
      </c>
      <c r="C2575" s="4" t="s">
        <v>196</v>
      </c>
      <c r="D2575" s="4" t="s">
        <v>314</v>
      </c>
      <c r="E2575" s="4" t="s">
        <v>255</v>
      </c>
      <c r="F2575" t="s">
        <v>318</v>
      </c>
      <c r="G2575" t="s">
        <v>216</v>
      </c>
      <c r="H2575">
        <f>VLOOKUP(C2575,'TB Apr 24'!$B$13:$AS$103,44,0)</f>
        <v>0</v>
      </c>
    </row>
    <row r="2576" spans="1:8" x14ac:dyDescent="0.35">
      <c r="A2576" s="77">
        <v>45383</v>
      </c>
      <c r="B2576" s="3" t="s">
        <v>197</v>
      </c>
      <c r="C2576" s="4" t="s">
        <v>198</v>
      </c>
      <c r="D2576" s="4" t="s">
        <v>314</v>
      </c>
      <c r="E2576" s="4" t="s">
        <v>255</v>
      </c>
      <c r="F2576" t="s">
        <v>318</v>
      </c>
      <c r="G2576" t="s">
        <v>216</v>
      </c>
      <c r="H2576">
        <f>VLOOKUP(C2576,'TB Apr 24'!$B$13:$AS$103,44,0)</f>
        <v>0</v>
      </c>
    </row>
    <row r="2577" spans="1:8" x14ac:dyDescent="0.35">
      <c r="A2577" s="77">
        <v>45383</v>
      </c>
      <c r="B2577" s="3" t="s">
        <v>199</v>
      </c>
      <c r="C2577" s="4" t="s">
        <v>200</v>
      </c>
      <c r="D2577" s="4" t="s">
        <v>314</v>
      </c>
      <c r="E2577" s="4" t="s">
        <v>254</v>
      </c>
      <c r="F2577" t="s">
        <v>318</v>
      </c>
      <c r="G2577" t="s">
        <v>216</v>
      </c>
      <c r="H2577">
        <f>VLOOKUP(C2577,'TB Apr 24'!$B$13:$AS$103,44,0)</f>
        <v>0</v>
      </c>
    </row>
    <row r="2578" spans="1:8" x14ac:dyDescent="0.35">
      <c r="A2578" s="77">
        <v>45383</v>
      </c>
      <c r="B2578" s="3" t="s">
        <v>201</v>
      </c>
      <c r="C2578" s="4" t="s">
        <v>202</v>
      </c>
      <c r="D2578" s="4" t="s">
        <v>314</v>
      </c>
      <c r="E2578" s="4" t="s">
        <v>254</v>
      </c>
      <c r="F2578" t="s">
        <v>318</v>
      </c>
      <c r="G2578" t="s">
        <v>216</v>
      </c>
      <c r="H2578">
        <f>VLOOKUP(C2578,'TB Apr 24'!$B$13:$AS$103,44,0)</f>
        <v>0</v>
      </c>
    </row>
    <row r="2579" spans="1:8" x14ac:dyDescent="0.35">
      <c r="A2579" s="77">
        <v>45383</v>
      </c>
      <c r="B2579" s="3" t="s">
        <v>203</v>
      </c>
      <c r="C2579" s="4" t="s">
        <v>204</v>
      </c>
      <c r="D2579" s="4" t="s">
        <v>314</v>
      </c>
      <c r="E2579" s="4" t="s">
        <v>256</v>
      </c>
      <c r="F2579" t="s">
        <v>318</v>
      </c>
      <c r="G2579" t="s">
        <v>216</v>
      </c>
      <c r="H2579">
        <f>VLOOKUP(C2579,'TB Apr 24'!$B$13:$AS$103,44,0)</f>
        <v>97694</v>
      </c>
    </row>
    <row r="2580" spans="1:8" x14ac:dyDescent="0.35">
      <c r="A2580" s="77">
        <v>45383</v>
      </c>
      <c r="B2580" s="3" t="s">
        <v>205</v>
      </c>
      <c r="C2580" s="6" t="s">
        <v>206</v>
      </c>
      <c r="D2580" s="4" t="s">
        <v>314</v>
      </c>
      <c r="E2580" s="6" t="s">
        <v>322</v>
      </c>
      <c r="F2580" s="79" t="s">
        <v>318</v>
      </c>
      <c r="G2580" s="79" t="s">
        <v>216</v>
      </c>
      <c r="H2580" s="79">
        <f>VLOOKUP(C2580,'TB Apr 24'!$B$13:$AS$103,44,0)</f>
        <v>0</v>
      </c>
    </row>
    <row r="2581" spans="1:8" x14ac:dyDescent="0.35">
      <c r="A2581" s="77">
        <v>45383</v>
      </c>
      <c r="B2581" s="3" t="s">
        <v>57</v>
      </c>
      <c r="C2581" s="4" t="s">
        <v>58</v>
      </c>
      <c r="D2581" s="4" t="s">
        <v>314</v>
      </c>
      <c r="E2581" s="4" t="s">
        <v>253</v>
      </c>
      <c r="F2581" t="s">
        <v>318</v>
      </c>
      <c r="G2581" t="s">
        <v>217</v>
      </c>
      <c r="H2581">
        <f>VLOOKUP(C2581,'TB Apr 24'!$B$13:$AT$103,45,0)</f>
        <v>0</v>
      </c>
    </row>
    <row r="2582" spans="1:8" x14ac:dyDescent="0.35">
      <c r="A2582" s="77">
        <v>45383</v>
      </c>
      <c r="B2582" s="3" t="s">
        <v>307</v>
      </c>
      <c r="C2582" s="4" t="s">
        <v>308</v>
      </c>
      <c r="D2582" s="4" t="s">
        <v>314</v>
      </c>
      <c r="E2582" s="4" t="s">
        <v>253</v>
      </c>
      <c r="F2582" t="s">
        <v>318</v>
      </c>
      <c r="G2582" t="s">
        <v>217</v>
      </c>
      <c r="H2582">
        <f>VLOOKUP(C2582,'TB Apr 24'!$B$13:$AT$103,45,0)</f>
        <v>0</v>
      </c>
    </row>
    <row r="2583" spans="1:8" x14ac:dyDescent="0.35">
      <c r="A2583" s="77">
        <v>45383</v>
      </c>
      <c r="B2583" s="3" t="s">
        <v>59</v>
      </c>
      <c r="C2583" s="4" t="s">
        <v>60</v>
      </c>
      <c r="D2583" s="4" t="s">
        <v>314</v>
      </c>
      <c r="E2583" s="4" t="s">
        <v>253</v>
      </c>
      <c r="F2583" t="s">
        <v>318</v>
      </c>
      <c r="G2583" t="s">
        <v>217</v>
      </c>
      <c r="H2583">
        <f>VLOOKUP(C2583,'TB Apr 24'!$B$13:$AT$103,45,0)</f>
        <v>-30.46</v>
      </c>
    </row>
    <row r="2584" spans="1:8" x14ac:dyDescent="0.35">
      <c r="A2584" s="77">
        <v>45383</v>
      </c>
      <c r="B2584" s="3" t="s">
        <v>61</v>
      </c>
      <c r="C2584" s="4" t="s">
        <v>62</v>
      </c>
      <c r="D2584" s="4" t="s">
        <v>314</v>
      </c>
      <c r="E2584" s="4" t="s">
        <v>66</v>
      </c>
      <c r="F2584" t="s">
        <v>318</v>
      </c>
      <c r="G2584" t="s">
        <v>217</v>
      </c>
      <c r="H2584">
        <f>VLOOKUP(C2584,'TB Apr 24'!$B$13:$AT$103,45,0)</f>
        <v>-164046.57</v>
      </c>
    </row>
    <row r="2585" spans="1:8" x14ac:dyDescent="0.35">
      <c r="A2585" s="77">
        <v>45383</v>
      </c>
      <c r="B2585" s="3" t="s">
        <v>63</v>
      </c>
      <c r="C2585" s="4" t="s">
        <v>64</v>
      </c>
      <c r="D2585" s="4" t="s">
        <v>314</v>
      </c>
      <c r="E2585" s="4" t="s">
        <v>252</v>
      </c>
      <c r="F2585" t="s">
        <v>318</v>
      </c>
      <c r="G2585" t="s">
        <v>217</v>
      </c>
      <c r="H2585">
        <f>VLOOKUP(C2585,'TB Apr 24'!$B$13:$AT$103,45,0)</f>
        <v>0</v>
      </c>
    </row>
    <row r="2586" spans="1:8" x14ac:dyDescent="0.35">
      <c r="A2586" s="77">
        <v>45383</v>
      </c>
      <c r="B2586" s="3" t="s">
        <v>65</v>
      </c>
      <c r="C2586" s="4" t="s">
        <v>66</v>
      </c>
      <c r="D2586" s="4" t="s">
        <v>314</v>
      </c>
      <c r="E2586" s="4" t="s">
        <v>66</v>
      </c>
      <c r="F2586" t="s">
        <v>318</v>
      </c>
      <c r="G2586" t="s">
        <v>217</v>
      </c>
      <c r="H2586">
        <f>VLOOKUP(C2586,'TB Apr 24'!$B$13:$AT$103,45,0)</f>
        <v>-1133956.8999999999</v>
      </c>
    </row>
    <row r="2587" spans="1:8" x14ac:dyDescent="0.35">
      <c r="A2587" s="77">
        <v>45383</v>
      </c>
      <c r="B2587" s="3" t="s">
        <v>67</v>
      </c>
      <c r="C2587" s="4" t="s">
        <v>68</v>
      </c>
      <c r="D2587" s="4" t="s">
        <v>314</v>
      </c>
      <c r="E2587" s="4" t="s">
        <v>252</v>
      </c>
      <c r="F2587" t="s">
        <v>318</v>
      </c>
      <c r="G2587" t="s">
        <v>217</v>
      </c>
      <c r="H2587">
        <f>VLOOKUP(C2587,'TB Apr 24'!$B$13:$AT$103,45,0)</f>
        <v>-136767.69</v>
      </c>
    </row>
    <row r="2588" spans="1:8" x14ac:dyDescent="0.35">
      <c r="A2588" s="77">
        <v>45383</v>
      </c>
      <c r="B2588" s="3" t="s">
        <v>69</v>
      </c>
      <c r="C2588" s="4" t="s">
        <v>70</v>
      </c>
      <c r="D2588" s="4" t="s">
        <v>314</v>
      </c>
      <c r="E2588" s="4" t="s">
        <v>70</v>
      </c>
      <c r="F2588" t="s">
        <v>318</v>
      </c>
      <c r="G2588" t="s">
        <v>217</v>
      </c>
      <c r="H2588">
        <f>VLOOKUP(C2588,'TB Apr 24'!$B$13:$AT$103,45,0)</f>
        <v>-171780.96</v>
      </c>
    </row>
    <row r="2589" spans="1:8" x14ac:dyDescent="0.35">
      <c r="A2589" s="77">
        <v>45383</v>
      </c>
      <c r="B2589" s="3" t="s">
        <v>71</v>
      </c>
      <c r="C2589" s="4" t="s">
        <v>72</v>
      </c>
      <c r="D2589" s="4" t="s">
        <v>314</v>
      </c>
      <c r="E2589" s="4" t="s">
        <v>253</v>
      </c>
      <c r="F2589" t="s">
        <v>318</v>
      </c>
      <c r="G2589" t="s">
        <v>217</v>
      </c>
      <c r="H2589">
        <f>VLOOKUP(C2589,'TB Apr 24'!$B$13:$AT$103,45,0)</f>
        <v>0</v>
      </c>
    </row>
    <row r="2590" spans="1:8" x14ac:dyDescent="0.35">
      <c r="A2590" s="77">
        <v>45383</v>
      </c>
      <c r="B2590" s="3" t="s">
        <v>73</v>
      </c>
      <c r="C2590" s="4" t="s">
        <v>74</v>
      </c>
      <c r="D2590" s="4" t="s">
        <v>314</v>
      </c>
      <c r="E2590" s="4" t="s">
        <v>253</v>
      </c>
      <c r="F2590" t="s">
        <v>318</v>
      </c>
      <c r="G2590" t="s">
        <v>217</v>
      </c>
      <c r="H2590">
        <f>VLOOKUP(C2590,'TB Apr 24'!$B$13:$AT$103,45,0)</f>
        <v>-10622.45</v>
      </c>
    </row>
    <row r="2591" spans="1:8" x14ac:dyDescent="0.35">
      <c r="A2591" s="77">
        <v>45383</v>
      </c>
      <c r="B2591" s="3" t="s">
        <v>75</v>
      </c>
      <c r="C2591" s="4" t="s">
        <v>76</v>
      </c>
      <c r="D2591" s="4" t="s">
        <v>314</v>
      </c>
      <c r="E2591" s="4" t="s">
        <v>253</v>
      </c>
      <c r="F2591" t="s">
        <v>318</v>
      </c>
      <c r="G2591" t="s">
        <v>217</v>
      </c>
      <c r="H2591">
        <f>VLOOKUP(C2591,'TB Apr 24'!$B$13:$AT$103,45,0)</f>
        <v>0</v>
      </c>
    </row>
    <row r="2592" spans="1:8" x14ac:dyDescent="0.35">
      <c r="A2592" s="77">
        <v>45383</v>
      </c>
      <c r="B2592" s="3" t="s">
        <v>77</v>
      </c>
      <c r="C2592" s="4" t="s">
        <v>78</v>
      </c>
      <c r="D2592" s="4" t="s">
        <v>314</v>
      </c>
      <c r="E2592" s="4" t="s">
        <v>253</v>
      </c>
      <c r="F2592" t="s">
        <v>318</v>
      </c>
      <c r="G2592" t="s">
        <v>217</v>
      </c>
      <c r="H2592">
        <f>VLOOKUP(C2592,'TB Apr 24'!$B$13:$AT$103,45,0)</f>
        <v>101984.99</v>
      </c>
    </row>
    <row r="2593" spans="1:8" x14ac:dyDescent="0.35">
      <c r="A2593" s="77">
        <v>45383</v>
      </c>
      <c r="B2593" s="3" t="s">
        <v>79</v>
      </c>
      <c r="C2593" s="4" t="s">
        <v>80</v>
      </c>
      <c r="D2593" s="4" t="s">
        <v>314</v>
      </c>
      <c r="E2593" s="4" t="s">
        <v>253</v>
      </c>
      <c r="F2593" t="s">
        <v>318</v>
      </c>
      <c r="G2593" t="s">
        <v>217</v>
      </c>
      <c r="H2593">
        <f>VLOOKUP(C2593,'TB Apr 24'!$B$13:$AT$103,45,0)</f>
        <v>-14789.7</v>
      </c>
    </row>
    <row r="2594" spans="1:8" x14ac:dyDescent="0.35">
      <c r="A2594" s="77">
        <v>45383</v>
      </c>
      <c r="B2594" s="3" t="s">
        <v>81</v>
      </c>
      <c r="C2594" s="4" t="s">
        <v>82</v>
      </c>
      <c r="D2594" s="4" t="s">
        <v>314</v>
      </c>
      <c r="E2594" s="4" t="s">
        <v>319</v>
      </c>
      <c r="F2594" t="s">
        <v>318</v>
      </c>
      <c r="G2594" t="s">
        <v>217</v>
      </c>
      <c r="H2594">
        <f>VLOOKUP(C2594,'TB Apr 24'!$B$13:$AT$103,45,0)</f>
        <v>0</v>
      </c>
    </row>
    <row r="2595" spans="1:8" x14ac:dyDescent="0.35">
      <c r="A2595" s="77">
        <v>45383</v>
      </c>
      <c r="B2595" s="3" t="s">
        <v>83</v>
      </c>
      <c r="C2595" s="4" t="s">
        <v>84</v>
      </c>
      <c r="D2595" s="4" t="s">
        <v>314</v>
      </c>
      <c r="E2595" s="4" t="s">
        <v>319</v>
      </c>
      <c r="F2595" t="s">
        <v>318</v>
      </c>
      <c r="G2595" t="s">
        <v>217</v>
      </c>
      <c r="H2595">
        <f>VLOOKUP(C2595,'TB Apr 24'!$B$13:$AT$103,45,0)</f>
        <v>0</v>
      </c>
    </row>
    <row r="2596" spans="1:8" x14ac:dyDescent="0.35">
      <c r="A2596" s="77">
        <v>45383</v>
      </c>
      <c r="B2596" s="3" t="s">
        <v>85</v>
      </c>
      <c r="C2596" s="4" t="s">
        <v>86</v>
      </c>
      <c r="D2596" s="4" t="s">
        <v>314</v>
      </c>
      <c r="E2596" s="4" t="s">
        <v>291</v>
      </c>
      <c r="F2596" t="s">
        <v>318</v>
      </c>
      <c r="G2596" t="s">
        <v>217</v>
      </c>
      <c r="H2596">
        <f>VLOOKUP(C2596,'TB Apr 24'!$B$13:$AT$103,45,0)</f>
        <v>0</v>
      </c>
    </row>
    <row r="2597" spans="1:8" x14ac:dyDescent="0.35">
      <c r="A2597" s="77">
        <v>45383</v>
      </c>
      <c r="B2597" s="3" t="s">
        <v>88</v>
      </c>
      <c r="C2597" s="4" t="s">
        <v>89</v>
      </c>
      <c r="D2597" s="4" t="s">
        <v>314</v>
      </c>
      <c r="E2597" s="4" t="s">
        <v>300</v>
      </c>
      <c r="F2597" t="s">
        <v>318</v>
      </c>
      <c r="G2597" t="s">
        <v>217</v>
      </c>
      <c r="H2597">
        <f>VLOOKUP(C2597,'TB Apr 24'!$B$13:$AT$103,45,0)</f>
        <v>0</v>
      </c>
    </row>
    <row r="2598" spans="1:8" x14ac:dyDescent="0.35">
      <c r="A2598" s="77">
        <v>45383</v>
      </c>
      <c r="B2598" s="3" t="s">
        <v>90</v>
      </c>
      <c r="C2598" s="4" t="s">
        <v>91</v>
      </c>
      <c r="D2598" s="4" t="s">
        <v>314</v>
      </c>
      <c r="E2598" s="4" t="s">
        <v>300</v>
      </c>
      <c r="F2598" t="s">
        <v>318</v>
      </c>
      <c r="G2598" t="s">
        <v>217</v>
      </c>
      <c r="H2598">
        <f>VLOOKUP(C2598,'TB Apr 24'!$B$13:$AT$103,45,0)</f>
        <v>36010</v>
      </c>
    </row>
    <row r="2599" spans="1:8" x14ac:dyDescent="0.35">
      <c r="A2599" s="77">
        <v>45383</v>
      </c>
      <c r="B2599" s="3" t="s">
        <v>92</v>
      </c>
      <c r="C2599" s="4" t="s">
        <v>93</v>
      </c>
      <c r="D2599" s="4" t="s">
        <v>314</v>
      </c>
      <c r="E2599" s="4" t="s">
        <v>300</v>
      </c>
      <c r="F2599" t="s">
        <v>318</v>
      </c>
      <c r="G2599" t="s">
        <v>217</v>
      </c>
      <c r="H2599">
        <f>VLOOKUP(C2599,'TB Apr 24'!$B$13:$AT$103,45,0)</f>
        <v>9000</v>
      </c>
    </row>
    <row r="2600" spans="1:8" x14ac:dyDescent="0.35">
      <c r="A2600" s="77">
        <v>45383</v>
      </c>
      <c r="B2600" s="3" t="s">
        <v>94</v>
      </c>
      <c r="C2600" s="4" t="s">
        <v>95</v>
      </c>
      <c r="D2600" s="4" t="s">
        <v>314</v>
      </c>
      <c r="E2600" s="4" t="s">
        <v>289</v>
      </c>
      <c r="F2600" t="s">
        <v>318</v>
      </c>
      <c r="G2600" t="s">
        <v>217</v>
      </c>
      <c r="H2600">
        <f>VLOOKUP(C2600,'TB Apr 24'!$B$13:$AT$103,45,0)</f>
        <v>633602.25</v>
      </c>
    </row>
    <row r="2601" spans="1:8" x14ac:dyDescent="0.35">
      <c r="A2601" s="77">
        <v>45383</v>
      </c>
      <c r="B2601" s="3" t="s">
        <v>96</v>
      </c>
      <c r="C2601" s="4" t="s">
        <v>97</v>
      </c>
      <c r="D2601" s="4" t="s">
        <v>314</v>
      </c>
      <c r="E2601" s="4" t="s">
        <v>289</v>
      </c>
      <c r="F2601" t="s">
        <v>318</v>
      </c>
      <c r="G2601" t="s">
        <v>217</v>
      </c>
      <c r="H2601">
        <f>VLOOKUP(C2601,'TB Apr 24'!$B$13:$AT$103,45,0)</f>
        <v>0</v>
      </c>
    </row>
    <row r="2602" spans="1:8" x14ac:dyDescent="0.35">
      <c r="A2602" s="77">
        <v>45383</v>
      </c>
      <c r="B2602" s="3" t="s">
        <v>309</v>
      </c>
      <c r="C2602" s="4" t="s">
        <v>310</v>
      </c>
      <c r="D2602" s="4" t="s">
        <v>314</v>
      </c>
      <c r="E2602" s="4" t="s">
        <v>289</v>
      </c>
      <c r="F2602" t="s">
        <v>318</v>
      </c>
      <c r="G2602" t="s">
        <v>217</v>
      </c>
      <c r="H2602">
        <f>VLOOKUP(C2602,'TB Apr 24'!$B$13:$AT$103,45,0)</f>
        <v>0</v>
      </c>
    </row>
    <row r="2603" spans="1:8" x14ac:dyDescent="0.35">
      <c r="A2603" s="77">
        <v>45383</v>
      </c>
      <c r="B2603" s="3" t="s">
        <v>98</v>
      </c>
      <c r="C2603" s="4" t="s">
        <v>99</v>
      </c>
      <c r="D2603" s="4" t="s">
        <v>314</v>
      </c>
      <c r="E2603" s="4" t="s">
        <v>289</v>
      </c>
      <c r="F2603" t="s">
        <v>318</v>
      </c>
      <c r="G2603" t="s">
        <v>217</v>
      </c>
      <c r="H2603">
        <f>VLOOKUP(C2603,'TB Apr 24'!$B$13:$AT$103,45,0)</f>
        <v>0</v>
      </c>
    </row>
    <row r="2604" spans="1:8" x14ac:dyDescent="0.35">
      <c r="A2604" s="77">
        <v>45383</v>
      </c>
      <c r="B2604" s="3" t="s">
        <v>100</v>
      </c>
      <c r="C2604" s="4" t="s">
        <v>101</v>
      </c>
      <c r="D2604" s="4" t="s">
        <v>314</v>
      </c>
      <c r="E2604" s="4" t="s">
        <v>291</v>
      </c>
      <c r="F2604" t="s">
        <v>318</v>
      </c>
      <c r="G2604" t="s">
        <v>217</v>
      </c>
      <c r="H2604">
        <f>VLOOKUP(C2604,'TB Apr 24'!$B$13:$AT$103,45,0)</f>
        <v>0</v>
      </c>
    </row>
    <row r="2605" spans="1:8" x14ac:dyDescent="0.35">
      <c r="A2605" s="77">
        <v>45383</v>
      </c>
      <c r="B2605" s="3" t="s">
        <v>102</v>
      </c>
      <c r="C2605" s="4" t="s">
        <v>103</v>
      </c>
      <c r="D2605" s="4" t="s">
        <v>314</v>
      </c>
      <c r="E2605" s="4" t="s">
        <v>291</v>
      </c>
      <c r="F2605" t="s">
        <v>318</v>
      </c>
      <c r="G2605" t="s">
        <v>217</v>
      </c>
      <c r="H2605">
        <f>VLOOKUP(C2605,'TB Apr 24'!$B$13:$AT$103,45,0)</f>
        <v>0</v>
      </c>
    </row>
    <row r="2606" spans="1:8" x14ac:dyDescent="0.35">
      <c r="A2606" s="77">
        <v>45383</v>
      </c>
      <c r="B2606" s="3" t="s">
        <v>104</v>
      </c>
      <c r="C2606" s="4" t="s">
        <v>105</v>
      </c>
      <c r="D2606" s="4" t="s">
        <v>314</v>
      </c>
      <c r="E2606" s="4" t="s">
        <v>291</v>
      </c>
      <c r="F2606" t="s">
        <v>318</v>
      </c>
      <c r="G2606" t="s">
        <v>217</v>
      </c>
      <c r="H2606">
        <f>VLOOKUP(C2606,'TB Apr 24'!$B$13:$AT$103,45,0)</f>
        <v>0</v>
      </c>
    </row>
    <row r="2607" spans="1:8" x14ac:dyDescent="0.35">
      <c r="A2607" s="77">
        <v>45383</v>
      </c>
      <c r="B2607" s="3" t="s">
        <v>106</v>
      </c>
      <c r="C2607" s="4" t="s">
        <v>107</v>
      </c>
      <c r="D2607" s="4" t="s">
        <v>314</v>
      </c>
      <c r="E2607" s="4" t="s">
        <v>321</v>
      </c>
      <c r="F2607" t="s">
        <v>318</v>
      </c>
      <c r="G2607" t="s">
        <v>217</v>
      </c>
      <c r="H2607">
        <f>VLOOKUP(C2607,'TB Apr 24'!$B$13:$AT$103,45,0)</f>
        <v>302</v>
      </c>
    </row>
    <row r="2608" spans="1:8" x14ac:dyDescent="0.35">
      <c r="A2608" s="77">
        <v>45383</v>
      </c>
      <c r="B2608" s="3" t="s">
        <v>108</v>
      </c>
      <c r="C2608" s="4" t="s">
        <v>109</v>
      </c>
      <c r="D2608" s="4" t="s">
        <v>314</v>
      </c>
      <c r="E2608" s="4" t="s">
        <v>321</v>
      </c>
      <c r="F2608" t="s">
        <v>318</v>
      </c>
      <c r="G2608" t="s">
        <v>217</v>
      </c>
      <c r="H2608">
        <f>VLOOKUP(C2608,'TB Apr 24'!$B$13:$AT$103,45,0)</f>
        <v>0</v>
      </c>
    </row>
    <row r="2609" spans="1:8" x14ac:dyDescent="0.35">
      <c r="A2609" s="77">
        <v>45383</v>
      </c>
      <c r="B2609" s="3" t="s">
        <v>110</v>
      </c>
      <c r="C2609" s="4" t="s">
        <v>111</v>
      </c>
      <c r="D2609" s="4" t="s">
        <v>314</v>
      </c>
      <c r="E2609" s="4" t="s">
        <v>320</v>
      </c>
      <c r="F2609" t="s">
        <v>318</v>
      </c>
      <c r="G2609" t="s">
        <v>217</v>
      </c>
      <c r="H2609">
        <f>VLOOKUP(C2609,'TB Apr 24'!$B$13:$AT$103,45,0)</f>
        <v>0</v>
      </c>
    </row>
    <row r="2610" spans="1:8" x14ac:dyDescent="0.35">
      <c r="A2610" s="77">
        <v>45383</v>
      </c>
      <c r="B2610" s="3" t="s">
        <v>112</v>
      </c>
      <c r="C2610" s="4" t="s">
        <v>113</v>
      </c>
      <c r="D2610" s="4" t="s">
        <v>314</v>
      </c>
      <c r="E2610" s="4" t="s">
        <v>321</v>
      </c>
      <c r="F2610" t="s">
        <v>318</v>
      </c>
      <c r="G2610" t="s">
        <v>217</v>
      </c>
      <c r="H2610">
        <f>VLOOKUP(C2610,'TB Apr 24'!$B$13:$AT$103,45,0)</f>
        <v>707</v>
      </c>
    </row>
    <row r="2611" spans="1:8" x14ac:dyDescent="0.35">
      <c r="A2611" s="77">
        <v>45383</v>
      </c>
      <c r="B2611" s="3" t="s">
        <v>311</v>
      </c>
      <c r="C2611" s="4" t="s">
        <v>312</v>
      </c>
      <c r="D2611" s="4" t="s">
        <v>314</v>
      </c>
      <c r="E2611" s="4" t="s">
        <v>288</v>
      </c>
      <c r="F2611" t="s">
        <v>318</v>
      </c>
      <c r="G2611" t="s">
        <v>217</v>
      </c>
      <c r="H2611">
        <f>VLOOKUP(C2611,'TB Apr 24'!$B$13:$AT$103,45,0)</f>
        <v>0</v>
      </c>
    </row>
    <row r="2612" spans="1:8" x14ac:dyDescent="0.35">
      <c r="A2612" s="77">
        <v>45383</v>
      </c>
      <c r="B2612" s="3" t="s">
        <v>114</v>
      </c>
      <c r="C2612" s="4" t="s">
        <v>115</v>
      </c>
      <c r="D2612" s="4" t="s">
        <v>314</v>
      </c>
      <c r="E2612" s="4" t="s">
        <v>294</v>
      </c>
      <c r="F2612" t="s">
        <v>318</v>
      </c>
      <c r="G2612" t="s">
        <v>217</v>
      </c>
      <c r="H2612">
        <f>VLOOKUP(C2612,'TB Apr 24'!$B$13:$AT$103,45,0)</f>
        <v>0</v>
      </c>
    </row>
    <row r="2613" spans="1:8" x14ac:dyDescent="0.35">
      <c r="A2613" s="77">
        <v>45383</v>
      </c>
      <c r="B2613" s="3" t="s">
        <v>116</v>
      </c>
      <c r="C2613" s="4" t="s">
        <v>117</v>
      </c>
      <c r="D2613" s="4" t="s">
        <v>314</v>
      </c>
      <c r="E2613" s="4" t="s">
        <v>296</v>
      </c>
      <c r="F2613" t="s">
        <v>318</v>
      </c>
      <c r="G2613" t="s">
        <v>217</v>
      </c>
      <c r="H2613">
        <f>VLOOKUP(C2613,'TB Apr 24'!$B$13:$AT$103,45,0)</f>
        <v>0</v>
      </c>
    </row>
    <row r="2614" spans="1:8" x14ac:dyDescent="0.35">
      <c r="A2614" s="77">
        <v>45383</v>
      </c>
      <c r="B2614" s="3" t="s">
        <v>118</v>
      </c>
      <c r="C2614" s="4" t="s">
        <v>119</v>
      </c>
      <c r="D2614" s="4" t="s">
        <v>314</v>
      </c>
      <c r="E2614" s="4" t="s">
        <v>296</v>
      </c>
      <c r="F2614" t="s">
        <v>318</v>
      </c>
      <c r="G2614" t="s">
        <v>217</v>
      </c>
      <c r="H2614">
        <f>VLOOKUP(C2614,'TB Apr 24'!$B$13:$AT$103,45,0)</f>
        <v>82389</v>
      </c>
    </row>
    <row r="2615" spans="1:8" x14ac:dyDescent="0.35">
      <c r="A2615" s="77">
        <v>45383</v>
      </c>
      <c r="B2615" s="3" t="s">
        <v>120</v>
      </c>
      <c r="C2615" s="4" t="s">
        <v>121</v>
      </c>
      <c r="D2615" s="4" t="s">
        <v>314</v>
      </c>
      <c r="E2615" s="4" t="s">
        <v>322</v>
      </c>
      <c r="F2615" t="s">
        <v>318</v>
      </c>
      <c r="G2615" t="s">
        <v>217</v>
      </c>
      <c r="H2615">
        <f>VLOOKUP(C2615,'TB Apr 24'!$B$13:$AT$103,45,0)</f>
        <v>0</v>
      </c>
    </row>
    <row r="2616" spans="1:8" x14ac:dyDescent="0.35">
      <c r="A2616" s="77">
        <v>45383</v>
      </c>
      <c r="B2616" s="3" t="s">
        <v>122</v>
      </c>
      <c r="C2616" s="4" t="s">
        <v>123</v>
      </c>
      <c r="D2616" s="4" t="s">
        <v>314</v>
      </c>
      <c r="E2616" s="4" t="s">
        <v>322</v>
      </c>
      <c r="F2616" t="s">
        <v>318</v>
      </c>
      <c r="G2616" t="s">
        <v>217</v>
      </c>
      <c r="H2616">
        <f>VLOOKUP(C2616,'TB Apr 24'!$B$13:$AT$103,45,0)</f>
        <v>0</v>
      </c>
    </row>
    <row r="2617" spans="1:8" x14ac:dyDescent="0.35">
      <c r="A2617" s="77">
        <v>45383</v>
      </c>
      <c r="B2617" s="3" t="s">
        <v>124</v>
      </c>
      <c r="C2617" s="4" t="s">
        <v>125</v>
      </c>
      <c r="D2617" s="4" t="s">
        <v>314</v>
      </c>
      <c r="E2617" s="4" t="s">
        <v>322</v>
      </c>
      <c r="F2617" t="s">
        <v>318</v>
      </c>
      <c r="G2617" t="s">
        <v>217</v>
      </c>
      <c r="H2617">
        <f>VLOOKUP(C2617,'TB Apr 24'!$B$13:$AT$103,45,0)</f>
        <v>0</v>
      </c>
    </row>
    <row r="2618" spans="1:8" x14ac:dyDescent="0.35">
      <c r="A2618" s="77">
        <v>45383</v>
      </c>
      <c r="B2618" s="3" t="s">
        <v>126</v>
      </c>
      <c r="C2618" s="4" t="s">
        <v>127</v>
      </c>
      <c r="D2618" s="4" t="s">
        <v>314</v>
      </c>
      <c r="E2618" s="4" t="s">
        <v>291</v>
      </c>
      <c r="F2618" t="s">
        <v>318</v>
      </c>
      <c r="G2618" t="s">
        <v>217</v>
      </c>
      <c r="H2618">
        <f>VLOOKUP(C2618,'TB Apr 24'!$B$13:$AT$103,45,0)</f>
        <v>0</v>
      </c>
    </row>
    <row r="2619" spans="1:8" x14ac:dyDescent="0.35">
      <c r="A2619" s="77">
        <v>45383</v>
      </c>
      <c r="B2619" s="3" t="s">
        <v>128</v>
      </c>
      <c r="C2619" s="4" t="s">
        <v>129</v>
      </c>
      <c r="D2619" s="4" t="s">
        <v>314</v>
      </c>
      <c r="E2619" s="4" t="s">
        <v>322</v>
      </c>
      <c r="F2619" t="s">
        <v>318</v>
      </c>
      <c r="G2619" t="s">
        <v>217</v>
      </c>
      <c r="H2619">
        <f>VLOOKUP(C2619,'TB Apr 24'!$B$13:$AT$103,45,0)</f>
        <v>1800</v>
      </c>
    </row>
    <row r="2620" spans="1:8" x14ac:dyDescent="0.35">
      <c r="A2620" s="77">
        <v>45383</v>
      </c>
      <c r="B2620" s="3" t="s">
        <v>130</v>
      </c>
      <c r="C2620" s="4" t="s">
        <v>131</v>
      </c>
      <c r="D2620" s="4" t="s">
        <v>314</v>
      </c>
      <c r="E2620" s="4" t="s">
        <v>322</v>
      </c>
      <c r="F2620" t="s">
        <v>318</v>
      </c>
      <c r="G2620" t="s">
        <v>217</v>
      </c>
      <c r="H2620">
        <f>VLOOKUP(C2620,'TB Apr 24'!$B$13:$AT$103,45,0)</f>
        <v>30</v>
      </c>
    </row>
    <row r="2621" spans="1:8" x14ac:dyDescent="0.35">
      <c r="A2621" s="77">
        <v>45383</v>
      </c>
      <c r="B2621" s="3" t="s">
        <v>132</v>
      </c>
      <c r="C2621" s="4" t="s">
        <v>133</v>
      </c>
      <c r="D2621" s="4" t="s">
        <v>314</v>
      </c>
      <c r="E2621" s="4" t="s">
        <v>320</v>
      </c>
      <c r="F2621" t="s">
        <v>318</v>
      </c>
      <c r="G2621" t="s">
        <v>217</v>
      </c>
      <c r="H2621">
        <f>VLOOKUP(C2621,'TB Apr 24'!$B$13:$AT$103,45,0)</f>
        <v>392</v>
      </c>
    </row>
    <row r="2622" spans="1:8" x14ac:dyDescent="0.35">
      <c r="A2622" s="77">
        <v>45383</v>
      </c>
      <c r="B2622" s="3" t="s">
        <v>134</v>
      </c>
      <c r="C2622" s="4" t="s">
        <v>135</v>
      </c>
      <c r="D2622" s="4" t="s">
        <v>314</v>
      </c>
      <c r="E2622" s="4" t="s">
        <v>299</v>
      </c>
      <c r="F2622" t="s">
        <v>318</v>
      </c>
      <c r="G2622" t="s">
        <v>217</v>
      </c>
      <c r="H2622">
        <f>VLOOKUP(C2622,'TB Apr 24'!$B$13:$AT$103,45,0)</f>
        <v>1133</v>
      </c>
    </row>
    <row r="2623" spans="1:8" x14ac:dyDescent="0.35">
      <c r="A2623" s="77">
        <v>45383</v>
      </c>
      <c r="B2623" s="3" t="s">
        <v>136</v>
      </c>
      <c r="C2623" s="4" t="s">
        <v>137</v>
      </c>
      <c r="D2623" s="4" t="s">
        <v>314</v>
      </c>
      <c r="E2623" s="4" t="s">
        <v>322</v>
      </c>
      <c r="F2623" t="s">
        <v>318</v>
      </c>
      <c r="G2623" t="s">
        <v>217</v>
      </c>
      <c r="H2623">
        <f>VLOOKUP(C2623,'TB Apr 24'!$B$13:$AT$103,45,0)</f>
        <v>0</v>
      </c>
    </row>
    <row r="2624" spans="1:8" x14ac:dyDescent="0.35">
      <c r="A2624" s="77">
        <v>45383</v>
      </c>
      <c r="B2624" s="3" t="s">
        <v>138</v>
      </c>
      <c r="C2624" s="4" t="s">
        <v>139</v>
      </c>
      <c r="D2624" s="4" t="s">
        <v>314</v>
      </c>
      <c r="E2624" s="4" t="s">
        <v>294</v>
      </c>
      <c r="F2624" t="s">
        <v>318</v>
      </c>
      <c r="G2624" t="s">
        <v>217</v>
      </c>
      <c r="H2624">
        <f>VLOOKUP(C2624,'TB Apr 24'!$B$13:$AT$103,45,0)</f>
        <v>13065.3</v>
      </c>
    </row>
    <row r="2625" spans="1:8" x14ac:dyDescent="0.35">
      <c r="A2625" s="77">
        <v>45383</v>
      </c>
      <c r="B2625" s="3" t="s">
        <v>140</v>
      </c>
      <c r="C2625" s="4" t="s">
        <v>141</v>
      </c>
      <c r="D2625" s="4" t="s">
        <v>314</v>
      </c>
      <c r="E2625" s="4" t="s">
        <v>268</v>
      </c>
      <c r="F2625" t="s">
        <v>318</v>
      </c>
      <c r="G2625" t="s">
        <v>217</v>
      </c>
      <c r="H2625">
        <f>VLOOKUP(C2625,'TB Apr 24'!$B$13:$AT$103,45,0)</f>
        <v>168301.07139999999</v>
      </c>
    </row>
    <row r="2626" spans="1:8" x14ac:dyDescent="0.35">
      <c r="A2626" s="77">
        <v>45383</v>
      </c>
      <c r="B2626" s="3" t="s">
        <v>142</v>
      </c>
      <c r="C2626" s="4" t="s">
        <v>143</v>
      </c>
      <c r="D2626" s="4" t="s">
        <v>314</v>
      </c>
      <c r="E2626" s="4" t="s">
        <v>269</v>
      </c>
      <c r="F2626" t="s">
        <v>318</v>
      </c>
      <c r="G2626" t="s">
        <v>217</v>
      </c>
      <c r="H2626">
        <f>VLOOKUP(C2626,'TB Apr 24'!$B$13:$AT$103,45,0)</f>
        <v>101584</v>
      </c>
    </row>
    <row r="2627" spans="1:8" x14ac:dyDescent="0.35">
      <c r="A2627" s="77">
        <v>45383</v>
      </c>
      <c r="B2627" s="3" t="s">
        <v>144</v>
      </c>
      <c r="C2627" s="4" t="s">
        <v>145</v>
      </c>
      <c r="D2627" s="4" t="s">
        <v>314</v>
      </c>
      <c r="E2627" s="4" t="s">
        <v>288</v>
      </c>
      <c r="F2627" t="s">
        <v>318</v>
      </c>
      <c r="G2627" t="s">
        <v>217</v>
      </c>
      <c r="H2627">
        <f>VLOOKUP(C2627,'TB Apr 24'!$B$13:$AT$103,45,0)</f>
        <v>78559</v>
      </c>
    </row>
    <row r="2628" spans="1:8" x14ac:dyDescent="0.35">
      <c r="A2628" s="77">
        <v>45383</v>
      </c>
      <c r="B2628" s="3" t="s">
        <v>146</v>
      </c>
      <c r="C2628" s="4" t="s">
        <v>147</v>
      </c>
      <c r="D2628" s="4" t="s">
        <v>314</v>
      </c>
      <c r="E2628" s="4" t="s">
        <v>288</v>
      </c>
      <c r="F2628" t="s">
        <v>318</v>
      </c>
      <c r="G2628" t="s">
        <v>217</v>
      </c>
      <c r="H2628">
        <f>VLOOKUP(C2628,'TB Apr 24'!$B$13:$AT$103,45,0)</f>
        <v>10174.416666666666</v>
      </c>
    </row>
    <row r="2629" spans="1:8" x14ac:dyDescent="0.35">
      <c r="A2629" s="77">
        <v>45383</v>
      </c>
      <c r="B2629" s="3" t="s">
        <v>148</v>
      </c>
      <c r="C2629" s="4" t="s">
        <v>149</v>
      </c>
      <c r="D2629" s="4" t="s">
        <v>314</v>
      </c>
      <c r="E2629" s="4" t="s">
        <v>287</v>
      </c>
      <c r="F2629" t="s">
        <v>318</v>
      </c>
      <c r="G2629" t="s">
        <v>217</v>
      </c>
      <c r="H2629">
        <f>VLOOKUP(C2629,'TB Apr 24'!$B$13:$AT$103,45,0)</f>
        <v>0</v>
      </c>
    </row>
    <row r="2630" spans="1:8" x14ac:dyDescent="0.35">
      <c r="A2630" s="77">
        <v>45383</v>
      </c>
      <c r="B2630" s="3" t="s">
        <v>150</v>
      </c>
      <c r="C2630" s="4" t="s">
        <v>87</v>
      </c>
      <c r="D2630" s="4" t="s">
        <v>314</v>
      </c>
      <c r="E2630" s="4" t="s">
        <v>288</v>
      </c>
      <c r="F2630" t="s">
        <v>318</v>
      </c>
      <c r="G2630" t="s">
        <v>217</v>
      </c>
      <c r="H2630">
        <f>VLOOKUP(C2630,'TB Apr 24'!$B$13:$AT$103,45,0)</f>
        <v>55904</v>
      </c>
    </row>
    <row r="2631" spans="1:8" x14ac:dyDescent="0.35">
      <c r="A2631" s="77">
        <v>45383</v>
      </c>
      <c r="B2631" s="3" t="s">
        <v>151</v>
      </c>
      <c r="C2631" s="4" t="s">
        <v>152</v>
      </c>
      <c r="D2631" s="4" t="s">
        <v>314</v>
      </c>
      <c r="E2631" s="4" t="s">
        <v>288</v>
      </c>
      <c r="F2631" t="s">
        <v>318</v>
      </c>
      <c r="G2631" t="s">
        <v>217</v>
      </c>
      <c r="H2631">
        <f>VLOOKUP(C2631,'TB Apr 24'!$B$13:$AT$103,45,0)</f>
        <v>6505</v>
      </c>
    </row>
    <row r="2632" spans="1:8" x14ac:dyDescent="0.35">
      <c r="A2632" s="77">
        <v>45383</v>
      </c>
      <c r="B2632" s="3" t="s">
        <v>153</v>
      </c>
      <c r="C2632" s="4" t="s">
        <v>154</v>
      </c>
      <c r="D2632" s="4" t="s">
        <v>314</v>
      </c>
      <c r="E2632" s="4" t="s">
        <v>288</v>
      </c>
      <c r="F2632" t="s">
        <v>318</v>
      </c>
      <c r="G2632" t="s">
        <v>217</v>
      </c>
      <c r="H2632">
        <f>VLOOKUP(C2632,'TB Apr 24'!$B$13:$AT$103,45,0)</f>
        <v>30668</v>
      </c>
    </row>
    <row r="2633" spans="1:8" x14ac:dyDescent="0.35">
      <c r="A2633" s="77">
        <v>45383</v>
      </c>
      <c r="B2633" s="3" t="s">
        <v>155</v>
      </c>
      <c r="C2633" s="4" t="s">
        <v>156</v>
      </c>
      <c r="D2633" s="4" t="s">
        <v>314</v>
      </c>
      <c r="E2633" s="4" t="s">
        <v>288</v>
      </c>
      <c r="F2633" t="s">
        <v>318</v>
      </c>
      <c r="G2633" t="s">
        <v>217</v>
      </c>
      <c r="H2633">
        <f>VLOOKUP(C2633,'TB Apr 24'!$B$13:$AT$103,45,0)</f>
        <v>1276</v>
      </c>
    </row>
    <row r="2634" spans="1:8" x14ac:dyDescent="0.35">
      <c r="A2634" s="77">
        <v>45383</v>
      </c>
      <c r="B2634" s="3" t="s">
        <v>157</v>
      </c>
      <c r="C2634" s="4" t="s">
        <v>158</v>
      </c>
      <c r="D2634" s="4" t="s">
        <v>314</v>
      </c>
      <c r="E2634" s="4" t="s">
        <v>292</v>
      </c>
      <c r="F2634" t="s">
        <v>318</v>
      </c>
      <c r="G2634" t="s">
        <v>217</v>
      </c>
      <c r="H2634">
        <f>VLOOKUP(C2634,'TB Apr 24'!$B$13:$AT$103,45,0)</f>
        <v>0</v>
      </c>
    </row>
    <row r="2635" spans="1:8" x14ac:dyDescent="0.35">
      <c r="A2635" s="77">
        <v>45383</v>
      </c>
      <c r="B2635" s="3" t="s">
        <v>159</v>
      </c>
      <c r="C2635" s="4" t="s">
        <v>160</v>
      </c>
      <c r="D2635" s="4" t="s">
        <v>314</v>
      </c>
      <c r="E2635" s="4" t="s">
        <v>323</v>
      </c>
      <c r="F2635" t="s">
        <v>318</v>
      </c>
      <c r="G2635" t="s">
        <v>217</v>
      </c>
      <c r="H2635">
        <f>VLOOKUP(C2635,'TB Apr 24'!$B$13:$AT$103,45,0)</f>
        <v>0</v>
      </c>
    </row>
    <row r="2636" spans="1:8" x14ac:dyDescent="0.35">
      <c r="A2636" s="77">
        <v>45383</v>
      </c>
      <c r="B2636" s="3" t="s">
        <v>161</v>
      </c>
      <c r="C2636" s="4" t="s">
        <v>162</v>
      </c>
      <c r="D2636" s="4" t="s">
        <v>314</v>
      </c>
      <c r="E2636" s="4" t="s">
        <v>323</v>
      </c>
      <c r="F2636" t="s">
        <v>318</v>
      </c>
      <c r="G2636" t="s">
        <v>217</v>
      </c>
      <c r="H2636">
        <f>VLOOKUP(C2636,'TB Apr 24'!$B$13:$AT$103,45,0)</f>
        <v>0</v>
      </c>
    </row>
    <row r="2637" spans="1:8" x14ac:dyDescent="0.35">
      <c r="A2637" s="77">
        <v>45383</v>
      </c>
      <c r="B2637" s="3" t="s">
        <v>163</v>
      </c>
      <c r="C2637" s="4" t="s">
        <v>164</v>
      </c>
      <c r="D2637" s="4" t="s">
        <v>314</v>
      </c>
      <c r="E2637" s="4" t="s">
        <v>319</v>
      </c>
      <c r="F2637" t="s">
        <v>318</v>
      </c>
      <c r="G2637" t="s">
        <v>217</v>
      </c>
      <c r="H2637">
        <f>VLOOKUP(C2637,'TB Apr 24'!$B$13:$AT$103,45,0)</f>
        <v>0</v>
      </c>
    </row>
    <row r="2638" spans="1:8" x14ac:dyDescent="0.35">
      <c r="A2638" s="77">
        <v>45383</v>
      </c>
      <c r="B2638" s="3" t="s">
        <v>165</v>
      </c>
      <c r="C2638" s="4" t="s">
        <v>166</v>
      </c>
      <c r="D2638" s="4" t="s">
        <v>314</v>
      </c>
      <c r="E2638" s="4" t="s">
        <v>304</v>
      </c>
      <c r="F2638" t="s">
        <v>318</v>
      </c>
      <c r="G2638" t="s">
        <v>217</v>
      </c>
      <c r="H2638">
        <f>VLOOKUP(C2638,'TB Apr 24'!$B$13:$AT$103,45,0)</f>
        <v>15402</v>
      </c>
    </row>
    <row r="2639" spans="1:8" x14ac:dyDescent="0.35">
      <c r="A2639" s="77">
        <v>45383</v>
      </c>
      <c r="B2639" s="3" t="s">
        <v>167</v>
      </c>
      <c r="C2639" s="4" t="s">
        <v>168</v>
      </c>
      <c r="D2639" s="4" t="s">
        <v>314</v>
      </c>
      <c r="E2639" s="4" t="s">
        <v>322</v>
      </c>
      <c r="F2639" t="s">
        <v>318</v>
      </c>
      <c r="G2639" t="s">
        <v>217</v>
      </c>
      <c r="H2639">
        <f>VLOOKUP(C2639,'TB Apr 24'!$B$13:$AT$103,45,0)</f>
        <v>9779</v>
      </c>
    </row>
    <row r="2640" spans="1:8" x14ac:dyDescent="0.35">
      <c r="A2640" s="77">
        <v>45383</v>
      </c>
      <c r="B2640" s="3" t="s">
        <v>169</v>
      </c>
      <c r="C2640" s="4" t="s">
        <v>170</v>
      </c>
      <c r="D2640" s="4" t="s">
        <v>314</v>
      </c>
      <c r="E2640" s="4" t="s">
        <v>304</v>
      </c>
      <c r="F2640" t="s">
        <v>318</v>
      </c>
      <c r="G2640" t="s">
        <v>217</v>
      </c>
      <c r="H2640">
        <f>VLOOKUP(C2640,'TB Apr 24'!$B$13:$AT$103,45,0)</f>
        <v>35401</v>
      </c>
    </row>
    <row r="2641" spans="1:8" x14ac:dyDescent="0.35">
      <c r="A2641" s="77">
        <v>45383</v>
      </c>
      <c r="B2641" s="3" t="s">
        <v>171</v>
      </c>
      <c r="C2641" s="4" t="s">
        <v>172</v>
      </c>
      <c r="D2641" s="4" t="s">
        <v>314</v>
      </c>
      <c r="E2641" s="4" t="s">
        <v>303</v>
      </c>
      <c r="F2641" t="s">
        <v>318</v>
      </c>
      <c r="G2641" t="s">
        <v>217</v>
      </c>
      <c r="H2641">
        <f>VLOOKUP(C2641,'TB Apr 24'!$B$13:$AT$103,45,0)</f>
        <v>0</v>
      </c>
    </row>
    <row r="2642" spans="1:8" x14ac:dyDescent="0.35">
      <c r="A2642" s="77">
        <v>45383</v>
      </c>
      <c r="B2642" s="3" t="s">
        <v>173</v>
      </c>
      <c r="C2642" s="4" t="s">
        <v>174</v>
      </c>
      <c r="D2642" s="4" t="s">
        <v>314</v>
      </c>
      <c r="E2642" s="4" t="s">
        <v>257</v>
      </c>
      <c r="F2642" t="s">
        <v>318</v>
      </c>
      <c r="G2642" t="s">
        <v>217</v>
      </c>
      <c r="H2642">
        <f>VLOOKUP(C2642,'TB Apr 24'!$B$13:$AT$103,45,0)</f>
        <v>0</v>
      </c>
    </row>
    <row r="2643" spans="1:8" x14ac:dyDescent="0.35">
      <c r="A2643" s="77">
        <v>45383</v>
      </c>
      <c r="B2643" s="3" t="s">
        <v>175</v>
      </c>
      <c r="C2643" s="4" t="s">
        <v>176</v>
      </c>
      <c r="D2643" s="4" t="s">
        <v>314</v>
      </c>
      <c r="E2643" s="4" t="s">
        <v>257</v>
      </c>
      <c r="F2643" t="s">
        <v>318</v>
      </c>
      <c r="G2643" t="s">
        <v>217</v>
      </c>
      <c r="H2643">
        <f>VLOOKUP(C2643,'TB Apr 24'!$B$13:$AT$103,45,0)</f>
        <v>0</v>
      </c>
    </row>
    <row r="2644" spans="1:8" x14ac:dyDescent="0.35">
      <c r="A2644" s="77">
        <v>45383</v>
      </c>
      <c r="B2644" s="3" t="s">
        <v>177</v>
      </c>
      <c r="C2644" s="4" t="s">
        <v>178</v>
      </c>
      <c r="D2644" s="4" t="s">
        <v>314</v>
      </c>
      <c r="E2644" s="4" t="s">
        <v>257</v>
      </c>
      <c r="F2644" t="s">
        <v>318</v>
      </c>
      <c r="G2644" t="s">
        <v>217</v>
      </c>
      <c r="H2644">
        <f>VLOOKUP(C2644,'TB Apr 24'!$B$13:$AT$103,45,0)</f>
        <v>0</v>
      </c>
    </row>
    <row r="2645" spans="1:8" x14ac:dyDescent="0.35">
      <c r="A2645" s="77">
        <v>45383</v>
      </c>
      <c r="B2645" s="3" t="s">
        <v>179</v>
      </c>
      <c r="C2645" s="4" t="s">
        <v>180</v>
      </c>
      <c r="D2645" s="4" t="s">
        <v>314</v>
      </c>
      <c r="E2645" s="4" t="s">
        <v>322</v>
      </c>
      <c r="F2645" t="s">
        <v>318</v>
      </c>
      <c r="G2645" t="s">
        <v>217</v>
      </c>
      <c r="H2645">
        <f>VLOOKUP(C2645,'TB Apr 24'!$B$13:$AT$103,45,0)</f>
        <v>480</v>
      </c>
    </row>
    <row r="2646" spans="1:8" x14ac:dyDescent="0.35">
      <c r="A2646" s="77">
        <v>45383</v>
      </c>
      <c r="B2646" s="3" t="s">
        <v>181</v>
      </c>
      <c r="C2646" s="4" t="s">
        <v>182</v>
      </c>
      <c r="D2646" s="4" t="s">
        <v>314</v>
      </c>
      <c r="E2646" s="4" t="s">
        <v>290</v>
      </c>
      <c r="F2646" t="s">
        <v>318</v>
      </c>
      <c r="G2646" t="s">
        <v>217</v>
      </c>
      <c r="H2646">
        <f>VLOOKUP(C2646,'TB Apr 24'!$B$13:$AT$103,45,0)</f>
        <v>2638</v>
      </c>
    </row>
    <row r="2647" spans="1:8" x14ac:dyDescent="0.35">
      <c r="A2647" s="77">
        <v>45383</v>
      </c>
      <c r="B2647" s="3" t="s">
        <v>183</v>
      </c>
      <c r="C2647" s="4" t="s">
        <v>184</v>
      </c>
      <c r="D2647" s="4" t="s">
        <v>314</v>
      </c>
      <c r="E2647" s="4" t="s">
        <v>290</v>
      </c>
      <c r="F2647" t="s">
        <v>318</v>
      </c>
      <c r="G2647" t="s">
        <v>217</v>
      </c>
      <c r="H2647">
        <f>VLOOKUP(C2647,'TB Apr 24'!$B$13:$AT$103,45,0)</f>
        <v>0</v>
      </c>
    </row>
    <row r="2648" spans="1:8" x14ac:dyDescent="0.35">
      <c r="A2648" s="77">
        <v>45383</v>
      </c>
      <c r="B2648" s="3" t="s">
        <v>185</v>
      </c>
      <c r="C2648" s="4" t="s">
        <v>186</v>
      </c>
      <c r="D2648" s="4" t="s">
        <v>314</v>
      </c>
      <c r="E2648" s="4" t="s">
        <v>290</v>
      </c>
      <c r="F2648" t="s">
        <v>318</v>
      </c>
      <c r="G2648" t="s">
        <v>217</v>
      </c>
      <c r="H2648">
        <f>VLOOKUP(C2648,'TB Apr 24'!$B$13:$AT$103,45,0)</f>
        <v>47700</v>
      </c>
    </row>
    <row r="2649" spans="1:8" x14ac:dyDescent="0.35">
      <c r="A2649" s="77">
        <v>45383</v>
      </c>
      <c r="B2649" s="3" t="s">
        <v>187</v>
      </c>
      <c r="C2649" s="4" t="s">
        <v>188</v>
      </c>
      <c r="D2649" s="4" t="s">
        <v>314</v>
      </c>
      <c r="E2649" s="4" t="s">
        <v>291</v>
      </c>
      <c r="F2649" t="s">
        <v>318</v>
      </c>
      <c r="G2649" t="s">
        <v>217</v>
      </c>
      <c r="H2649">
        <f>VLOOKUP(C2649,'TB Apr 24'!$B$13:$AT$103,45,0)</f>
        <v>52453.760133333315</v>
      </c>
    </row>
    <row r="2650" spans="1:8" x14ac:dyDescent="0.35">
      <c r="A2650" s="77">
        <v>45383</v>
      </c>
      <c r="B2650" s="3" t="s">
        <v>189</v>
      </c>
      <c r="C2650" s="4" t="s">
        <v>190</v>
      </c>
      <c r="D2650" s="4" t="s">
        <v>314</v>
      </c>
      <c r="E2650" s="4" t="s">
        <v>254</v>
      </c>
      <c r="F2650" t="s">
        <v>318</v>
      </c>
      <c r="G2650" t="s">
        <v>217</v>
      </c>
      <c r="H2650">
        <f>VLOOKUP(C2650,'TB Apr 24'!$B$13:$AT$103,45,0)</f>
        <v>0</v>
      </c>
    </row>
    <row r="2651" spans="1:8" x14ac:dyDescent="0.35">
      <c r="A2651" s="77">
        <v>45383</v>
      </c>
      <c r="B2651" s="3" t="s">
        <v>191</v>
      </c>
      <c r="C2651" s="4" t="s">
        <v>192</v>
      </c>
      <c r="D2651" s="4" t="s">
        <v>314</v>
      </c>
      <c r="E2651" s="4" t="s">
        <v>254</v>
      </c>
      <c r="F2651" t="s">
        <v>318</v>
      </c>
      <c r="G2651" t="s">
        <v>217</v>
      </c>
      <c r="H2651">
        <f>VLOOKUP(C2651,'TB Apr 24'!$B$13:$AT$103,45,0)</f>
        <v>0</v>
      </c>
    </row>
    <row r="2652" spans="1:8" x14ac:dyDescent="0.35">
      <c r="A2652" s="77">
        <v>45383</v>
      </c>
      <c r="B2652" s="3" t="s">
        <v>193</v>
      </c>
      <c r="C2652" s="4" t="s">
        <v>194</v>
      </c>
      <c r="D2652" s="4" t="s">
        <v>314</v>
      </c>
      <c r="E2652" s="4" t="s">
        <v>254</v>
      </c>
      <c r="F2652" t="s">
        <v>318</v>
      </c>
      <c r="G2652" t="s">
        <v>217</v>
      </c>
      <c r="H2652">
        <f>VLOOKUP(C2652,'TB Apr 24'!$B$13:$AT$103,45,0)</f>
        <v>399836</v>
      </c>
    </row>
    <row r="2653" spans="1:8" x14ac:dyDescent="0.35">
      <c r="A2653" s="77">
        <v>45383</v>
      </c>
      <c r="B2653" s="3" t="s">
        <v>195</v>
      </c>
      <c r="C2653" s="4" t="s">
        <v>196</v>
      </c>
      <c r="D2653" s="4" t="s">
        <v>314</v>
      </c>
      <c r="E2653" s="4" t="s">
        <v>255</v>
      </c>
      <c r="F2653" t="s">
        <v>318</v>
      </c>
      <c r="G2653" t="s">
        <v>217</v>
      </c>
      <c r="H2653">
        <f>VLOOKUP(C2653,'TB Apr 24'!$B$13:$AT$103,45,0)</f>
        <v>0</v>
      </c>
    </row>
    <row r="2654" spans="1:8" x14ac:dyDescent="0.35">
      <c r="A2654" s="77">
        <v>45383</v>
      </c>
      <c r="B2654" s="3" t="s">
        <v>197</v>
      </c>
      <c r="C2654" s="4" t="s">
        <v>198</v>
      </c>
      <c r="D2654" s="4" t="s">
        <v>314</v>
      </c>
      <c r="E2654" s="4" t="s">
        <v>255</v>
      </c>
      <c r="F2654" t="s">
        <v>318</v>
      </c>
      <c r="G2654" t="s">
        <v>217</v>
      </c>
      <c r="H2654">
        <f>VLOOKUP(C2654,'TB Apr 24'!$B$13:$AT$103,45,0)</f>
        <v>0</v>
      </c>
    </row>
    <row r="2655" spans="1:8" x14ac:dyDescent="0.35">
      <c r="A2655" s="77">
        <v>45383</v>
      </c>
      <c r="B2655" s="3" t="s">
        <v>199</v>
      </c>
      <c r="C2655" s="4" t="s">
        <v>200</v>
      </c>
      <c r="D2655" s="4" t="s">
        <v>314</v>
      </c>
      <c r="E2655" s="4" t="s">
        <v>254</v>
      </c>
      <c r="F2655" t="s">
        <v>318</v>
      </c>
      <c r="G2655" t="s">
        <v>217</v>
      </c>
      <c r="H2655">
        <f>VLOOKUP(C2655,'TB Apr 24'!$B$13:$AT$103,45,0)</f>
        <v>0</v>
      </c>
    </row>
    <row r="2656" spans="1:8" x14ac:dyDescent="0.35">
      <c r="A2656" s="77">
        <v>45383</v>
      </c>
      <c r="B2656" s="3" t="s">
        <v>201</v>
      </c>
      <c r="C2656" s="4" t="s">
        <v>202</v>
      </c>
      <c r="D2656" s="4" t="s">
        <v>314</v>
      </c>
      <c r="E2656" s="4" t="s">
        <v>254</v>
      </c>
      <c r="F2656" t="s">
        <v>318</v>
      </c>
      <c r="G2656" t="s">
        <v>217</v>
      </c>
      <c r="H2656">
        <f>VLOOKUP(C2656,'TB Apr 24'!$B$13:$AT$103,45,0)</f>
        <v>0</v>
      </c>
    </row>
    <row r="2657" spans="1:8" x14ac:dyDescent="0.35">
      <c r="A2657" s="77">
        <v>45383</v>
      </c>
      <c r="B2657" s="3" t="s">
        <v>203</v>
      </c>
      <c r="C2657" s="4" t="s">
        <v>204</v>
      </c>
      <c r="D2657" s="4" t="s">
        <v>314</v>
      </c>
      <c r="E2657" s="4" t="s">
        <v>256</v>
      </c>
      <c r="F2657" t="s">
        <v>318</v>
      </c>
      <c r="G2657" t="s">
        <v>217</v>
      </c>
      <c r="H2657">
        <f>VLOOKUP(C2657,'TB Apr 24'!$B$13:$AT$103,45,0)</f>
        <v>68389</v>
      </c>
    </row>
    <row r="2658" spans="1:8" x14ac:dyDescent="0.35">
      <c r="A2658" s="77">
        <v>45383</v>
      </c>
      <c r="B2658" s="3" t="s">
        <v>205</v>
      </c>
      <c r="C2658" s="6" t="s">
        <v>206</v>
      </c>
      <c r="D2658" s="4" t="s">
        <v>314</v>
      </c>
      <c r="E2658" s="6" t="s">
        <v>322</v>
      </c>
      <c r="F2658" s="79" t="s">
        <v>318</v>
      </c>
      <c r="G2658" s="79" t="s">
        <v>217</v>
      </c>
      <c r="H2658" s="79">
        <f>VLOOKUP(C2658,'TB Apr 24'!$B$13:$AT$103,45,0)</f>
        <v>0</v>
      </c>
    </row>
    <row r="2659" spans="1:8" x14ac:dyDescent="0.35">
      <c r="A2659" s="77">
        <v>45383</v>
      </c>
      <c r="B2659" s="3" t="s">
        <v>57</v>
      </c>
      <c r="C2659" s="4" t="s">
        <v>58</v>
      </c>
      <c r="D2659" s="4" t="s">
        <v>314</v>
      </c>
      <c r="E2659" s="4" t="s">
        <v>253</v>
      </c>
      <c r="F2659" t="s">
        <v>318</v>
      </c>
      <c r="G2659" t="s">
        <v>221</v>
      </c>
      <c r="H2659">
        <f>VLOOKUP(C2659,'TB Apr 24'!$B$13:$AV$103,47,0)</f>
        <v>0</v>
      </c>
    </row>
    <row r="2660" spans="1:8" x14ac:dyDescent="0.35">
      <c r="A2660" s="77">
        <v>45383</v>
      </c>
      <c r="B2660" s="3" t="s">
        <v>307</v>
      </c>
      <c r="C2660" s="4" t="s">
        <v>308</v>
      </c>
      <c r="D2660" s="4" t="s">
        <v>314</v>
      </c>
      <c r="E2660" s="4" t="s">
        <v>253</v>
      </c>
      <c r="F2660" t="s">
        <v>318</v>
      </c>
      <c r="G2660" t="s">
        <v>221</v>
      </c>
      <c r="H2660">
        <f>VLOOKUP(C2660,'TB Apr 24'!$B$13:$AV$103,47,0)</f>
        <v>0</v>
      </c>
    </row>
    <row r="2661" spans="1:8" x14ac:dyDescent="0.35">
      <c r="A2661" s="77">
        <v>45383</v>
      </c>
      <c r="B2661" s="3" t="s">
        <v>59</v>
      </c>
      <c r="C2661" s="4" t="s">
        <v>60</v>
      </c>
      <c r="D2661" s="4" t="s">
        <v>314</v>
      </c>
      <c r="E2661" s="4" t="s">
        <v>253</v>
      </c>
      <c r="F2661" t="s">
        <v>318</v>
      </c>
      <c r="G2661" t="s">
        <v>221</v>
      </c>
      <c r="H2661">
        <f>VLOOKUP(C2661,'TB Apr 24'!$B$13:$AV$103,47,0)</f>
        <v>-12.02</v>
      </c>
    </row>
    <row r="2662" spans="1:8" x14ac:dyDescent="0.35">
      <c r="A2662" s="77">
        <v>45383</v>
      </c>
      <c r="B2662" s="3" t="s">
        <v>61</v>
      </c>
      <c r="C2662" s="4" t="s">
        <v>62</v>
      </c>
      <c r="D2662" s="4" t="s">
        <v>314</v>
      </c>
      <c r="E2662" s="4" t="s">
        <v>66</v>
      </c>
      <c r="F2662" t="s">
        <v>318</v>
      </c>
      <c r="G2662" t="s">
        <v>221</v>
      </c>
      <c r="H2662">
        <f>VLOOKUP(C2662,'TB Apr 24'!$B$13:$AV$103,47,0)</f>
        <v>-8240.01</v>
      </c>
    </row>
    <row r="2663" spans="1:8" x14ac:dyDescent="0.35">
      <c r="A2663" s="77">
        <v>45383</v>
      </c>
      <c r="B2663" s="3" t="s">
        <v>63</v>
      </c>
      <c r="C2663" s="4" t="s">
        <v>64</v>
      </c>
      <c r="D2663" s="4" t="s">
        <v>314</v>
      </c>
      <c r="E2663" s="4" t="s">
        <v>252</v>
      </c>
      <c r="F2663" t="s">
        <v>318</v>
      </c>
      <c r="G2663" t="s">
        <v>221</v>
      </c>
      <c r="H2663">
        <f>VLOOKUP(C2663,'TB Apr 24'!$B$13:$AV$103,47,0)</f>
        <v>0</v>
      </c>
    </row>
    <row r="2664" spans="1:8" x14ac:dyDescent="0.35">
      <c r="A2664" s="77">
        <v>45383</v>
      </c>
      <c r="B2664" s="3" t="s">
        <v>65</v>
      </c>
      <c r="C2664" s="4" t="s">
        <v>66</v>
      </c>
      <c r="D2664" s="4" t="s">
        <v>314</v>
      </c>
      <c r="E2664" s="4" t="s">
        <v>66</v>
      </c>
      <c r="F2664" t="s">
        <v>318</v>
      </c>
      <c r="G2664" t="s">
        <v>221</v>
      </c>
      <c r="H2664">
        <f>VLOOKUP(C2664,'TB Apr 24'!$B$13:$AV$103,47,0)</f>
        <v>-878847.38</v>
      </c>
    </row>
    <row r="2665" spans="1:8" x14ac:dyDescent="0.35">
      <c r="A2665" s="77">
        <v>45383</v>
      </c>
      <c r="B2665" s="3" t="s">
        <v>67</v>
      </c>
      <c r="C2665" s="4" t="s">
        <v>68</v>
      </c>
      <c r="D2665" s="4" t="s">
        <v>314</v>
      </c>
      <c r="E2665" s="4" t="s">
        <v>252</v>
      </c>
      <c r="F2665" t="s">
        <v>318</v>
      </c>
      <c r="G2665" t="s">
        <v>221</v>
      </c>
      <c r="H2665">
        <f>VLOOKUP(C2665,'TB Apr 24'!$B$13:$AV$103,47,0)</f>
        <v>-125820.44</v>
      </c>
    </row>
    <row r="2666" spans="1:8" x14ac:dyDescent="0.35">
      <c r="A2666" s="77">
        <v>45383</v>
      </c>
      <c r="B2666" s="3" t="s">
        <v>69</v>
      </c>
      <c r="C2666" s="4" t="s">
        <v>70</v>
      </c>
      <c r="D2666" s="4" t="s">
        <v>314</v>
      </c>
      <c r="E2666" s="4" t="s">
        <v>70</v>
      </c>
      <c r="F2666" t="s">
        <v>318</v>
      </c>
      <c r="G2666" t="s">
        <v>221</v>
      </c>
      <c r="H2666">
        <f>VLOOKUP(C2666,'TB Apr 24'!$B$13:$AV$103,47,0)</f>
        <v>-952915.24</v>
      </c>
    </row>
    <row r="2667" spans="1:8" x14ac:dyDescent="0.35">
      <c r="A2667" s="77">
        <v>45383</v>
      </c>
      <c r="B2667" s="3" t="s">
        <v>71</v>
      </c>
      <c r="C2667" s="4" t="s">
        <v>72</v>
      </c>
      <c r="D2667" s="4" t="s">
        <v>314</v>
      </c>
      <c r="E2667" s="4" t="s">
        <v>253</v>
      </c>
      <c r="F2667" t="s">
        <v>318</v>
      </c>
      <c r="G2667" t="s">
        <v>221</v>
      </c>
      <c r="H2667">
        <f>VLOOKUP(C2667,'TB Apr 24'!$B$13:$AV$103,47,0)</f>
        <v>0</v>
      </c>
    </row>
    <row r="2668" spans="1:8" x14ac:dyDescent="0.35">
      <c r="A2668" s="77">
        <v>45383</v>
      </c>
      <c r="B2668" s="3" t="s">
        <v>73</v>
      </c>
      <c r="C2668" s="4" t="s">
        <v>74</v>
      </c>
      <c r="D2668" s="4" t="s">
        <v>314</v>
      </c>
      <c r="E2668" s="4" t="s">
        <v>253</v>
      </c>
      <c r="F2668" t="s">
        <v>318</v>
      </c>
      <c r="G2668" t="s">
        <v>221</v>
      </c>
      <c r="H2668">
        <f>VLOOKUP(C2668,'TB Apr 24'!$B$13:$AV$103,47,0)</f>
        <v>-472.32</v>
      </c>
    </row>
    <row r="2669" spans="1:8" x14ac:dyDescent="0.35">
      <c r="A2669" s="77">
        <v>45383</v>
      </c>
      <c r="B2669" s="3" t="s">
        <v>75</v>
      </c>
      <c r="C2669" s="4" t="s">
        <v>76</v>
      </c>
      <c r="D2669" s="4" t="s">
        <v>314</v>
      </c>
      <c r="E2669" s="4" t="s">
        <v>253</v>
      </c>
      <c r="F2669" t="s">
        <v>318</v>
      </c>
      <c r="G2669" t="s">
        <v>221</v>
      </c>
      <c r="H2669">
        <f>VLOOKUP(C2669,'TB Apr 24'!$B$13:$AV$103,47,0)</f>
        <v>0</v>
      </c>
    </row>
    <row r="2670" spans="1:8" x14ac:dyDescent="0.35">
      <c r="A2670" s="77">
        <v>45383</v>
      </c>
      <c r="B2670" s="3" t="s">
        <v>77</v>
      </c>
      <c r="C2670" s="4" t="s">
        <v>78</v>
      </c>
      <c r="D2670" s="4" t="s">
        <v>314</v>
      </c>
      <c r="E2670" s="4" t="s">
        <v>253</v>
      </c>
      <c r="F2670" t="s">
        <v>318</v>
      </c>
      <c r="G2670" t="s">
        <v>221</v>
      </c>
      <c r="H2670">
        <f>VLOOKUP(C2670,'TB Apr 24'!$B$13:$AV$103,47,0)</f>
        <v>23890.57</v>
      </c>
    </row>
    <row r="2671" spans="1:8" x14ac:dyDescent="0.35">
      <c r="A2671" s="77">
        <v>45383</v>
      </c>
      <c r="B2671" s="3" t="s">
        <v>79</v>
      </c>
      <c r="C2671" s="4" t="s">
        <v>80</v>
      </c>
      <c r="D2671" s="4" t="s">
        <v>314</v>
      </c>
      <c r="E2671" s="4" t="s">
        <v>253</v>
      </c>
      <c r="F2671" t="s">
        <v>318</v>
      </c>
      <c r="G2671" t="s">
        <v>221</v>
      </c>
      <c r="H2671">
        <f>VLOOKUP(C2671,'TB Apr 24'!$B$13:$AV$103,47,0)</f>
        <v>-66359.81</v>
      </c>
    </row>
    <row r="2672" spans="1:8" x14ac:dyDescent="0.35">
      <c r="A2672" s="77">
        <v>45383</v>
      </c>
      <c r="B2672" s="3" t="s">
        <v>81</v>
      </c>
      <c r="C2672" s="4" t="s">
        <v>82</v>
      </c>
      <c r="D2672" s="4" t="s">
        <v>314</v>
      </c>
      <c r="E2672" s="4" t="s">
        <v>319</v>
      </c>
      <c r="F2672" t="s">
        <v>318</v>
      </c>
      <c r="G2672" t="s">
        <v>221</v>
      </c>
      <c r="H2672">
        <f>VLOOKUP(C2672,'TB Apr 24'!$B$13:$AV$103,47,0)</f>
        <v>0</v>
      </c>
    </row>
    <row r="2673" spans="1:8" x14ac:dyDescent="0.35">
      <c r="A2673" s="77">
        <v>45383</v>
      </c>
      <c r="B2673" s="3" t="s">
        <v>83</v>
      </c>
      <c r="C2673" s="4" t="s">
        <v>84</v>
      </c>
      <c r="D2673" s="4" t="s">
        <v>314</v>
      </c>
      <c r="E2673" s="4" t="s">
        <v>319</v>
      </c>
      <c r="F2673" t="s">
        <v>318</v>
      </c>
      <c r="G2673" t="s">
        <v>221</v>
      </c>
      <c r="H2673">
        <f>VLOOKUP(C2673,'TB Apr 24'!$B$13:$AV$103,47,0)</f>
        <v>0</v>
      </c>
    </row>
    <row r="2674" spans="1:8" x14ac:dyDescent="0.35">
      <c r="A2674" s="77">
        <v>45383</v>
      </c>
      <c r="B2674" s="3" t="s">
        <v>85</v>
      </c>
      <c r="C2674" s="4" t="s">
        <v>86</v>
      </c>
      <c r="D2674" s="4" t="s">
        <v>314</v>
      </c>
      <c r="E2674" s="4" t="s">
        <v>291</v>
      </c>
      <c r="F2674" t="s">
        <v>318</v>
      </c>
      <c r="G2674" t="s">
        <v>221</v>
      </c>
      <c r="H2674">
        <f>VLOOKUP(C2674,'TB Apr 24'!$B$13:$AV$103,47,0)</f>
        <v>0</v>
      </c>
    </row>
    <row r="2675" spans="1:8" x14ac:dyDescent="0.35">
      <c r="A2675" s="77">
        <v>45383</v>
      </c>
      <c r="B2675" s="3" t="s">
        <v>88</v>
      </c>
      <c r="C2675" s="4" t="s">
        <v>89</v>
      </c>
      <c r="D2675" s="4" t="s">
        <v>314</v>
      </c>
      <c r="E2675" s="4" t="s">
        <v>300</v>
      </c>
      <c r="F2675" t="s">
        <v>318</v>
      </c>
      <c r="G2675" t="s">
        <v>221</v>
      </c>
      <c r="H2675">
        <f>VLOOKUP(C2675,'TB Apr 24'!$B$13:$AV$103,47,0)</f>
        <v>0</v>
      </c>
    </row>
    <row r="2676" spans="1:8" x14ac:dyDescent="0.35">
      <c r="A2676" s="77">
        <v>45383</v>
      </c>
      <c r="B2676" s="3" t="s">
        <v>90</v>
      </c>
      <c r="C2676" s="4" t="s">
        <v>91</v>
      </c>
      <c r="D2676" s="4" t="s">
        <v>314</v>
      </c>
      <c r="E2676" s="4" t="s">
        <v>300</v>
      </c>
      <c r="F2676" t="s">
        <v>318</v>
      </c>
      <c r="G2676" t="s">
        <v>221</v>
      </c>
      <c r="H2676">
        <f>VLOOKUP(C2676,'TB Apr 24'!$B$13:$AV$103,47,0)</f>
        <v>30830</v>
      </c>
    </row>
    <row r="2677" spans="1:8" x14ac:dyDescent="0.35">
      <c r="A2677" s="77">
        <v>45383</v>
      </c>
      <c r="B2677" s="3" t="s">
        <v>92</v>
      </c>
      <c r="C2677" s="4" t="s">
        <v>93</v>
      </c>
      <c r="D2677" s="4" t="s">
        <v>314</v>
      </c>
      <c r="E2677" s="4" t="s">
        <v>300</v>
      </c>
      <c r="F2677" t="s">
        <v>318</v>
      </c>
      <c r="G2677" t="s">
        <v>221</v>
      </c>
      <c r="H2677">
        <f>VLOOKUP(C2677,'TB Apr 24'!$B$13:$AV$103,47,0)</f>
        <v>9000</v>
      </c>
    </row>
    <row r="2678" spans="1:8" x14ac:dyDescent="0.35">
      <c r="A2678" s="77">
        <v>45383</v>
      </c>
      <c r="B2678" s="3" t="s">
        <v>94</v>
      </c>
      <c r="C2678" s="4" t="s">
        <v>95</v>
      </c>
      <c r="D2678" s="4" t="s">
        <v>314</v>
      </c>
      <c r="E2678" s="4" t="s">
        <v>289</v>
      </c>
      <c r="F2678" t="s">
        <v>318</v>
      </c>
      <c r="G2678" t="s">
        <v>221</v>
      </c>
      <c r="H2678">
        <f>VLOOKUP(C2678,'TB Apr 24'!$B$13:$AV$103,47,0)</f>
        <v>670765.25</v>
      </c>
    </row>
    <row r="2679" spans="1:8" x14ac:dyDescent="0.35">
      <c r="A2679" s="77">
        <v>45383</v>
      </c>
      <c r="B2679" s="3" t="s">
        <v>96</v>
      </c>
      <c r="C2679" s="4" t="s">
        <v>97</v>
      </c>
      <c r="D2679" s="4" t="s">
        <v>314</v>
      </c>
      <c r="E2679" s="4" t="s">
        <v>289</v>
      </c>
      <c r="F2679" t="s">
        <v>318</v>
      </c>
      <c r="G2679" t="s">
        <v>221</v>
      </c>
      <c r="H2679">
        <f>VLOOKUP(C2679,'TB Apr 24'!$B$13:$AV$103,47,0)</f>
        <v>0</v>
      </c>
    </row>
    <row r="2680" spans="1:8" x14ac:dyDescent="0.35">
      <c r="A2680" s="77">
        <v>45383</v>
      </c>
      <c r="B2680" s="3" t="s">
        <v>309</v>
      </c>
      <c r="C2680" s="4" t="s">
        <v>310</v>
      </c>
      <c r="D2680" s="4" t="s">
        <v>314</v>
      </c>
      <c r="E2680" s="4" t="s">
        <v>289</v>
      </c>
      <c r="F2680" t="s">
        <v>318</v>
      </c>
      <c r="G2680" t="s">
        <v>221</v>
      </c>
      <c r="H2680">
        <f>VLOOKUP(C2680,'TB Apr 24'!$B$13:$AV$103,47,0)</f>
        <v>0</v>
      </c>
    </row>
    <row r="2681" spans="1:8" x14ac:dyDescent="0.35">
      <c r="A2681" s="77">
        <v>45383</v>
      </c>
      <c r="B2681" s="3" t="s">
        <v>98</v>
      </c>
      <c r="C2681" s="4" t="s">
        <v>99</v>
      </c>
      <c r="D2681" s="4" t="s">
        <v>314</v>
      </c>
      <c r="E2681" s="4" t="s">
        <v>289</v>
      </c>
      <c r="F2681" t="s">
        <v>318</v>
      </c>
      <c r="G2681" t="s">
        <v>221</v>
      </c>
      <c r="H2681">
        <f>VLOOKUP(C2681,'TB Apr 24'!$B$13:$AV$103,47,0)</f>
        <v>0</v>
      </c>
    </row>
    <row r="2682" spans="1:8" x14ac:dyDescent="0.35">
      <c r="A2682" s="77">
        <v>45383</v>
      </c>
      <c r="B2682" s="3" t="s">
        <v>100</v>
      </c>
      <c r="C2682" s="4" t="s">
        <v>101</v>
      </c>
      <c r="D2682" s="4" t="s">
        <v>314</v>
      </c>
      <c r="E2682" s="4" t="s">
        <v>291</v>
      </c>
      <c r="F2682" t="s">
        <v>318</v>
      </c>
      <c r="G2682" t="s">
        <v>221</v>
      </c>
      <c r="H2682">
        <f>VLOOKUP(C2682,'TB Apr 24'!$B$13:$AV$103,47,0)</f>
        <v>0</v>
      </c>
    </row>
    <row r="2683" spans="1:8" x14ac:dyDescent="0.35">
      <c r="A2683" s="77">
        <v>45383</v>
      </c>
      <c r="B2683" s="3" t="s">
        <v>102</v>
      </c>
      <c r="C2683" s="4" t="s">
        <v>103</v>
      </c>
      <c r="D2683" s="4" t="s">
        <v>314</v>
      </c>
      <c r="E2683" s="4" t="s">
        <v>291</v>
      </c>
      <c r="F2683" t="s">
        <v>318</v>
      </c>
      <c r="G2683" t="s">
        <v>221</v>
      </c>
      <c r="H2683">
        <f>VLOOKUP(C2683,'TB Apr 24'!$B$13:$AV$103,47,0)</f>
        <v>0</v>
      </c>
    </row>
    <row r="2684" spans="1:8" x14ac:dyDescent="0.35">
      <c r="A2684" s="77">
        <v>45383</v>
      </c>
      <c r="B2684" s="3" t="s">
        <v>104</v>
      </c>
      <c r="C2684" s="4" t="s">
        <v>105</v>
      </c>
      <c r="D2684" s="4" t="s">
        <v>314</v>
      </c>
      <c r="E2684" s="4" t="s">
        <v>291</v>
      </c>
      <c r="F2684" t="s">
        <v>318</v>
      </c>
      <c r="G2684" t="s">
        <v>221</v>
      </c>
      <c r="H2684">
        <f>VLOOKUP(C2684,'TB Apr 24'!$B$13:$AV$103,47,0)</f>
        <v>500</v>
      </c>
    </row>
    <row r="2685" spans="1:8" x14ac:dyDescent="0.35">
      <c r="A2685" s="77">
        <v>45383</v>
      </c>
      <c r="B2685" s="3" t="s">
        <v>106</v>
      </c>
      <c r="C2685" s="4" t="s">
        <v>107</v>
      </c>
      <c r="D2685" s="4" t="s">
        <v>314</v>
      </c>
      <c r="E2685" s="4" t="s">
        <v>321</v>
      </c>
      <c r="F2685" t="s">
        <v>318</v>
      </c>
      <c r="G2685" t="s">
        <v>221</v>
      </c>
      <c r="H2685">
        <f>VLOOKUP(C2685,'TB Apr 24'!$B$13:$AV$103,47,0)</f>
        <v>1198</v>
      </c>
    </row>
    <row r="2686" spans="1:8" x14ac:dyDescent="0.35">
      <c r="A2686" s="77">
        <v>45383</v>
      </c>
      <c r="B2686" s="3" t="s">
        <v>108</v>
      </c>
      <c r="C2686" s="4" t="s">
        <v>109</v>
      </c>
      <c r="D2686" s="4" t="s">
        <v>314</v>
      </c>
      <c r="E2686" s="4" t="s">
        <v>321</v>
      </c>
      <c r="F2686" t="s">
        <v>318</v>
      </c>
      <c r="G2686" t="s">
        <v>221</v>
      </c>
      <c r="H2686">
        <f>VLOOKUP(C2686,'TB Apr 24'!$B$13:$AV$103,47,0)</f>
        <v>0</v>
      </c>
    </row>
    <row r="2687" spans="1:8" x14ac:dyDescent="0.35">
      <c r="A2687" s="77">
        <v>45383</v>
      </c>
      <c r="B2687" s="3" t="s">
        <v>110</v>
      </c>
      <c r="C2687" s="4" t="s">
        <v>111</v>
      </c>
      <c r="D2687" s="4" t="s">
        <v>314</v>
      </c>
      <c r="E2687" s="4" t="s">
        <v>320</v>
      </c>
      <c r="F2687" t="s">
        <v>318</v>
      </c>
      <c r="G2687" t="s">
        <v>221</v>
      </c>
      <c r="H2687">
        <f>VLOOKUP(C2687,'TB Apr 24'!$B$13:$AV$103,47,0)</f>
        <v>0</v>
      </c>
    </row>
    <row r="2688" spans="1:8" x14ac:dyDescent="0.35">
      <c r="A2688" s="77">
        <v>45383</v>
      </c>
      <c r="B2688" s="3" t="s">
        <v>112</v>
      </c>
      <c r="C2688" s="4" t="s">
        <v>113</v>
      </c>
      <c r="D2688" s="4" t="s">
        <v>314</v>
      </c>
      <c r="E2688" s="4" t="s">
        <v>321</v>
      </c>
      <c r="F2688" t="s">
        <v>318</v>
      </c>
      <c r="G2688" t="s">
        <v>221</v>
      </c>
      <c r="H2688">
        <f>VLOOKUP(C2688,'TB Apr 24'!$B$13:$AV$103,47,0)</f>
        <v>0</v>
      </c>
    </row>
    <row r="2689" spans="1:8" x14ac:dyDescent="0.35">
      <c r="A2689" s="77">
        <v>45383</v>
      </c>
      <c r="B2689" s="3" t="s">
        <v>311</v>
      </c>
      <c r="C2689" s="4" t="s">
        <v>312</v>
      </c>
      <c r="D2689" s="4" t="s">
        <v>314</v>
      </c>
      <c r="E2689" s="4" t="s">
        <v>288</v>
      </c>
      <c r="F2689" t="s">
        <v>318</v>
      </c>
      <c r="G2689" t="s">
        <v>221</v>
      </c>
      <c r="H2689">
        <f>VLOOKUP(C2689,'TB Apr 24'!$B$13:$AV$103,47,0)</f>
        <v>0</v>
      </c>
    </row>
    <row r="2690" spans="1:8" x14ac:dyDescent="0.35">
      <c r="A2690" s="77">
        <v>45383</v>
      </c>
      <c r="B2690" s="3" t="s">
        <v>114</v>
      </c>
      <c r="C2690" s="4" t="s">
        <v>115</v>
      </c>
      <c r="D2690" s="4" t="s">
        <v>314</v>
      </c>
      <c r="E2690" s="4" t="s">
        <v>294</v>
      </c>
      <c r="F2690" t="s">
        <v>318</v>
      </c>
      <c r="G2690" t="s">
        <v>221</v>
      </c>
      <c r="H2690">
        <f>VLOOKUP(C2690,'TB Apr 24'!$B$13:$AV$103,47,0)</f>
        <v>0</v>
      </c>
    </row>
    <row r="2691" spans="1:8" x14ac:dyDescent="0.35">
      <c r="A2691" s="77">
        <v>45383</v>
      </c>
      <c r="B2691" s="3" t="s">
        <v>116</v>
      </c>
      <c r="C2691" s="4" t="s">
        <v>117</v>
      </c>
      <c r="D2691" s="4" t="s">
        <v>314</v>
      </c>
      <c r="E2691" s="4" t="s">
        <v>296</v>
      </c>
      <c r="F2691" t="s">
        <v>318</v>
      </c>
      <c r="G2691" t="s">
        <v>221</v>
      </c>
      <c r="H2691">
        <f>VLOOKUP(C2691,'TB Apr 24'!$B$13:$AV$103,47,0)</f>
        <v>0</v>
      </c>
    </row>
    <row r="2692" spans="1:8" x14ac:dyDescent="0.35">
      <c r="A2692" s="77">
        <v>45383</v>
      </c>
      <c r="B2692" s="3" t="s">
        <v>118</v>
      </c>
      <c r="C2692" s="4" t="s">
        <v>119</v>
      </c>
      <c r="D2692" s="4" t="s">
        <v>314</v>
      </c>
      <c r="E2692" s="4" t="s">
        <v>296</v>
      </c>
      <c r="F2692" t="s">
        <v>318</v>
      </c>
      <c r="G2692" t="s">
        <v>221</v>
      </c>
      <c r="H2692">
        <f>VLOOKUP(C2692,'TB Apr 24'!$B$13:$AV$103,47,0)</f>
        <v>28000</v>
      </c>
    </row>
    <row r="2693" spans="1:8" x14ac:dyDescent="0.35">
      <c r="A2693" s="77">
        <v>45383</v>
      </c>
      <c r="B2693" s="3" t="s">
        <v>120</v>
      </c>
      <c r="C2693" s="4" t="s">
        <v>121</v>
      </c>
      <c r="D2693" s="4" t="s">
        <v>314</v>
      </c>
      <c r="E2693" s="4" t="s">
        <v>322</v>
      </c>
      <c r="F2693" t="s">
        <v>318</v>
      </c>
      <c r="G2693" t="s">
        <v>221</v>
      </c>
      <c r="H2693">
        <f>VLOOKUP(C2693,'TB Apr 24'!$B$13:$AV$103,47,0)</f>
        <v>0</v>
      </c>
    </row>
    <row r="2694" spans="1:8" x14ac:dyDescent="0.35">
      <c r="A2694" s="77">
        <v>45383</v>
      </c>
      <c r="B2694" s="3" t="s">
        <v>122</v>
      </c>
      <c r="C2694" s="4" t="s">
        <v>123</v>
      </c>
      <c r="D2694" s="4" t="s">
        <v>314</v>
      </c>
      <c r="E2694" s="4" t="s">
        <v>322</v>
      </c>
      <c r="F2694" t="s">
        <v>318</v>
      </c>
      <c r="G2694" t="s">
        <v>221</v>
      </c>
      <c r="H2694">
        <f>VLOOKUP(C2694,'TB Apr 24'!$B$13:$AV$103,47,0)</f>
        <v>0</v>
      </c>
    </row>
    <row r="2695" spans="1:8" x14ac:dyDescent="0.35">
      <c r="A2695" s="77">
        <v>45383</v>
      </c>
      <c r="B2695" s="3" t="s">
        <v>124</v>
      </c>
      <c r="C2695" s="4" t="s">
        <v>125</v>
      </c>
      <c r="D2695" s="4" t="s">
        <v>314</v>
      </c>
      <c r="E2695" s="4" t="s">
        <v>322</v>
      </c>
      <c r="F2695" t="s">
        <v>318</v>
      </c>
      <c r="G2695" t="s">
        <v>221</v>
      </c>
      <c r="H2695">
        <f>VLOOKUP(C2695,'TB Apr 24'!$B$13:$AV$103,47,0)</f>
        <v>0</v>
      </c>
    </row>
    <row r="2696" spans="1:8" x14ac:dyDescent="0.35">
      <c r="A2696" s="77">
        <v>45383</v>
      </c>
      <c r="B2696" s="3" t="s">
        <v>126</v>
      </c>
      <c r="C2696" s="4" t="s">
        <v>127</v>
      </c>
      <c r="D2696" s="4" t="s">
        <v>314</v>
      </c>
      <c r="E2696" s="4" t="s">
        <v>291</v>
      </c>
      <c r="F2696" t="s">
        <v>318</v>
      </c>
      <c r="G2696" t="s">
        <v>221</v>
      </c>
      <c r="H2696">
        <f>VLOOKUP(C2696,'TB Apr 24'!$B$13:$AV$103,47,0)</f>
        <v>0</v>
      </c>
    </row>
    <row r="2697" spans="1:8" x14ac:dyDescent="0.35">
      <c r="A2697" s="77">
        <v>45383</v>
      </c>
      <c r="B2697" s="3" t="s">
        <v>128</v>
      </c>
      <c r="C2697" s="4" t="s">
        <v>129</v>
      </c>
      <c r="D2697" s="4" t="s">
        <v>314</v>
      </c>
      <c r="E2697" s="4" t="s">
        <v>322</v>
      </c>
      <c r="F2697" t="s">
        <v>318</v>
      </c>
      <c r="G2697" t="s">
        <v>221</v>
      </c>
      <c r="H2697">
        <f>VLOOKUP(C2697,'TB Apr 24'!$B$13:$AV$103,47,0)</f>
        <v>38943</v>
      </c>
    </row>
    <row r="2698" spans="1:8" x14ac:dyDescent="0.35">
      <c r="A2698" s="77">
        <v>45383</v>
      </c>
      <c r="B2698" s="3" t="s">
        <v>130</v>
      </c>
      <c r="C2698" s="4" t="s">
        <v>131</v>
      </c>
      <c r="D2698" s="4" t="s">
        <v>314</v>
      </c>
      <c r="E2698" s="4" t="s">
        <v>322</v>
      </c>
      <c r="F2698" t="s">
        <v>318</v>
      </c>
      <c r="G2698" t="s">
        <v>221</v>
      </c>
      <c r="H2698">
        <f>VLOOKUP(C2698,'TB Apr 24'!$B$13:$AV$103,47,0)</f>
        <v>356</v>
      </c>
    </row>
    <row r="2699" spans="1:8" x14ac:dyDescent="0.35">
      <c r="A2699" s="77">
        <v>45383</v>
      </c>
      <c r="B2699" s="3" t="s">
        <v>132</v>
      </c>
      <c r="C2699" s="4" t="s">
        <v>133</v>
      </c>
      <c r="D2699" s="4" t="s">
        <v>314</v>
      </c>
      <c r="E2699" s="4" t="s">
        <v>320</v>
      </c>
      <c r="F2699" t="s">
        <v>318</v>
      </c>
      <c r="G2699" t="s">
        <v>221</v>
      </c>
      <c r="H2699">
        <f>VLOOKUP(C2699,'TB Apr 24'!$B$13:$AV$103,47,0)</f>
        <v>1808</v>
      </c>
    </row>
    <row r="2700" spans="1:8" x14ac:dyDescent="0.35">
      <c r="A2700" s="77">
        <v>45383</v>
      </c>
      <c r="B2700" s="3" t="s">
        <v>134</v>
      </c>
      <c r="C2700" s="4" t="s">
        <v>135</v>
      </c>
      <c r="D2700" s="4" t="s">
        <v>314</v>
      </c>
      <c r="E2700" s="4" t="s">
        <v>299</v>
      </c>
      <c r="F2700" t="s">
        <v>318</v>
      </c>
      <c r="G2700" t="s">
        <v>221</v>
      </c>
      <c r="H2700">
        <f>VLOOKUP(C2700,'TB Apr 24'!$B$13:$AV$103,47,0)</f>
        <v>300</v>
      </c>
    </row>
    <row r="2701" spans="1:8" x14ac:dyDescent="0.35">
      <c r="A2701" s="77">
        <v>45383</v>
      </c>
      <c r="B2701" s="3" t="s">
        <v>136</v>
      </c>
      <c r="C2701" s="4" t="s">
        <v>137</v>
      </c>
      <c r="D2701" s="4" t="s">
        <v>314</v>
      </c>
      <c r="E2701" s="4" t="s">
        <v>322</v>
      </c>
      <c r="F2701" t="s">
        <v>318</v>
      </c>
      <c r="G2701" t="s">
        <v>221</v>
      </c>
      <c r="H2701">
        <f>VLOOKUP(C2701,'TB Apr 24'!$B$13:$AV$103,47,0)</f>
        <v>760</v>
      </c>
    </row>
    <row r="2702" spans="1:8" x14ac:dyDescent="0.35">
      <c r="A2702" s="77">
        <v>45383</v>
      </c>
      <c r="B2702" s="3" t="s">
        <v>138</v>
      </c>
      <c r="C2702" s="4" t="s">
        <v>139</v>
      </c>
      <c r="D2702" s="4" t="s">
        <v>314</v>
      </c>
      <c r="E2702" s="4" t="s">
        <v>294</v>
      </c>
      <c r="F2702" t="s">
        <v>318</v>
      </c>
      <c r="G2702" t="s">
        <v>221</v>
      </c>
      <c r="H2702">
        <f>VLOOKUP(C2702,'TB Apr 24'!$B$13:$AV$103,47,0)</f>
        <v>5651.4</v>
      </c>
    </row>
    <row r="2703" spans="1:8" x14ac:dyDescent="0.35">
      <c r="A2703" s="77">
        <v>45383</v>
      </c>
      <c r="B2703" s="3" t="s">
        <v>140</v>
      </c>
      <c r="C2703" s="4" t="s">
        <v>141</v>
      </c>
      <c r="D2703" s="4" t="s">
        <v>314</v>
      </c>
      <c r="E2703" s="4" t="s">
        <v>268</v>
      </c>
      <c r="F2703" t="s">
        <v>318</v>
      </c>
      <c r="G2703" t="s">
        <v>221</v>
      </c>
      <c r="H2703">
        <f>VLOOKUP(C2703,'TB Apr 24'!$B$13:$AV$103,47,0)</f>
        <v>220965.43150000001</v>
      </c>
    </row>
    <row r="2704" spans="1:8" x14ac:dyDescent="0.35">
      <c r="A2704" s="77">
        <v>45383</v>
      </c>
      <c r="B2704" s="3" t="s">
        <v>142</v>
      </c>
      <c r="C2704" s="4" t="s">
        <v>143</v>
      </c>
      <c r="D2704" s="4" t="s">
        <v>314</v>
      </c>
      <c r="E2704" s="4" t="s">
        <v>269</v>
      </c>
      <c r="F2704" t="s">
        <v>318</v>
      </c>
      <c r="G2704" t="s">
        <v>221</v>
      </c>
      <c r="H2704">
        <f>VLOOKUP(C2704,'TB Apr 24'!$B$13:$AV$103,47,0)</f>
        <v>83603</v>
      </c>
    </row>
    <row r="2705" spans="1:8" x14ac:dyDescent="0.35">
      <c r="A2705" s="77">
        <v>45383</v>
      </c>
      <c r="B2705" s="3" t="s">
        <v>144</v>
      </c>
      <c r="C2705" s="4" t="s">
        <v>145</v>
      </c>
      <c r="D2705" s="4" t="s">
        <v>314</v>
      </c>
      <c r="E2705" s="4" t="s">
        <v>288</v>
      </c>
      <c r="F2705" t="s">
        <v>318</v>
      </c>
      <c r="G2705" t="s">
        <v>221</v>
      </c>
      <c r="H2705">
        <f>VLOOKUP(C2705,'TB Apr 24'!$B$13:$AV$103,47,0)</f>
        <v>61709.5</v>
      </c>
    </row>
    <row r="2706" spans="1:8" x14ac:dyDescent="0.35">
      <c r="A2706" s="77">
        <v>45383</v>
      </c>
      <c r="B2706" s="3" t="s">
        <v>146</v>
      </c>
      <c r="C2706" s="4" t="s">
        <v>147</v>
      </c>
      <c r="D2706" s="4" t="s">
        <v>314</v>
      </c>
      <c r="E2706" s="4" t="s">
        <v>288</v>
      </c>
      <c r="F2706" t="s">
        <v>318</v>
      </c>
      <c r="G2706" t="s">
        <v>221</v>
      </c>
      <c r="H2706">
        <f>VLOOKUP(C2706,'TB Apr 24'!$B$13:$AV$103,47,0)</f>
        <v>7320.541666666667</v>
      </c>
    </row>
    <row r="2707" spans="1:8" x14ac:dyDescent="0.35">
      <c r="A2707" s="77">
        <v>45383</v>
      </c>
      <c r="B2707" s="3" t="s">
        <v>148</v>
      </c>
      <c r="C2707" s="4" t="s">
        <v>149</v>
      </c>
      <c r="D2707" s="4" t="s">
        <v>314</v>
      </c>
      <c r="E2707" s="4" t="s">
        <v>287</v>
      </c>
      <c r="F2707" t="s">
        <v>318</v>
      </c>
      <c r="G2707" t="s">
        <v>221</v>
      </c>
      <c r="H2707">
        <f>VLOOKUP(C2707,'TB Apr 24'!$B$13:$AV$103,47,0)</f>
        <v>0</v>
      </c>
    </row>
    <row r="2708" spans="1:8" x14ac:dyDescent="0.35">
      <c r="A2708" s="77">
        <v>45383</v>
      </c>
      <c r="B2708" s="3" t="s">
        <v>150</v>
      </c>
      <c r="C2708" s="4" t="s">
        <v>87</v>
      </c>
      <c r="D2708" s="4" t="s">
        <v>314</v>
      </c>
      <c r="E2708" s="4" t="s">
        <v>288</v>
      </c>
      <c r="F2708" t="s">
        <v>318</v>
      </c>
      <c r="G2708" t="s">
        <v>221</v>
      </c>
      <c r="H2708">
        <f>VLOOKUP(C2708,'TB Apr 24'!$B$13:$AV$103,47,0)</f>
        <v>41291</v>
      </c>
    </row>
    <row r="2709" spans="1:8" x14ac:dyDescent="0.35">
      <c r="A2709" s="77">
        <v>45383</v>
      </c>
      <c r="B2709" s="3" t="s">
        <v>151</v>
      </c>
      <c r="C2709" s="4" t="s">
        <v>152</v>
      </c>
      <c r="D2709" s="4" t="s">
        <v>314</v>
      </c>
      <c r="E2709" s="4" t="s">
        <v>288</v>
      </c>
      <c r="F2709" t="s">
        <v>318</v>
      </c>
      <c r="G2709" t="s">
        <v>221</v>
      </c>
      <c r="H2709">
        <f>VLOOKUP(C2709,'TB Apr 24'!$B$13:$AV$103,47,0)</f>
        <v>4802.5</v>
      </c>
    </row>
    <row r="2710" spans="1:8" x14ac:dyDescent="0.35">
      <c r="A2710" s="77">
        <v>45383</v>
      </c>
      <c r="B2710" s="3" t="s">
        <v>153</v>
      </c>
      <c r="C2710" s="4" t="s">
        <v>154</v>
      </c>
      <c r="D2710" s="4" t="s">
        <v>314</v>
      </c>
      <c r="E2710" s="4" t="s">
        <v>288</v>
      </c>
      <c r="F2710" t="s">
        <v>318</v>
      </c>
      <c r="G2710" t="s">
        <v>221</v>
      </c>
      <c r="H2710">
        <f>VLOOKUP(C2710,'TB Apr 24'!$B$13:$AV$103,47,0)</f>
        <v>19712</v>
      </c>
    </row>
    <row r="2711" spans="1:8" x14ac:dyDescent="0.35">
      <c r="A2711" s="77">
        <v>45383</v>
      </c>
      <c r="B2711" s="3" t="s">
        <v>155</v>
      </c>
      <c r="C2711" s="4" t="s">
        <v>156</v>
      </c>
      <c r="D2711" s="4" t="s">
        <v>314</v>
      </c>
      <c r="E2711" s="4" t="s">
        <v>288</v>
      </c>
      <c r="F2711" t="s">
        <v>318</v>
      </c>
      <c r="G2711" t="s">
        <v>221</v>
      </c>
      <c r="H2711">
        <f>VLOOKUP(C2711,'TB Apr 24'!$B$13:$AV$103,47,0)</f>
        <v>970</v>
      </c>
    </row>
    <row r="2712" spans="1:8" x14ac:dyDescent="0.35">
      <c r="A2712" s="77">
        <v>45383</v>
      </c>
      <c r="B2712" s="3" t="s">
        <v>157</v>
      </c>
      <c r="C2712" s="4" t="s">
        <v>158</v>
      </c>
      <c r="D2712" s="4" t="s">
        <v>314</v>
      </c>
      <c r="E2712" s="4" t="s">
        <v>292</v>
      </c>
      <c r="F2712" t="s">
        <v>318</v>
      </c>
      <c r="G2712" t="s">
        <v>221</v>
      </c>
      <c r="H2712">
        <f>VLOOKUP(C2712,'TB Apr 24'!$B$13:$AV$103,47,0)</f>
        <v>60000</v>
      </c>
    </row>
    <row r="2713" spans="1:8" x14ac:dyDescent="0.35">
      <c r="A2713" s="77">
        <v>45383</v>
      </c>
      <c r="B2713" s="3" t="s">
        <v>159</v>
      </c>
      <c r="C2713" s="4" t="s">
        <v>160</v>
      </c>
      <c r="D2713" s="4" t="s">
        <v>314</v>
      </c>
      <c r="E2713" s="4" t="s">
        <v>323</v>
      </c>
      <c r="F2713" t="s">
        <v>318</v>
      </c>
      <c r="G2713" t="s">
        <v>221</v>
      </c>
      <c r="H2713">
        <f>VLOOKUP(C2713,'TB Apr 24'!$B$13:$AV$103,47,0)</f>
        <v>0</v>
      </c>
    </row>
    <row r="2714" spans="1:8" x14ac:dyDescent="0.35">
      <c r="A2714" s="77">
        <v>45383</v>
      </c>
      <c r="B2714" s="3" t="s">
        <v>161</v>
      </c>
      <c r="C2714" s="4" t="s">
        <v>162</v>
      </c>
      <c r="D2714" s="4" t="s">
        <v>314</v>
      </c>
      <c r="E2714" s="4" t="s">
        <v>323</v>
      </c>
      <c r="F2714" t="s">
        <v>318</v>
      </c>
      <c r="G2714" t="s">
        <v>221</v>
      </c>
      <c r="H2714">
        <f>VLOOKUP(C2714,'TB Apr 24'!$B$13:$AV$103,47,0)</f>
        <v>0</v>
      </c>
    </row>
    <row r="2715" spans="1:8" x14ac:dyDescent="0.35">
      <c r="A2715" s="77">
        <v>45383</v>
      </c>
      <c r="B2715" s="3" t="s">
        <v>163</v>
      </c>
      <c r="C2715" s="4" t="s">
        <v>164</v>
      </c>
      <c r="D2715" s="4" t="s">
        <v>314</v>
      </c>
      <c r="E2715" s="4" t="s">
        <v>319</v>
      </c>
      <c r="F2715" t="s">
        <v>318</v>
      </c>
      <c r="G2715" t="s">
        <v>221</v>
      </c>
      <c r="H2715">
        <f>VLOOKUP(C2715,'TB Apr 24'!$B$13:$AV$103,47,0)</f>
        <v>0</v>
      </c>
    </row>
    <row r="2716" spans="1:8" x14ac:dyDescent="0.35">
      <c r="A2716" s="77">
        <v>45383</v>
      </c>
      <c r="B2716" s="3" t="s">
        <v>165</v>
      </c>
      <c r="C2716" s="4" t="s">
        <v>166</v>
      </c>
      <c r="D2716" s="4" t="s">
        <v>314</v>
      </c>
      <c r="E2716" s="4" t="s">
        <v>304</v>
      </c>
      <c r="F2716" t="s">
        <v>318</v>
      </c>
      <c r="G2716" t="s">
        <v>221</v>
      </c>
      <c r="H2716">
        <f>VLOOKUP(C2716,'TB Apr 24'!$B$13:$AV$103,47,0)</f>
        <v>9658</v>
      </c>
    </row>
    <row r="2717" spans="1:8" x14ac:dyDescent="0.35">
      <c r="A2717" s="77">
        <v>45383</v>
      </c>
      <c r="B2717" s="3" t="s">
        <v>167</v>
      </c>
      <c r="C2717" s="4" t="s">
        <v>168</v>
      </c>
      <c r="D2717" s="4" t="s">
        <v>314</v>
      </c>
      <c r="E2717" s="4" t="s">
        <v>322</v>
      </c>
      <c r="F2717" t="s">
        <v>318</v>
      </c>
      <c r="G2717" t="s">
        <v>221</v>
      </c>
      <c r="H2717">
        <f>VLOOKUP(C2717,'TB Apr 24'!$B$13:$AV$103,47,0)</f>
        <v>9269.5</v>
      </c>
    </row>
    <row r="2718" spans="1:8" x14ac:dyDescent="0.35">
      <c r="A2718" s="77">
        <v>45383</v>
      </c>
      <c r="B2718" s="3" t="s">
        <v>169</v>
      </c>
      <c r="C2718" s="4" t="s">
        <v>170</v>
      </c>
      <c r="D2718" s="4" t="s">
        <v>314</v>
      </c>
      <c r="E2718" s="4" t="s">
        <v>304</v>
      </c>
      <c r="F2718" t="s">
        <v>318</v>
      </c>
      <c r="G2718" t="s">
        <v>221</v>
      </c>
      <c r="H2718">
        <f>VLOOKUP(C2718,'TB Apr 24'!$B$13:$AV$103,47,0)</f>
        <v>13903</v>
      </c>
    </row>
    <row r="2719" spans="1:8" x14ac:dyDescent="0.35">
      <c r="A2719" s="77">
        <v>45383</v>
      </c>
      <c r="B2719" s="3" t="s">
        <v>171</v>
      </c>
      <c r="C2719" s="4" t="s">
        <v>172</v>
      </c>
      <c r="D2719" s="4" t="s">
        <v>314</v>
      </c>
      <c r="E2719" s="4" t="s">
        <v>303</v>
      </c>
      <c r="F2719" t="s">
        <v>318</v>
      </c>
      <c r="G2719" t="s">
        <v>221</v>
      </c>
      <c r="H2719">
        <f>VLOOKUP(C2719,'TB Apr 24'!$B$13:$AV$103,47,0)</f>
        <v>0</v>
      </c>
    </row>
    <row r="2720" spans="1:8" x14ac:dyDescent="0.35">
      <c r="A2720" s="77">
        <v>45383</v>
      </c>
      <c r="B2720" s="3" t="s">
        <v>173</v>
      </c>
      <c r="C2720" s="4" t="s">
        <v>174</v>
      </c>
      <c r="D2720" s="4" t="s">
        <v>314</v>
      </c>
      <c r="E2720" s="4" t="s">
        <v>257</v>
      </c>
      <c r="F2720" t="s">
        <v>318</v>
      </c>
      <c r="G2720" t="s">
        <v>221</v>
      </c>
      <c r="H2720">
        <f>VLOOKUP(C2720,'TB Apr 24'!$B$13:$AV$103,47,0)</f>
        <v>0</v>
      </c>
    </row>
    <row r="2721" spans="1:8" x14ac:dyDescent="0.35">
      <c r="A2721" s="77">
        <v>45383</v>
      </c>
      <c r="B2721" s="3" t="s">
        <v>175</v>
      </c>
      <c r="C2721" s="4" t="s">
        <v>176</v>
      </c>
      <c r="D2721" s="4" t="s">
        <v>314</v>
      </c>
      <c r="E2721" s="4" t="s">
        <v>257</v>
      </c>
      <c r="F2721" t="s">
        <v>318</v>
      </c>
      <c r="G2721" t="s">
        <v>221</v>
      </c>
      <c r="H2721">
        <f>VLOOKUP(C2721,'TB Apr 24'!$B$13:$AV$103,47,0)</f>
        <v>0</v>
      </c>
    </row>
    <row r="2722" spans="1:8" x14ac:dyDescent="0.35">
      <c r="A2722" s="77">
        <v>45383</v>
      </c>
      <c r="B2722" s="3" t="s">
        <v>177</v>
      </c>
      <c r="C2722" s="4" t="s">
        <v>178</v>
      </c>
      <c r="D2722" s="4" t="s">
        <v>314</v>
      </c>
      <c r="E2722" s="4" t="s">
        <v>257</v>
      </c>
      <c r="F2722" t="s">
        <v>318</v>
      </c>
      <c r="G2722" t="s">
        <v>221</v>
      </c>
      <c r="H2722">
        <f>VLOOKUP(C2722,'TB Apr 24'!$B$13:$AV$103,47,0)</f>
        <v>0</v>
      </c>
    </row>
    <row r="2723" spans="1:8" x14ac:dyDescent="0.35">
      <c r="A2723" s="77">
        <v>45383</v>
      </c>
      <c r="B2723" s="3" t="s">
        <v>179</v>
      </c>
      <c r="C2723" s="4" t="s">
        <v>180</v>
      </c>
      <c r="D2723" s="4" t="s">
        <v>314</v>
      </c>
      <c r="E2723" s="4" t="s">
        <v>322</v>
      </c>
      <c r="F2723" t="s">
        <v>318</v>
      </c>
      <c r="G2723" t="s">
        <v>221</v>
      </c>
      <c r="H2723">
        <f>VLOOKUP(C2723,'TB Apr 24'!$B$13:$AV$103,47,0)</f>
        <v>1000</v>
      </c>
    </row>
    <row r="2724" spans="1:8" x14ac:dyDescent="0.35">
      <c r="A2724" s="77">
        <v>45383</v>
      </c>
      <c r="B2724" s="3" t="s">
        <v>181</v>
      </c>
      <c r="C2724" s="4" t="s">
        <v>182</v>
      </c>
      <c r="D2724" s="4" t="s">
        <v>314</v>
      </c>
      <c r="E2724" s="4" t="s">
        <v>290</v>
      </c>
      <c r="F2724" t="s">
        <v>318</v>
      </c>
      <c r="G2724" t="s">
        <v>221</v>
      </c>
      <c r="H2724">
        <f>VLOOKUP(C2724,'TB Apr 24'!$B$13:$AV$103,47,0)</f>
        <v>7340</v>
      </c>
    </row>
    <row r="2725" spans="1:8" x14ac:dyDescent="0.35">
      <c r="A2725" s="77">
        <v>45383</v>
      </c>
      <c r="B2725" s="3" t="s">
        <v>183</v>
      </c>
      <c r="C2725" s="4" t="s">
        <v>184</v>
      </c>
      <c r="D2725" s="4" t="s">
        <v>314</v>
      </c>
      <c r="E2725" s="4" t="s">
        <v>290</v>
      </c>
      <c r="F2725" t="s">
        <v>318</v>
      </c>
      <c r="G2725" t="s">
        <v>221</v>
      </c>
      <c r="H2725">
        <f>VLOOKUP(C2725,'TB Apr 24'!$B$13:$AV$103,47,0)</f>
        <v>0</v>
      </c>
    </row>
    <row r="2726" spans="1:8" x14ac:dyDescent="0.35">
      <c r="A2726" s="77">
        <v>45383</v>
      </c>
      <c r="B2726" s="3" t="s">
        <v>185</v>
      </c>
      <c r="C2726" s="4" t="s">
        <v>186</v>
      </c>
      <c r="D2726" s="4" t="s">
        <v>314</v>
      </c>
      <c r="E2726" s="4" t="s">
        <v>290</v>
      </c>
      <c r="F2726" t="s">
        <v>318</v>
      </c>
      <c r="G2726" t="s">
        <v>221</v>
      </c>
      <c r="H2726">
        <f>VLOOKUP(C2726,'TB Apr 24'!$B$13:$AV$103,47,0)</f>
        <v>68850</v>
      </c>
    </row>
    <row r="2727" spans="1:8" x14ac:dyDescent="0.35">
      <c r="A2727" s="77">
        <v>45383</v>
      </c>
      <c r="B2727" s="3" t="s">
        <v>187</v>
      </c>
      <c r="C2727" s="4" t="s">
        <v>188</v>
      </c>
      <c r="D2727" s="4" t="s">
        <v>314</v>
      </c>
      <c r="E2727" s="4" t="s">
        <v>291</v>
      </c>
      <c r="F2727" t="s">
        <v>318</v>
      </c>
      <c r="G2727" t="s">
        <v>221</v>
      </c>
      <c r="H2727">
        <f>VLOOKUP(C2727,'TB Apr 24'!$B$13:$AV$103,47,0)</f>
        <v>43521.557879802647</v>
      </c>
    </row>
    <row r="2728" spans="1:8" x14ac:dyDescent="0.35">
      <c r="A2728" s="77">
        <v>45383</v>
      </c>
      <c r="B2728" s="3" t="s">
        <v>189</v>
      </c>
      <c r="C2728" s="4" t="s">
        <v>190</v>
      </c>
      <c r="D2728" s="4" t="s">
        <v>314</v>
      </c>
      <c r="E2728" s="4" t="s">
        <v>254</v>
      </c>
      <c r="F2728" t="s">
        <v>318</v>
      </c>
      <c r="G2728" t="s">
        <v>221</v>
      </c>
      <c r="H2728">
        <f>VLOOKUP(C2728,'TB Apr 24'!$B$13:$AV$103,47,0)</f>
        <v>0</v>
      </c>
    </row>
    <row r="2729" spans="1:8" x14ac:dyDescent="0.35">
      <c r="A2729" s="77">
        <v>45383</v>
      </c>
      <c r="B2729" s="3" t="s">
        <v>191</v>
      </c>
      <c r="C2729" s="4" t="s">
        <v>192</v>
      </c>
      <c r="D2729" s="4" t="s">
        <v>314</v>
      </c>
      <c r="E2729" s="4" t="s">
        <v>254</v>
      </c>
      <c r="F2729" t="s">
        <v>318</v>
      </c>
      <c r="G2729" t="s">
        <v>221</v>
      </c>
      <c r="H2729">
        <f>VLOOKUP(C2729,'TB Apr 24'!$B$13:$AV$103,47,0)</f>
        <v>0</v>
      </c>
    </row>
    <row r="2730" spans="1:8" x14ac:dyDescent="0.35">
      <c r="A2730" s="77">
        <v>45383</v>
      </c>
      <c r="B2730" s="3" t="s">
        <v>193</v>
      </c>
      <c r="C2730" s="4" t="s">
        <v>194</v>
      </c>
      <c r="D2730" s="4" t="s">
        <v>314</v>
      </c>
      <c r="E2730" s="4" t="s">
        <v>254</v>
      </c>
      <c r="F2730" t="s">
        <v>318</v>
      </c>
      <c r="G2730" t="s">
        <v>221</v>
      </c>
      <c r="H2730">
        <f>VLOOKUP(C2730,'TB Apr 24'!$B$13:$AV$103,47,0)</f>
        <v>287507</v>
      </c>
    </row>
    <row r="2731" spans="1:8" x14ac:dyDescent="0.35">
      <c r="A2731" s="77">
        <v>45383</v>
      </c>
      <c r="B2731" s="3" t="s">
        <v>195</v>
      </c>
      <c r="C2731" s="4" t="s">
        <v>196</v>
      </c>
      <c r="D2731" s="4" t="s">
        <v>314</v>
      </c>
      <c r="E2731" s="4" t="s">
        <v>255</v>
      </c>
      <c r="F2731" t="s">
        <v>318</v>
      </c>
      <c r="G2731" t="s">
        <v>221</v>
      </c>
      <c r="H2731">
        <f>VLOOKUP(C2731,'TB Apr 24'!$B$13:$AV$103,47,0)</f>
        <v>0</v>
      </c>
    </row>
    <row r="2732" spans="1:8" x14ac:dyDescent="0.35">
      <c r="A2732" s="77">
        <v>45383</v>
      </c>
      <c r="B2732" s="3" t="s">
        <v>197</v>
      </c>
      <c r="C2732" s="4" t="s">
        <v>198</v>
      </c>
      <c r="D2732" s="4" t="s">
        <v>314</v>
      </c>
      <c r="E2732" s="4" t="s">
        <v>255</v>
      </c>
      <c r="F2732" t="s">
        <v>318</v>
      </c>
      <c r="G2732" t="s">
        <v>221</v>
      </c>
      <c r="H2732">
        <f>VLOOKUP(C2732,'TB Apr 24'!$B$13:$AV$103,47,0)</f>
        <v>0</v>
      </c>
    </row>
    <row r="2733" spans="1:8" x14ac:dyDescent="0.35">
      <c r="A2733" s="77">
        <v>45383</v>
      </c>
      <c r="B2733" s="3" t="s">
        <v>199</v>
      </c>
      <c r="C2733" s="4" t="s">
        <v>200</v>
      </c>
      <c r="D2733" s="4" t="s">
        <v>314</v>
      </c>
      <c r="E2733" s="4" t="s">
        <v>254</v>
      </c>
      <c r="F2733" t="s">
        <v>318</v>
      </c>
      <c r="G2733" t="s">
        <v>221</v>
      </c>
      <c r="H2733">
        <f>VLOOKUP(C2733,'TB Apr 24'!$B$13:$AV$103,47,0)</f>
        <v>0</v>
      </c>
    </row>
    <row r="2734" spans="1:8" x14ac:dyDescent="0.35">
      <c r="A2734" s="77">
        <v>45383</v>
      </c>
      <c r="B2734" s="3" t="s">
        <v>201</v>
      </c>
      <c r="C2734" s="4" t="s">
        <v>202</v>
      </c>
      <c r="D2734" s="4" t="s">
        <v>314</v>
      </c>
      <c r="E2734" s="4" t="s">
        <v>254</v>
      </c>
      <c r="F2734" t="s">
        <v>318</v>
      </c>
      <c r="G2734" t="s">
        <v>221</v>
      </c>
      <c r="H2734">
        <f>VLOOKUP(C2734,'TB Apr 24'!$B$13:$AV$103,47,0)</f>
        <v>0</v>
      </c>
    </row>
    <row r="2735" spans="1:8" x14ac:dyDescent="0.35">
      <c r="A2735" s="77">
        <v>45383</v>
      </c>
      <c r="B2735" s="3" t="s">
        <v>203</v>
      </c>
      <c r="C2735" s="4" t="s">
        <v>204</v>
      </c>
      <c r="D2735" s="4" t="s">
        <v>314</v>
      </c>
      <c r="E2735" s="4" t="s">
        <v>256</v>
      </c>
      <c r="F2735" t="s">
        <v>318</v>
      </c>
      <c r="G2735" t="s">
        <v>221</v>
      </c>
      <c r="H2735">
        <f>VLOOKUP(C2735,'TB Apr 24'!$B$13:$AV$103,47,0)</f>
        <v>481161</v>
      </c>
    </row>
    <row r="2736" spans="1:8" x14ac:dyDescent="0.35">
      <c r="A2736" s="77">
        <v>45383</v>
      </c>
      <c r="B2736" s="3" t="s">
        <v>205</v>
      </c>
      <c r="C2736" s="6" t="s">
        <v>206</v>
      </c>
      <c r="D2736" s="4" t="s">
        <v>314</v>
      </c>
      <c r="E2736" s="6" t="s">
        <v>322</v>
      </c>
      <c r="F2736" s="79" t="s">
        <v>318</v>
      </c>
      <c r="G2736" s="79" t="s">
        <v>221</v>
      </c>
      <c r="H2736" s="79">
        <f>VLOOKUP(C2736,'TB Apr 24'!$B$13:$AV$103,47,0)</f>
        <v>0</v>
      </c>
    </row>
    <row r="2737" spans="1:8" x14ac:dyDescent="0.35">
      <c r="A2737" s="77">
        <v>45383</v>
      </c>
      <c r="B2737" s="3" t="s">
        <v>57</v>
      </c>
      <c r="C2737" s="4" t="s">
        <v>58</v>
      </c>
      <c r="D2737" s="4" t="s">
        <v>314</v>
      </c>
      <c r="E2737" s="4" t="s">
        <v>253</v>
      </c>
      <c r="F2737" t="s">
        <v>318</v>
      </c>
      <c r="G2737" t="s">
        <v>219</v>
      </c>
      <c r="H2737">
        <f>VLOOKUP(C2737,'TB Apr 24'!$B$13:$AW$103,48,0)</f>
        <v>-500</v>
      </c>
    </row>
    <row r="2738" spans="1:8" x14ac:dyDescent="0.35">
      <c r="A2738" s="77">
        <v>45383</v>
      </c>
      <c r="B2738" s="3" t="s">
        <v>307</v>
      </c>
      <c r="C2738" s="4" t="s">
        <v>308</v>
      </c>
      <c r="D2738" s="4" t="s">
        <v>314</v>
      </c>
      <c r="E2738" s="4" t="s">
        <v>253</v>
      </c>
      <c r="F2738" t="s">
        <v>318</v>
      </c>
      <c r="G2738" t="s">
        <v>219</v>
      </c>
      <c r="H2738">
        <f>VLOOKUP(C2738,'TB Apr 24'!$B$13:$AW$103,48,0)</f>
        <v>0</v>
      </c>
    </row>
    <row r="2739" spans="1:8" x14ac:dyDescent="0.35">
      <c r="A2739" s="77">
        <v>45383</v>
      </c>
      <c r="B2739" s="3" t="s">
        <v>59</v>
      </c>
      <c r="C2739" s="4" t="s">
        <v>60</v>
      </c>
      <c r="D2739" s="4" t="s">
        <v>314</v>
      </c>
      <c r="E2739" s="4" t="s">
        <v>253</v>
      </c>
      <c r="F2739" t="s">
        <v>318</v>
      </c>
      <c r="G2739" t="s">
        <v>219</v>
      </c>
      <c r="H2739">
        <f>VLOOKUP(C2739,'TB Apr 24'!$B$13:$AW$103,48,0)</f>
        <v>-11.1</v>
      </c>
    </row>
    <row r="2740" spans="1:8" x14ac:dyDescent="0.35">
      <c r="A2740" s="77">
        <v>45383</v>
      </c>
      <c r="B2740" s="3" t="s">
        <v>61</v>
      </c>
      <c r="C2740" s="4" t="s">
        <v>62</v>
      </c>
      <c r="D2740" s="4" t="s">
        <v>314</v>
      </c>
      <c r="E2740" s="4" t="s">
        <v>66</v>
      </c>
      <c r="F2740" t="s">
        <v>318</v>
      </c>
      <c r="G2740" t="s">
        <v>219</v>
      </c>
      <c r="H2740">
        <f>VLOOKUP(C2740,'TB Apr 24'!$B$13:$AW$103,48,0)</f>
        <v>-12981.05</v>
      </c>
    </row>
    <row r="2741" spans="1:8" x14ac:dyDescent="0.35">
      <c r="A2741" s="77">
        <v>45383</v>
      </c>
      <c r="B2741" s="3" t="s">
        <v>63</v>
      </c>
      <c r="C2741" s="4" t="s">
        <v>64</v>
      </c>
      <c r="D2741" s="4" t="s">
        <v>314</v>
      </c>
      <c r="E2741" s="4" t="s">
        <v>252</v>
      </c>
      <c r="F2741" t="s">
        <v>318</v>
      </c>
      <c r="G2741" t="s">
        <v>219</v>
      </c>
      <c r="H2741">
        <f>VLOOKUP(C2741,'TB Apr 24'!$B$13:$AW$103,48,0)</f>
        <v>0</v>
      </c>
    </row>
    <row r="2742" spans="1:8" x14ac:dyDescent="0.35">
      <c r="A2742" s="77">
        <v>45383</v>
      </c>
      <c r="B2742" s="3" t="s">
        <v>65</v>
      </c>
      <c r="C2742" s="4" t="s">
        <v>66</v>
      </c>
      <c r="D2742" s="4" t="s">
        <v>314</v>
      </c>
      <c r="E2742" s="4" t="s">
        <v>66</v>
      </c>
      <c r="F2742" t="s">
        <v>318</v>
      </c>
      <c r="G2742" t="s">
        <v>219</v>
      </c>
      <c r="H2742">
        <f>VLOOKUP(C2742,'TB Apr 24'!$B$13:$AW$103,48,0)</f>
        <v>-1605947.02</v>
      </c>
    </row>
    <row r="2743" spans="1:8" x14ac:dyDescent="0.35">
      <c r="A2743" s="77">
        <v>45383</v>
      </c>
      <c r="B2743" s="3" t="s">
        <v>67</v>
      </c>
      <c r="C2743" s="4" t="s">
        <v>68</v>
      </c>
      <c r="D2743" s="4" t="s">
        <v>314</v>
      </c>
      <c r="E2743" s="4" t="s">
        <v>252</v>
      </c>
      <c r="F2743" t="s">
        <v>318</v>
      </c>
      <c r="G2743" t="s">
        <v>219</v>
      </c>
      <c r="H2743">
        <f>VLOOKUP(C2743,'TB Apr 24'!$B$13:$AW$103,48,0)</f>
        <v>-133851.37</v>
      </c>
    </row>
    <row r="2744" spans="1:8" x14ac:dyDescent="0.35">
      <c r="A2744" s="77">
        <v>45383</v>
      </c>
      <c r="B2744" s="3" t="s">
        <v>69</v>
      </c>
      <c r="C2744" s="4" t="s">
        <v>70</v>
      </c>
      <c r="D2744" s="4" t="s">
        <v>314</v>
      </c>
      <c r="E2744" s="4" t="s">
        <v>70</v>
      </c>
      <c r="F2744" t="s">
        <v>318</v>
      </c>
      <c r="G2744" t="s">
        <v>219</v>
      </c>
      <c r="H2744">
        <f>VLOOKUP(C2744,'TB Apr 24'!$B$13:$AW$103,48,0)</f>
        <v>-217013.56</v>
      </c>
    </row>
    <row r="2745" spans="1:8" x14ac:dyDescent="0.35">
      <c r="A2745" s="77">
        <v>45383</v>
      </c>
      <c r="B2745" s="3" t="s">
        <v>71</v>
      </c>
      <c r="C2745" s="4" t="s">
        <v>72</v>
      </c>
      <c r="D2745" s="4" t="s">
        <v>314</v>
      </c>
      <c r="E2745" s="4" t="s">
        <v>253</v>
      </c>
      <c r="F2745" t="s">
        <v>318</v>
      </c>
      <c r="G2745" t="s">
        <v>219</v>
      </c>
      <c r="H2745">
        <f>VLOOKUP(C2745,'TB Apr 24'!$B$13:$AW$103,48,0)</f>
        <v>0</v>
      </c>
    </row>
    <row r="2746" spans="1:8" x14ac:dyDescent="0.35">
      <c r="A2746" s="77">
        <v>45383</v>
      </c>
      <c r="B2746" s="3" t="s">
        <v>73</v>
      </c>
      <c r="C2746" s="4" t="s">
        <v>74</v>
      </c>
      <c r="D2746" s="4" t="s">
        <v>314</v>
      </c>
      <c r="E2746" s="4" t="s">
        <v>253</v>
      </c>
      <c r="F2746" t="s">
        <v>318</v>
      </c>
      <c r="G2746" t="s">
        <v>219</v>
      </c>
      <c r="H2746">
        <f>VLOOKUP(C2746,'TB Apr 24'!$B$13:$AW$103,48,0)</f>
        <v>-638.44000000000005</v>
      </c>
    </row>
    <row r="2747" spans="1:8" x14ac:dyDescent="0.35">
      <c r="A2747" s="77">
        <v>45383</v>
      </c>
      <c r="B2747" s="3" t="s">
        <v>75</v>
      </c>
      <c r="C2747" s="4" t="s">
        <v>76</v>
      </c>
      <c r="D2747" s="4" t="s">
        <v>314</v>
      </c>
      <c r="E2747" s="4" t="s">
        <v>253</v>
      </c>
      <c r="F2747" t="s">
        <v>318</v>
      </c>
      <c r="G2747" t="s">
        <v>219</v>
      </c>
      <c r="H2747">
        <f>VLOOKUP(C2747,'TB Apr 24'!$B$13:$AW$103,48,0)</f>
        <v>0</v>
      </c>
    </row>
    <row r="2748" spans="1:8" x14ac:dyDescent="0.35">
      <c r="A2748" s="77">
        <v>45383</v>
      </c>
      <c r="B2748" s="3" t="s">
        <v>77</v>
      </c>
      <c r="C2748" s="4" t="s">
        <v>78</v>
      </c>
      <c r="D2748" s="4" t="s">
        <v>314</v>
      </c>
      <c r="E2748" s="4" t="s">
        <v>253</v>
      </c>
      <c r="F2748" t="s">
        <v>318</v>
      </c>
      <c r="G2748" t="s">
        <v>219</v>
      </c>
      <c r="H2748">
        <f>VLOOKUP(C2748,'TB Apr 24'!$B$13:$AW$103,48,0)</f>
        <v>-15583.48</v>
      </c>
    </row>
    <row r="2749" spans="1:8" x14ac:dyDescent="0.35">
      <c r="A2749" s="77">
        <v>45383</v>
      </c>
      <c r="B2749" s="3" t="s">
        <v>79</v>
      </c>
      <c r="C2749" s="4" t="s">
        <v>80</v>
      </c>
      <c r="D2749" s="4" t="s">
        <v>314</v>
      </c>
      <c r="E2749" s="4" t="s">
        <v>253</v>
      </c>
      <c r="F2749" t="s">
        <v>318</v>
      </c>
      <c r="G2749" t="s">
        <v>219</v>
      </c>
      <c r="H2749">
        <f>VLOOKUP(C2749,'TB Apr 24'!$B$13:$AW$103,48,0)</f>
        <v>-18067.400000000001</v>
      </c>
    </row>
    <row r="2750" spans="1:8" x14ac:dyDescent="0.35">
      <c r="A2750" s="77">
        <v>45383</v>
      </c>
      <c r="B2750" s="3" t="s">
        <v>81</v>
      </c>
      <c r="C2750" s="4" t="s">
        <v>82</v>
      </c>
      <c r="D2750" s="4" t="s">
        <v>314</v>
      </c>
      <c r="E2750" s="4" t="s">
        <v>319</v>
      </c>
      <c r="F2750" t="s">
        <v>318</v>
      </c>
      <c r="G2750" t="s">
        <v>219</v>
      </c>
      <c r="H2750">
        <f>VLOOKUP(C2750,'TB Apr 24'!$B$13:$AW$103,48,0)</f>
        <v>0</v>
      </c>
    </row>
    <row r="2751" spans="1:8" x14ac:dyDescent="0.35">
      <c r="A2751" s="77">
        <v>45383</v>
      </c>
      <c r="B2751" s="3" t="s">
        <v>83</v>
      </c>
      <c r="C2751" s="4" t="s">
        <v>84</v>
      </c>
      <c r="D2751" s="4" t="s">
        <v>314</v>
      </c>
      <c r="E2751" s="4" t="s">
        <v>319</v>
      </c>
      <c r="F2751" t="s">
        <v>318</v>
      </c>
      <c r="G2751" t="s">
        <v>219</v>
      </c>
      <c r="H2751">
        <f>VLOOKUP(C2751,'TB Apr 24'!$B$13:$AW$103,48,0)</f>
        <v>0</v>
      </c>
    </row>
    <row r="2752" spans="1:8" x14ac:dyDescent="0.35">
      <c r="A2752" s="77">
        <v>45383</v>
      </c>
      <c r="B2752" s="3" t="s">
        <v>85</v>
      </c>
      <c r="C2752" s="4" t="s">
        <v>86</v>
      </c>
      <c r="D2752" s="4" t="s">
        <v>314</v>
      </c>
      <c r="E2752" s="4" t="s">
        <v>291</v>
      </c>
      <c r="F2752" t="s">
        <v>318</v>
      </c>
      <c r="G2752" t="s">
        <v>219</v>
      </c>
      <c r="H2752">
        <f>VLOOKUP(C2752,'TB Apr 24'!$B$13:$AW$103,48,0)</f>
        <v>0</v>
      </c>
    </row>
    <row r="2753" spans="1:8" x14ac:dyDescent="0.35">
      <c r="A2753" s="77">
        <v>45383</v>
      </c>
      <c r="B2753" s="3" t="s">
        <v>88</v>
      </c>
      <c r="C2753" s="4" t="s">
        <v>89</v>
      </c>
      <c r="D2753" s="4" t="s">
        <v>314</v>
      </c>
      <c r="E2753" s="4" t="s">
        <v>300</v>
      </c>
      <c r="F2753" t="s">
        <v>318</v>
      </c>
      <c r="G2753" t="s">
        <v>219</v>
      </c>
      <c r="H2753">
        <f>VLOOKUP(C2753,'TB Apr 24'!$B$13:$AW$103,48,0)</f>
        <v>0</v>
      </c>
    </row>
    <row r="2754" spans="1:8" x14ac:dyDescent="0.35">
      <c r="A2754" s="77">
        <v>45383</v>
      </c>
      <c r="B2754" s="3" t="s">
        <v>90</v>
      </c>
      <c r="C2754" s="4" t="s">
        <v>91</v>
      </c>
      <c r="D2754" s="4" t="s">
        <v>314</v>
      </c>
      <c r="E2754" s="4" t="s">
        <v>300</v>
      </c>
      <c r="F2754" t="s">
        <v>318</v>
      </c>
      <c r="G2754" t="s">
        <v>219</v>
      </c>
      <c r="H2754">
        <f>VLOOKUP(C2754,'TB Apr 24'!$B$13:$AW$103,48,0)</f>
        <v>31259</v>
      </c>
    </row>
    <row r="2755" spans="1:8" x14ac:dyDescent="0.35">
      <c r="A2755" s="77">
        <v>45383</v>
      </c>
      <c r="B2755" s="3" t="s">
        <v>92</v>
      </c>
      <c r="C2755" s="4" t="s">
        <v>93</v>
      </c>
      <c r="D2755" s="4" t="s">
        <v>314</v>
      </c>
      <c r="E2755" s="4" t="s">
        <v>300</v>
      </c>
      <c r="F2755" t="s">
        <v>318</v>
      </c>
      <c r="G2755" t="s">
        <v>219</v>
      </c>
      <c r="H2755">
        <f>VLOOKUP(C2755,'TB Apr 24'!$B$13:$AW$103,48,0)</f>
        <v>9000</v>
      </c>
    </row>
    <row r="2756" spans="1:8" x14ac:dyDescent="0.35">
      <c r="A2756" s="77">
        <v>45383</v>
      </c>
      <c r="B2756" s="3" t="s">
        <v>94</v>
      </c>
      <c r="C2756" s="4" t="s">
        <v>95</v>
      </c>
      <c r="D2756" s="4" t="s">
        <v>314</v>
      </c>
      <c r="E2756" s="4" t="s">
        <v>289</v>
      </c>
      <c r="F2756" t="s">
        <v>318</v>
      </c>
      <c r="G2756" t="s">
        <v>219</v>
      </c>
      <c r="H2756">
        <f>VLOOKUP(C2756,'TB Apr 24'!$B$13:$AW$103,48,0)</f>
        <v>438791.25</v>
      </c>
    </row>
    <row r="2757" spans="1:8" x14ac:dyDescent="0.35">
      <c r="A2757" s="77">
        <v>45383</v>
      </c>
      <c r="B2757" s="3" t="s">
        <v>96</v>
      </c>
      <c r="C2757" s="4" t="s">
        <v>97</v>
      </c>
      <c r="D2757" s="4" t="s">
        <v>314</v>
      </c>
      <c r="E2757" s="4" t="s">
        <v>289</v>
      </c>
      <c r="F2757" t="s">
        <v>318</v>
      </c>
      <c r="G2757" t="s">
        <v>219</v>
      </c>
      <c r="H2757">
        <f>VLOOKUP(C2757,'TB Apr 24'!$B$13:$AW$103,48,0)</f>
        <v>0</v>
      </c>
    </row>
    <row r="2758" spans="1:8" x14ac:dyDescent="0.35">
      <c r="A2758" s="77">
        <v>45383</v>
      </c>
      <c r="B2758" s="3" t="s">
        <v>309</v>
      </c>
      <c r="C2758" s="4" t="s">
        <v>310</v>
      </c>
      <c r="D2758" s="4" t="s">
        <v>314</v>
      </c>
      <c r="E2758" s="4" t="s">
        <v>289</v>
      </c>
      <c r="F2758" t="s">
        <v>318</v>
      </c>
      <c r="G2758" t="s">
        <v>219</v>
      </c>
      <c r="H2758">
        <f>VLOOKUP(C2758,'TB Apr 24'!$B$13:$AW$103,48,0)</f>
        <v>0</v>
      </c>
    </row>
    <row r="2759" spans="1:8" x14ac:dyDescent="0.35">
      <c r="A2759" s="77">
        <v>45383</v>
      </c>
      <c r="B2759" s="3" t="s">
        <v>98</v>
      </c>
      <c r="C2759" s="4" t="s">
        <v>99</v>
      </c>
      <c r="D2759" s="4" t="s">
        <v>314</v>
      </c>
      <c r="E2759" s="4" t="s">
        <v>289</v>
      </c>
      <c r="F2759" t="s">
        <v>318</v>
      </c>
      <c r="G2759" t="s">
        <v>219</v>
      </c>
      <c r="H2759">
        <f>VLOOKUP(C2759,'TB Apr 24'!$B$13:$AW$103,48,0)</f>
        <v>0</v>
      </c>
    </row>
    <row r="2760" spans="1:8" x14ac:dyDescent="0.35">
      <c r="A2760" s="77">
        <v>45383</v>
      </c>
      <c r="B2760" s="3" t="s">
        <v>100</v>
      </c>
      <c r="C2760" s="4" t="s">
        <v>101</v>
      </c>
      <c r="D2760" s="4" t="s">
        <v>314</v>
      </c>
      <c r="E2760" s="4" t="s">
        <v>291</v>
      </c>
      <c r="F2760" t="s">
        <v>318</v>
      </c>
      <c r="G2760" t="s">
        <v>219</v>
      </c>
      <c r="H2760">
        <f>VLOOKUP(C2760,'TB Apr 24'!$B$13:$AW$103,48,0)</f>
        <v>0</v>
      </c>
    </row>
    <row r="2761" spans="1:8" x14ac:dyDescent="0.35">
      <c r="A2761" s="77">
        <v>45383</v>
      </c>
      <c r="B2761" s="3" t="s">
        <v>102</v>
      </c>
      <c r="C2761" s="4" t="s">
        <v>103</v>
      </c>
      <c r="D2761" s="4" t="s">
        <v>314</v>
      </c>
      <c r="E2761" s="4" t="s">
        <v>291</v>
      </c>
      <c r="F2761" t="s">
        <v>318</v>
      </c>
      <c r="G2761" t="s">
        <v>219</v>
      </c>
      <c r="H2761">
        <f>VLOOKUP(C2761,'TB Apr 24'!$B$13:$AW$103,48,0)</f>
        <v>0</v>
      </c>
    </row>
    <row r="2762" spans="1:8" x14ac:dyDescent="0.35">
      <c r="A2762" s="77">
        <v>45383</v>
      </c>
      <c r="B2762" s="3" t="s">
        <v>104</v>
      </c>
      <c r="C2762" s="4" t="s">
        <v>105</v>
      </c>
      <c r="D2762" s="4" t="s">
        <v>314</v>
      </c>
      <c r="E2762" s="4" t="s">
        <v>291</v>
      </c>
      <c r="F2762" t="s">
        <v>318</v>
      </c>
      <c r="G2762" t="s">
        <v>219</v>
      </c>
      <c r="H2762">
        <f>VLOOKUP(C2762,'TB Apr 24'!$B$13:$AW$103,48,0)</f>
        <v>0</v>
      </c>
    </row>
    <row r="2763" spans="1:8" x14ac:dyDescent="0.35">
      <c r="A2763" s="77">
        <v>45383</v>
      </c>
      <c r="B2763" s="3" t="s">
        <v>106</v>
      </c>
      <c r="C2763" s="4" t="s">
        <v>107</v>
      </c>
      <c r="D2763" s="4" t="s">
        <v>314</v>
      </c>
      <c r="E2763" s="4" t="s">
        <v>321</v>
      </c>
      <c r="F2763" t="s">
        <v>318</v>
      </c>
      <c r="G2763" t="s">
        <v>219</v>
      </c>
      <c r="H2763">
        <f>VLOOKUP(C2763,'TB Apr 24'!$B$13:$AW$103,48,0)</f>
        <v>0</v>
      </c>
    </row>
    <row r="2764" spans="1:8" x14ac:dyDescent="0.35">
      <c r="A2764" s="77">
        <v>45383</v>
      </c>
      <c r="B2764" s="3" t="s">
        <v>108</v>
      </c>
      <c r="C2764" s="4" t="s">
        <v>109</v>
      </c>
      <c r="D2764" s="4" t="s">
        <v>314</v>
      </c>
      <c r="E2764" s="4" t="s">
        <v>321</v>
      </c>
      <c r="F2764" t="s">
        <v>318</v>
      </c>
      <c r="G2764" t="s">
        <v>219</v>
      </c>
      <c r="H2764">
        <f>VLOOKUP(C2764,'TB Apr 24'!$B$13:$AW$103,48,0)</f>
        <v>0</v>
      </c>
    </row>
    <row r="2765" spans="1:8" x14ac:dyDescent="0.35">
      <c r="A2765" s="77">
        <v>45383</v>
      </c>
      <c r="B2765" s="3" t="s">
        <v>110</v>
      </c>
      <c r="C2765" s="4" t="s">
        <v>111</v>
      </c>
      <c r="D2765" s="4" t="s">
        <v>314</v>
      </c>
      <c r="E2765" s="4" t="s">
        <v>320</v>
      </c>
      <c r="F2765" t="s">
        <v>318</v>
      </c>
      <c r="G2765" t="s">
        <v>219</v>
      </c>
      <c r="H2765">
        <f>VLOOKUP(C2765,'TB Apr 24'!$B$13:$AW$103,48,0)</f>
        <v>0</v>
      </c>
    </row>
    <row r="2766" spans="1:8" x14ac:dyDescent="0.35">
      <c r="A2766" s="77">
        <v>45383</v>
      </c>
      <c r="B2766" s="3" t="s">
        <v>112</v>
      </c>
      <c r="C2766" s="4" t="s">
        <v>113</v>
      </c>
      <c r="D2766" s="4" t="s">
        <v>314</v>
      </c>
      <c r="E2766" s="4" t="s">
        <v>321</v>
      </c>
      <c r="F2766" t="s">
        <v>318</v>
      </c>
      <c r="G2766" t="s">
        <v>219</v>
      </c>
      <c r="H2766">
        <f>VLOOKUP(C2766,'TB Apr 24'!$B$13:$AW$103,48,0)</f>
        <v>0</v>
      </c>
    </row>
    <row r="2767" spans="1:8" x14ac:dyDescent="0.35">
      <c r="A2767" s="77">
        <v>45383</v>
      </c>
      <c r="B2767" s="3" t="s">
        <v>311</v>
      </c>
      <c r="C2767" s="4" t="s">
        <v>312</v>
      </c>
      <c r="D2767" s="4" t="s">
        <v>314</v>
      </c>
      <c r="E2767" s="4" t="s">
        <v>288</v>
      </c>
      <c r="F2767" t="s">
        <v>318</v>
      </c>
      <c r="G2767" t="s">
        <v>219</v>
      </c>
      <c r="H2767">
        <f>VLOOKUP(C2767,'TB Apr 24'!$B$13:$AW$103,48,0)</f>
        <v>0</v>
      </c>
    </row>
    <row r="2768" spans="1:8" x14ac:dyDescent="0.35">
      <c r="A2768" s="77">
        <v>45383</v>
      </c>
      <c r="B2768" s="3" t="s">
        <v>114</v>
      </c>
      <c r="C2768" s="4" t="s">
        <v>115</v>
      </c>
      <c r="D2768" s="4" t="s">
        <v>314</v>
      </c>
      <c r="E2768" s="4" t="s">
        <v>294</v>
      </c>
      <c r="F2768" t="s">
        <v>318</v>
      </c>
      <c r="G2768" t="s">
        <v>219</v>
      </c>
      <c r="H2768">
        <f>VLOOKUP(C2768,'TB Apr 24'!$B$13:$AW$103,48,0)</f>
        <v>0</v>
      </c>
    </row>
    <row r="2769" spans="1:8" x14ac:dyDescent="0.35">
      <c r="A2769" s="77">
        <v>45383</v>
      </c>
      <c r="B2769" s="3" t="s">
        <v>116</v>
      </c>
      <c r="C2769" s="4" t="s">
        <v>117</v>
      </c>
      <c r="D2769" s="4" t="s">
        <v>314</v>
      </c>
      <c r="E2769" s="4" t="s">
        <v>296</v>
      </c>
      <c r="F2769" t="s">
        <v>318</v>
      </c>
      <c r="G2769" t="s">
        <v>219</v>
      </c>
      <c r="H2769">
        <f>VLOOKUP(C2769,'TB Apr 24'!$B$13:$AW$103,48,0)</f>
        <v>0</v>
      </c>
    </row>
    <row r="2770" spans="1:8" x14ac:dyDescent="0.35">
      <c r="A2770" s="77">
        <v>45383</v>
      </c>
      <c r="B2770" s="3" t="s">
        <v>118</v>
      </c>
      <c r="C2770" s="4" t="s">
        <v>119</v>
      </c>
      <c r="D2770" s="4" t="s">
        <v>314</v>
      </c>
      <c r="E2770" s="4" t="s">
        <v>296</v>
      </c>
      <c r="F2770" t="s">
        <v>318</v>
      </c>
      <c r="G2770" t="s">
        <v>219</v>
      </c>
      <c r="H2770">
        <f>VLOOKUP(C2770,'TB Apr 24'!$B$13:$AW$103,48,0)</f>
        <v>28000</v>
      </c>
    </row>
    <row r="2771" spans="1:8" x14ac:dyDescent="0.35">
      <c r="A2771" s="77">
        <v>45383</v>
      </c>
      <c r="B2771" s="3" t="s">
        <v>120</v>
      </c>
      <c r="C2771" s="4" t="s">
        <v>121</v>
      </c>
      <c r="D2771" s="4" t="s">
        <v>314</v>
      </c>
      <c r="E2771" s="4" t="s">
        <v>322</v>
      </c>
      <c r="F2771" t="s">
        <v>318</v>
      </c>
      <c r="G2771" t="s">
        <v>219</v>
      </c>
      <c r="H2771">
        <f>VLOOKUP(C2771,'TB Apr 24'!$B$13:$AW$103,48,0)</f>
        <v>0</v>
      </c>
    </row>
    <row r="2772" spans="1:8" x14ac:dyDescent="0.35">
      <c r="A2772" s="77">
        <v>45383</v>
      </c>
      <c r="B2772" s="3" t="s">
        <v>122</v>
      </c>
      <c r="C2772" s="4" t="s">
        <v>123</v>
      </c>
      <c r="D2772" s="4" t="s">
        <v>314</v>
      </c>
      <c r="E2772" s="4" t="s">
        <v>322</v>
      </c>
      <c r="F2772" t="s">
        <v>318</v>
      </c>
      <c r="G2772" t="s">
        <v>219</v>
      </c>
      <c r="H2772">
        <f>VLOOKUP(C2772,'TB Apr 24'!$B$13:$AW$103,48,0)</f>
        <v>0</v>
      </c>
    </row>
    <row r="2773" spans="1:8" x14ac:dyDescent="0.35">
      <c r="A2773" s="77">
        <v>45383</v>
      </c>
      <c r="B2773" s="3" t="s">
        <v>124</v>
      </c>
      <c r="C2773" s="4" t="s">
        <v>125</v>
      </c>
      <c r="D2773" s="4" t="s">
        <v>314</v>
      </c>
      <c r="E2773" s="4" t="s">
        <v>322</v>
      </c>
      <c r="F2773" t="s">
        <v>318</v>
      </c>
      <c r="G2773" t="s">
        <v>219</v>
      </c>
      <c r="H2773">
        <f>VLOOKUP(C2773,'TB Apr 24'!$B$13:$AW$103,48,0)</f>
        <v>0</v>
      </c>
    </row>
    <row r="2774" spans="1:8" x14ac:dyDescent="0.35">
      <c r="A2774" s="77">
        <v>45383</v>
      </c>
      <c r="B2774" s="3" t="s">
        <v>126</v>
      </c>
      <c r="C2774" s="4" t="s">
        <v>127</v>
      </c>
      <c r="D2774" s="4" t="s">
        <v>314</v>
      </c>
      <c r="E2774" s="4" t="s">
        <v>291</v>
      </c>
      <c r="F2774" t="s">
        <v>318</v>
      </c>
      <c r="G2774" t="s">
        <v>219</v>
      </c>
      <c r="H2774">
        <f>VLOOKUP(C2774,'TB Apr 24'!$B$13:$AW$103,48,0)</f>
        <v>0</v>
      </c>
    </row>
    <row r="2775" spans="1:8" x14ac:dyDescent="0.35">
      <c r="A2775" s="77">
        <v>45383</v>
      </c>
      <c r="B2775" s="3" t="s">
        <v>128</v>
      </c>
      <c r="C2775" s="4" t="s">
        <v>129</v>
      </c>
      <c r="D2775" s="4" t="s">
        <v>314</v>
      </c>
      <c r="E2775" s="4" t="s">
        <v>322</v>
      </c>
      <c r="F2775" t="s">
        <v>318</v>
      </c>
      <c r="G2775" t="s">
        <v>219</v>
      </c>
      <c r="H2775">
        <f>VLOOKUP(C2775,'TB Apr 24'!$B$13:$AW$103,48,0)</f>
        <v>38943</v>
      </c>
    </row>
    <row r="2776" spans="1:8" x14ac:dyDescent="0.35">
      <c r="A2776" s="77">
        <v>45383</v>
      </c>
      <c r="B2776" s="3" t="s">
        <v>130</v>
      </c>
      <c r="C2776" s="4" t="s">
        <v>131</v>
      </c>
      <c r="D2776" s="4" t="s">
        <v>314</v>
      </c>
      <c r="E2776" s="4" t="s">
        <v>322</v>
      </c>
      <c r="F2776" t="s">
        <v>318</v>
      </c>
      <c r="G2776" t="s">
        <v>219</v>
      </c>
      <c r="H2776">
        <f>VLOOKUP(C2776,'TB Apr 24'!$B$13:$AW$103,48,0)</f>
        <v>100</v>
      </c>
    </row>
    <row r="2777" spans="1:8" x14ac:dyDescent="0.35">
      <c r="A2777" s="77">
        <v>45383</v>
      </c>
      <c r="B2777" s="3" t="s">
        <v>132</v>
      </c>
      <c r="C2777" s="4" t="s">
        <v>133</v>
      </c>
      <c r="D2777" s="4" t="s">
        <v>314</v>
      </c>
      <c r="E2777" s="4" t="s">
        <v>320</v>
      </c>
      <c r="F2777" t="s">
        <v>318</v>
      </c>
      <c r="G2777" t="s">
        <v>219</v>
      </c>
      <c r="H2777">
        <f>VLOOKUP(C2777,'TB Apr 24'!$B$13:$AW$103,48,0)</f>
        <v>1808</v>
      </c>
    </row>
    <row r="2778" spans="1:8" x14ac:dyDescent="0.35">
      <c r="A2778" s="77">
        <v>45383</v>
      </c>
      <c r="B2778" s="3" t="s">
        <v>134</v>
      </c>
      <c r="C2778" s="4" t="s">
        <v>135</v>
      </c>
      <c r="D2778" s="4" t="s">
        <v>314</v>
      </c>
      <c r="E2778" s="4" t="s">
        <v>299</v>
      </c>
      <c r="F2778" t="s">
        <v>318</v>
      </c>
      <c r="G2778" t="s">
        <v>219</v>
      </c>
      <c r="H2778">
        <f>VLOOKUP(C2778,'TB Apr 24'!$B$13:$AW$103,48,0)</f>
        <v>4818</v>
      </c>
    </row>
    <row r="2779" spans="1:8" x14ac:dyDescent="0.35">
      <c r="A2779" s="77">
        <v>45383</v>
      </c>
      <c r="B2779" s="3" t="s">
        <v>136</v>
      </c>
      <c r="C2779" s="4" t="s">
        <v>137</v>
      </c>
      <c r="D2779" s="4" t="s">
        <v>314</v>
      </c>
      <c r="E2779" s="4" t="s">
        <v>322</v>
      </c>
      <c r="F2779" t="s">
        <v>318</v>
      </c>
      <c r="G2779" t="s">
        <v>219</v>
      </c>
      <c r="H2779">
        <f>VLOOKUP(C2779,'TB Apr 24'!$B$13:$AW$103,48,0)</f>
        <v>0</v>
      </c>
    </row>
    <row r="2780" spans="1:8" x14ac:dyDescent="0.35">
      <c r="A2780" s="77">
        <v>45383</v>
      </c>
      <c r="B2780" s="3" t="s">
        <v>138</v>
      </c>
      <c r="C2780" s="4" t="s">
        <v>139</v>
      </c>
      <c r="D2780" s="4" t="s">
        <v>314</v>
      </c>
      <c r="E2780" s="4" t="s">
        <v>294</v>
      </c>
      <c r="F2780" t="s">
        <v>318</v>
      </c>
      <c r="G2780" t="s">
        <v>219</v>
      </c>
      <c r="H2780">
        <f>VLOOKUP(C2780,'TB Apr 24'!$B$13:$AW$103,48,0)</f>
        <v>28806</v>
      </c>
    </row>
    <row r="2781" spans="1:8" x14ac:dyDescent="0.35">
      <c r="A2781" s="77">
        <v>45383</v>
      </c>
      <c r="B2781" s="3" t="s">
        <v>140</v>
      </c>
      <c r="C2781" s="4" t="s">
        <v>141</v>
      </c>
      <c r="D2781" s="4" t="s">
        <v>314</v>
      </c>
      <c r="E2781" s="4" t="s">
        <v>268</v>
      </c>
      <c r="F2781" t="s">
        <v>318</v>
      </c>
      <c r="G2781" t="s">
        <v>219</v>
      </c>
      <c r="H2781">
        <f>VLOOKUP(C2781,'TB Apr 24'!$B$13:$AW$103,48,0)</f>
        <v>220505.27619999999</v>
      </c>
    </row>
    <row r="2782" spans="1:8" x14ac:dyDescent="0.35">
      <c r="A2782" s="77">
        <v>45383</v>
      </c>
      <c r="B2782" s="3" t="s">
        <v>142</v>
      </c>
      <c r="C2782" s="4" t="s">
        <v>143</v>
      </c>
      <c r="D2782" s="4" t="s">
        <v>314</v>
      </c>
      <c r="E2782" s="4" t="s">
        <v>269</v>
      </c>
      <c r="F2782" t="s">
        <v>318</v>
      </c>
      <c r="G2782" t="s">
        <v>219</v>
      </c>
      <c r="H2782">
        <f>VLOOKUP(C2782,'TB Apr 24'!$B$13:$AW$103,48,0)</f>
        <v>83603</v>
      </c>
    </row>
    <row r="2783" spans="1:8" x14ac:dyDescent="0.35">
      <c r="A2783" s="77">
        <v>45383</v>
      </c>
      <c r="B2783" s="3" t="s">
        <v>144</v>
      </c>
      <c r="C2783" s="4" t="s">
        <v>145</v>
      </c>
      <c r="D2783" s="4" t="s">
        <v>314</v>
      </c>
      <c r="E2783" s="4" t="s">
        <v>288</v>
      </c>
      <c r="F2783" t="s">
        <v>318</v>
      </c>
      <c r="G2783" t="s">
        <v>219</v>
      </c>
      <c r="H2783">
        <f>VLOOKUP(C2783,'TB Apr 24'!$B$13:$AW$103,48,0)</f>
        <v>61709.5</v>
      </c>
    </row>
    <row r="2784" spans="1:8" x14ac:dyDescent="0.35">
      <c r="A2784" s="77">
        <v>45383</v>
      </c>
      <c r="B2784" s="3" t="s">
        <v>146</v>
      </c>
      <c r="C2784" s="4" t="s">
        <v>147</v>
      </c>
      <c r="D2784" s="4" t="s">
        <v>314</v>
      </c>
      <c r="E2784" s="4" t="s">
        <v>288</v>
      </c>
      <c r="F2784" t="s">
        <v>318</v>
      </c>
      <c r="G2784" t="s">
        <v>219</v>
      </c>
      <c r="H2784">
        <f>VLOOKUP(C2784,'TB Apr 24'!$B$13:$AW$103,48,0)</f>
        <v>7320.541666666667</v>
      </c>
    </row>
    <row r="2785" spans="1:8" x14ac:dyDescent="0.35">
      <c r="A2785" s="77">
        <v>45383</v>
      </c>
      <c r="B2785" s="3" t="s">
        <v>148</v>
      </c>
      <c r="C2785" s="4" t="s">
        <v>149</v>
      </c>
      <c r="D2785" s="4" t="s">
        <v>314</v>
      </c>
      <c r="E2785" s="4" t="s">
        <v>287</v>
      </c>
      <c r="F2785" t="s">
        <v>318</v>
      </c>
      <c r="G2785" t="s">
        <v>219</v>
      </c>
      <c r="H2785">
        <f>VLOOKUP(C2785,'TB Apr 24'!$B$13:$AW$103,48,0)</f>
        <v>0</v>
      </c>
    </row>
    <row r="2786" spans="1:8" x14ac:dyDescent="0.35">
      <c r="A2786" s="77">
        <v>45383</v>
      </c>
      <c r="B2786" s="3" t="s">
        <v>150</v>
      </c>
      <c r="C2786" s="4" t="s">
        <v>87</v>
      </c>
      <c r="D2786" s="4" t="s">
        <v>314</v>
      </c>
      <c r="E2786" s="4" t="s">
        <v>288</v>
      </c>
      <c r="F2786" t="s">
        <v>318</v>
      </c>
      <c r="G2786" t="s">
        <v>219</v>
      </c>
      <c r="H2786">
        <f>VLOOKUP(C2786,'TB Apr 24'!$B$13:$AW$103,48,0)</f>
        <v>41291</v>
      </c>
    </row>
    <row r="2787" spans="1:8" x14ac:dyDescent="0.35">
      <c r="A2787" s="77">
        <v>45383</v>
      </c>
      <c r="B2787" s="3" t="s">
        <v>151</v>
      </c>
      <c r="C2787" s="4" t="s">
        <v>152</v>
      </c>
      <c r="D2787" s="4" t="s">
        <v>314</v>
      </c>
      <c r="E2787" s="4" t="s">
        <v>288</v>
      </c>
      <c r="F2787" t="s">
        <v>318</v>
      </c>
      <c r="G2787" t="s">
        <v>219</v>
      </c>
      <c r="H2787">
        <f>VLOOKUP(C2787,'TB Apr 24'!$B$13:$AW$103,48,0)</f>
        <v>4802.5</v>
      </c>
    </row>
    <row r="2788" spans="1:8" x14ac:dyDescent="0.35">
      <c r="A2788" s="77">
        <v>45383</v>
      </c>
      <c r="B2788" s="3" t="s">
        <v>153</v>
      </c>
      <c r="C2788" s="4" t="s">
        <v>154</v>
      </c>
      <c r="D2788" s="4" t="s">
        <v>314</v>
      </c>
      <c r="E2788" s="4" t="s">
        <v>288</v>
      </c>
      <c r="F2788" t="s">
        <v>318</v>
      </c>
      <c r="G2788" t="s">
        <v>219</v>
      </c>
      <c r="H2788">
        <f>VLOOKUP(C2788,'TB Apr 24'!$B$13:$AW$103,48,0)</f>
        <v>19712</v>
      </c>
    </row>
    <row r="2789" spans="1:8" x14ac:dyDescent="0.35">
      <c r="A2789" s="77">
        <v>45383</v>
      </c>
      <c r="B2789" s="3" t="s">
        <v>155</v>
      </c>
      <c r="C2789" s="4" t="s">
        <v>156</v>
      </c>
      <c r="D2789" s="4" t="s">
        <v>314</v>
      </c>
      <c r="E2789" s="4" t="s">
        <v>288</v>
      </c>
      <c r="F2789" t="s">
        <v>318</v>
      </c>
      <c r="G2789" t="s">
        <v>219</v>
      </c>
      <c r="H2789">
        <f>VLOOKUP(C2789,'TB Apr 24'!$B$13:$AW$103,48,0)</f>
        <v>970</v>
      </c>
    </row>
    <row r="2790" spans="1:8" x14ac:dyDescent="0.35">
      <c r="A2790" s="77">
        <v>45383</v>
      </c>
      <c r="B2790" s="3" t="s">
        <v>157</v>
      </c>
      <c r="C2790" s="4" t="s">
        <v>158</v>
      </c>
      <c r="D2790" s="4" t="s">
        <v>314</v>
      </c>
      <c r="E2790" s="4" t="s">
        <v>292</v>
      </c>
      <c r="F2790" t="s">
        <v>318</v>
      </c>
      <c r="G2790" t="s">
        <v>219</v>
      </c>
      <c r="H2790">
        <f>VLOOKUP(C2790,'TB Apr 24'!$B$13:$AW$103,48,0)</f>
        <v>0</v>
      </c>
    </row>
    <row r="2791" spans="1:8" x14ac:dyDescent="0.35">
      <c r="A2791" s="77">
        <v>45383</v>
      </c>
      <c r="B2791" s="3" t="s">
        <v>159</v>
      </c>
      <c r="C2791" s="4" t="s">
        <v>160</v>
      </c>
      <c r="D2791" s="4" t="s">
        <v>314</v>
      </c>
      <c r="E2791" s="4" t="s">
        <v>323</v>
      </c>
      <c r="F2791" t="s">
        <v>318</v>
      </c>
      <c r="G2791" t="s">
        <v>219</v>
      </c>
      <c r="H2791">
        <f>VLOOKUP(C2791,'TB Apr 24'!$B$13:$AW$103,48,0)</f>
        <v>0</v>
      </c>
    </row>
    <row r="2792" spans="1:8" x14ac:dyDescent="0.35">
      <c r="A2792" s="77">
        <v>45383</v>
      </c>
      <c r="B2792" s="3" t="s">
        <v>161</v>
      </c>
      <c r="C2792" s="4" t="s">
        <v>162</v>
      </c>
      <c r="D2792" s="4" t="s">
        <v>314</v>
      </c>
      <c r="E2792" s="4" t="s">
        <v>323</v>
      </c>
      <c r="F2792" t="s">
        <v>318</v>
      </c>
      <c r="G2792" t="s">
        <v>219</v>
      </c>
      <c r="H2792">
        <f>VLOOKUP(C2792,'TB Apr 24'!$B$13:$AW$103,48,0)</f>
        <v>0</v>
      </c>
    </row>
    <row r="2793" spans="1:8" x14ac:dyDescent="0.35">
      <c r="A2793" s="77">
        <v>45383</v>
      </c>
      <c r="B2793" s="3" t="s">
        <v>163</v>
      </c>
      <c r="C2793" s="4" t="s">
        <v>164</v>
      </c>
      <c r="D2793" s="4" t="s">
        <v>314</v>
      </c>
      <c r="E2793" s="4" t="s">
        <v>319</v>
      </c>
      <c r="F2793" t="s">
        <v>318</v>
      </c>
      <c r="G2793" t="s">
        <v>219</v>
      </c>
      <c r="H2793">
        <f>VLOOKUP(C2793,'TB Apr 24'!$B$13:$AW$103,48,0)</f>
        <v>0</v>
      </c>
    </row>
    <row r="2794" spans="1:8" x14ac:dyDescent="0.35">
      <c r="A2794" s="77">
        <v>45383</v>
      </c>
      <c r="B2794" s="3" t="s">
        <v>165</v>
      </c>
      <c r="C2794" s="4" t="s">
        <v>166</v>
      </c>
      <c r="D2794" s="4" t="s">
        <v>314</v>
      </c>
      <c r="E2794" s="4" t="s">
        <v>304</v>
      </c>
      <c r="F2794" t="s">
        <v>318</v>
      </c>
      <c r="G2794" t="s">
        <v>219</v>
      </c>
      <c r="H2794">
        <f>VLOOKUP(C2794,'TB Apr 24'!$B$13:$AW$103,48,0)</f>
        <v>9658</v>
      </c>
    </row>
    <row r="2795" spans="1:8" x14ac:dyDescent="0.35">
      <c r="A2795" s="77">
        <v>45383</v>
      </c>
      <c r="B2795" s="3" t="s">
        <v>167</v>
      </c>
      <c r="C2795" s="4" t="s">
        <v>168</v>
      </c>
      <c r="D2795" s="4" t="s">
        <v>314</v>
      </c>
      <c r="E2795" s="4" t="s">
        <v>322</v>
      </c>
      <c r="F2795" t="s">
        <v>318</v>
      </c>
      <c r="G2795" t="s">
        <v>219</v>
      </c>
      <c r="H2795">
        <f>VLOOKUP(C2795,'TB Apr 24'!$B$13:$AW$103,48,0)</f>
        <v>9269.5</v>
      </c>
    </row>
    <row r="2796" spans="1:8" x14ac:dyDescent="0.35">
      <c r="A2796" s="77">
        <v>45383</v>
      </c>
      <c r="B2796" s="3" t="s">
        <v>169</v>
      </c>
      <c r="C2796" s="4" t="s">
        <v>170</v>
      </c>
      <c r="D2796" s="4" t="s">
        <v>314</v>
      </c>
      <c r="E2796" s="4" t="s">
        <v>304</v>
      </c>
      <c r="F2796" t="s">
        <v>318</v>
      </c>
      <c r="G2796" t="s">
        <v>219</v>
      </c>
      <c r="H2796">
        <f>VLOOKUP(C2796,'TB Apr 24'!$B$13:$AW$103,48,0)</f>
        <v>13903</v>
      </c>
    </row>
    <row r="2797" spans="1:8" x14ac:dyDescent="0.35">
      <c r="A2797" s="77">
        <v>45383</v>
      </c>
      <c r="B2797" s="3" t="s">
        <v>171</v>
      </c>
      <c r="C2797" s="4" t="s">
        <v>172</v>
      </c>
      <c r="D2797" s="4" t="s">
        <v>314</v>
      </c>
      <c r="E2797" s="4" t="s">
        <v>303</v>
      </c>
      <c r="F2797" t="s">
        <v>318</v>
      </c>
      <c r="G2797" t="s">
        <v>219</v>
      </c>
      <c r="H2797">
        <f>VLOOKUP(C2797,'TB Apr 24'!$B$13:$AW$103,48,0)</f>
        <v>0</v>
      </c>
    </row>
    <row r="2798" spans="1:8" x14ac:dyDescent="0.35">
      <c r="A2798" s="77">
        <v>45383</v>
      </c>
      <c r="B2798" s="3" t="s">
        <v>173</v>
      </c>
      <c r="C2798" s="4" t="s">
        <v>174</v>
      </c>
      <c r="D2798" s="4" t="s">
        <v>314</v>
      </c>
      <c r="E2798" s="4" t="s">
        <v>257</v>
      </c>
      <c r="F2798" t="s">
        <v>318</v>
      </c>
      <c r="G2798" t="s">
        <v>219</v>
      </c>
      <c r="H2798">
        <f>VLOOKUP(C2798,'TB Apr 24'!$B$13:$AW$103,48,0)</f>
        <v>0</v>
      </c>
    </row>
    <row r="2799" spans="1:8" x14ac:dyDescent="0.35">
      <c r="A2799" s="77">
        <v>45383</v>
      </c>
      <c r="B2799" s="3" t="s">
        <v>175</v>
      </c>
      <c r="C2799" s="4" t="s">
        <v>176</v>
      </c>
      <c r="D2799" s="4" t="s">
        <v>314</v>
      </c>
      <c r="E2799" s="4" t="s">
        <v>257</v>
      </c>
      <c r="F2799" t="s">
        <v>318</v>
      </c>
      <c r="G2799" t="s">
        <v>219</v>
      </c>
      <c r="H2799">
        <f>VLOOKUP(C2799,'TB Apr 24'!$B$13:$AW$103,48,0)</f>
        <v>0</v>
      </c>
    </row>
    <row r="2800" spans="1:8" x14ac:dyDescent="0.35">
      <c r="A2800" s="77">
        <v>45383</v>
      </c>
      <c r="B2800" s="3" t="s">
        <v>177</v>
      </c>
      <c r="C2800" s="4" t="s">
        <v>178</v>
      </c>
      <c r="D2800" s="4" t="s">
        <v>314</v>
      </c>
      <c r="E2800" s="4" t="s">
        <v>257</v>
      </c>
      <c r="F2800" t="s">
        <v>318</v>
      </c>
      <c r="G2800" t="s">
        <v>219</v>
      </c>
      <c r="H2800">
        <f>VLOOKUP(C2800,'TB Apr 24'!$B$13:$AW$103,48,0)</f>
        <v>0</v>
      </c>
    </row>
    <row r="2801" spans="1:8" x14ac:dyDescent="0.35">
      <c r="A2801" s="77">
        <v>45383</v>
      </c>
      <c r="B2801" s="3" t="s">
        <v>179</v>
      </c>
      <c r="C2801" s="4" t="s">
        <v>180</v>
      </c>
      <c r="D2801" s="4" t="s">
        <v>314</v>
      </c>
      <c r="E2801" s="4" t="s">
        <v>322</v>
      </c>
      <c r="F2801" t="s">
        <v>318</v>
      </c>
      <c r="G2801" t="s">
        <v>219</v>
      </c>
      <c r="H2801">
        <f>VLOOKUP(C2801,'TB Apr 24'!$B$13:$AW$103,48,0)</f>
        <v>0</v>
      </c>
    </row>
    <row r="2802" spans="1:8" x14ac:dyDescent="0.35">
      <c r="A2802" s="77">
        <v>45383</v>
      </c>
      <c r="B2802" s="3" t="s">
        <v>181</v>
      </c>
      <c r="C2802" s="4" t="s">
        <v>182</v>
      </c>
      <c r="D2802" s="4" t="s">
        <v>314</v>
      </c>
      <c r="E2802" s="4" t="s">
        <v>290</v>
      </c>
      <c r="F2802" t="s">
        <v>318</v>
      </c>
      <c r="G2802" t="s">
        <v>219</v>
      </c>
      <c r="H2802">
        <f>VLOOKUP(C2802,'TB Apr 24'!$B$13:$AW$103,48,0)</f>
        <v>7340</v>
      </c>
    </row>
    <row r="2803" spans="1:8" x14ac:dyDescent="0.35">
      <c r="A2803" s="77">
        <v>45383</v>
      </c>
      <c r="B2803" s="3" t="s">
        <v>183</v>
      </c>
      <c r="C2803" s="4" t="s">
        <v>184</v>
      </c>
      <c r="D2803" s="4" t="s">
        <v>314</v>
      </c>
      <c r="E2803" s="4" t="s">
        <v>290</v>
      </c>
      <c r="F2803" t="s">
        <v>318</v>
      </c>
      <c r="G2803" t="s">
        <v>219</v>
      </c>
      <c r="H2803">
        <f>VLOOKUP(C2803,'TB Apr 24'!$B$13:$AW$103,48,0)</f>
        <v>0</v>
      </c>
    </row>
    <row r="2804" spans="1:8" x14ac:dyDescent="0.35">
      <c r="A2804" s="77">
        <v>45383</v>
      </c>
      <c r="B2804" s="3" t="s">
        <v>185</v>
      </c>
      <c r="C2804" s="4" t="s">
        <v>186</v>
      </c>
      <c r="D2804" s="4" t="s">
        <v>314</v>
      </c>
      <c r="E2804" s="4" t="s">
        <v>290</v>
      </c>
      <c r="F2804" t="s">
        <v>318</v>
      </c>
      <c r="G2804" t="s">
        <v>219</v>
      </c>
      <c r="H2804">
        <f>VLOOKUP(C2804,'TB Apr 24'!$B$13:$AW$103,48,0)</f>
        <v>68850</v>
      </c>
    </row>
    <row r="2805" spans="1:8" x14ac:dyDescent="0.35">
      <c r="A2805" s="77">
        <v>45383</v>
      </c>
      <c r="B2805" s="3" t="s">
        <v>187</v>
      </c>
      <c r="C2805" s="4" t="s">
        <v>188</v>
      </c>
      <c r="D2805" s="4" t="s">
        <v>314</v>
      </c>
      <c r="E2805" s="4" t="s">
        <v>291</v>
      </c>
      <c r="F2805" t="s">
        <v>318</v>
      </c>
      <c r="G2805" t="s">
        <v>219</v>
      </c>
      <c r="H2805">
        <f>VLOOKUP(C2805,'TB Apr 24'!$B$13:$AW$103,48,0)</f>
        <v>57287.592120197354</v>
      </c>
    </row>
    <row r="2806" spans="1:8" x14ac:dyDescent="0.35">
      <c r="A2806" s="77">
        <v>45383</v>
      </c>
      <c r="B2806" s="3" t="s">
        <v>189</v>
      </c>
      <c r="C2806" s="4" t="s">
        <v>190</v>
      </c>
      <c r="D2806" s="4" t="s">
        <v>314</v>
      </c>
      <c r="E2806" s="4" t="s">
        <v>254</v>
      </c>
      <c r="F2806" t="s">
        <v>318</v>
      </c>
      <c r="G2806" t="s">
        <v>219</v>
      </c>
      <c r="H2806">
        <f>VLOOKUP(C2806,'TB Apr 24'!$B$13:$AW$103,48,0)</f>
        <v>0</v>
      </c>
    </row>
    <row r="2807" spans="1:8" x14ac:dyDescent="0.35">
      <c r="A2807" s="77">
        <v>45383</v>
      </c>
      <c r="B2807" s="3" t="s">
        <v>191</v>
      </c>
      <c r="C2807" s="4" t="s">
        <v>192</v>
      </c>
      <c r="D2807" s="4" t="s">
        <v>314</v>
      </c>
      <c r="E2807" s="4" t="s">
        <v>254</v>
      </c>
      <c r="F2807" t="s">
        <v>318</v>
      </c>
      <c r="G2807" t="s">
        <v>219</v>
      </c>
      <c r="H2807">
        <f>VLOOKUP(C2807,'TB Apr 24'!$B$13:$AW$103,48,0)</f>
        <v>0</v>
      </c>
    </row>
    <row r="2808" spans="1:8" x14ac:dyDescent="0.35">
      <c r="A2808" s="77">
        <v>45383</v>
      </c>
      <c r="B2808" s="3" t="s">
        <v>193</v>
      </c>
      <c r="C2808" s="4" t="s">
        <v>194</v>
      </c>
      <c r="D2808" s="4" t="s">
        <v>314</v>
      </c>
      <c r="E2808" s="4" t="s">
        <v>254</v>
      </c>
      <c r="F2808" t="s">
        <v>318</v>
      </c>
      <c r="G2808" t="s">
        <v>219</v>
      </c>
      <c r="H2808">
        <f>VLOOKUP(C2808,'TB Apr 24'!$B$13:$AW$103,48,0)</f>
        <v>498528</v>
      </c>
    </row>
    <row r="2809" spans="1:8" x14ac:dyDescent="0.35">
      <c r="A2809" s="77">
        <v>45383</v>
      </c>
      <c r="B2809" s="3" t="s">
        <v>195</v>
      </c>
      <c r="C2809" s="4" t="s">
        <v>196</v>
      </c>
      <c r="D2809" s="4" t="s">
        <v>314</v>
      </c>
      <c r="E2809" s="4" t="s">
        <v>255</v>
      </c>
      <c r="F2809" t="s">
        <v>318</v>
      </c>
      <c r="G2809" t="s">
        <v>219</v>
      </c>
      <c r="H2809">
        <f>VLOOKUP(C2809,'TB Apr 24'!$B$13:$AW$103,48,0)</f>
        <v>0</v>
      </c>
    </row>
    <row r="2810" spans="1:8" x14ac:dyDescent="0.35">
      <c r="A2810" s="77">
        <v>45383</v>
      </c>
      <c r="B2810" s="3" t="s">
        <v>197</v>
      </c>
      <c r="C2810" s="4" t="s">
        <v>198</v>
      </c>
      <c r="D2810" s="4" t="s">
        <v>314</v>
      </c>
      <c r="E2810" s="4" t="s">
        <v>255</v>
      </c>
      <c r="F2810" t="s">
        <v>318</v>
      </c>
      <c r="G2810" t="s">
        <v>219</v>
      </c>
      <c r="H2810">
        <f>VLOOKUP(C2810,'TB Apr 24'!$B$13:$AW$103,48,0)</f>
        <v>0</v>
      </c>
    </row>
    <row r="2811" spans="1:8" x14ac:dyDescent="0.35">
      <c r="A2811" s="77">
        <v>45383</v>
      </c>
      <c r="B2811" s="3" t="s">
        <v>199</v>
      </c>
      <c r="C2811" s="4" t="s">
        <v>200</v>
      </c>
      <c r="D2811" s="4" t="s">
        <v>314</v>
      </c>
      <c r="E2811" s="4" t="s">
        <v>254</v>
      </c>
      <c r="F2811" t="s">
        <v>318</v>
      </c>
      <c r="G2811" t="s">
        <v>219</v>
      </c>
      <c r="H2811">
        <f>VLOOKUP(C2811,'TB Apr 24'!$B$13:$AW$103,48,0)</f>
        <v>0</v>
      </c>
    </row>
    <row r="2812" spans="1:8" x14ac:dyDescent="0.35">
      <c r="A2812" s="77">
        <v>45383</v>
      </c>
      <c r="B2812" s="3" t="s">
        <v>201</v>
      </c>
      <c r="C2812" s="4" t="s">
        <v>202</v>
      </c>
      <c r="D2812" s="4" t="s">
        <v>314</v>
      </c>
      <c r="E2812" s="4" t="s">
        <v>254</v>
      </c>
      <c r="F2812" t="s">
        <v>318</v>
      </c>
      <c r="G2812" t="s">
        <v>219</v>
      </c>
      <c r="H2812">
        <f>VLOOKUP(C2812,'TB Apr 24'!$B$13:$AW$103,48,0)</f>
        <v>0</v>
      </c>
    </row>
    <row r="2813" spans="1:8" x14ac:dyDescent="0.35">
      <c r="A2813" s="77">
        <v>45383</v>
      </c>
      <c r="B2813" s="3" t="s">
        <v>203</v>
      </c>
      <c r="C2813" s="4" t="s">
        <v>204</v>
      </c>
      <c r="D2813" s="4" t="s">
        <v>314</v>
      </c>
      <c r="E2813" s="4" t="s">
        <v>256</v>
      </c>
      <c r="F2813" t="s">
        <v>318</v>
      </c>
      <c r="G2813" t="s">
        <v>219</v>
      </c>
      <c r="H2813">
        <f>VLOOKUP(C2813,'TB Apr 24'!$B$13:$AW$103,48,0)</f>
        <v>45852</v>
      </c>
    </row>
    <row r="2814" spans="1:8" x14ac:dyDescent="0.35">
      <c r="A2814" s="77">
        <v>45383</v>
      </c>
      <c r="B2814" s="3" t="s">
        <v>205</v>
      </c>
      <c r="C2814" s="6" t="s">
        <v>206</v>
      </c>
      <c r="D2814" s="4" t="s">
        <v>314</v>
      </c>
      <c r="E2814" s="6" t="s">
        <v>322</v>
      </c>
      <c r="F2814" s="79" t="s">
        <v>318</v>
      </c>
      <c r="G2814" s="79" t="s">
        <v>219</v>
      </c>
      <c r="H2814" s="79">
        <f>VLOOKUP(C2814,'TB Apr 24'!$B$13:$AW$103,48,0)</f>
        <v>0</v>
      </c>
    </row>
    <row r="2815" spans="1:8" x14ac:dyDescent="0.35">
      <c r="A2815" s="77">
        <v>45383</v>
      </c>
      <c r="B2815" s="3" t="s">
        <v>57</v>
      </c>
      <c r="C2815" s="4" t="s">
        <v>58</v>
      </c>
      <c r="D2815" s="4" t="s">
        <v>314</v>
      </c>
      <c r="E2815" s="4" t="s">
        <v>253</v>
      </c>
      <c r="F2815" t="s">
        <v>235</v>
      </c>
      <c r="G2815" t="s">
        <v>216</v>
      </c>
      <c r="H2815">
        <f>VLOOKUP(C2815,'TB Apr 24'!$B$13:$AX$103,49,0)</f>
        <v>0</v>
      </c>
    </row>
    <row r="2816" spans="1:8" x14ac:dyDescent="0.35">
      <c r="A2816" s="77">
        <v>45383</v>
      </c>
      <c r="B2816" s="3" t="s">
        <v>307</v>
      </c>
      <c r="C2816" s="4" t="s">
        <v>308</v>
      </c>
      <c r="D2816" s="4" t="s">
        <v>314</v>
      </c>
      <c r="E2816" s="4" t="s">
        <v>253</v>
      </c>
      <c r="F2816" t="s">
        <v>235</v>
      </c>
      <c r="G2816" t="s">
        <v>216</v>
      </c>
      <c r="H2816">
        <f>VLOOKUP(C2816,'TB Apr 24'!$B$13:$AX$103,49,0)</f>
        <v>0</v>
      </c>
    </row>
    <row r="2817" spans="1:8" x14ac:dyDescent="0.35">
      <c r="A2817" s="77">
        <v>45383</v>
      </c>
      <c r="B2817" s="3" t="s">
        <v>59</v>
      </c>
      <c r="C2817" s="4" t="s">
        <v>60</v>
      </c>
      <c r="D2817" s="4" t="s">
        <v>314</v>
      </c>
      <c r="E2817" s="4" t="s">
        <v>253</v>
      </c>
      <c r="F2817" t="s">
        <v>235</v>
      </c>
      <c r="G2817" t="s">
        <v>216</v>
      </c>
      <c r="H2817">
        <f>VLOOKUP(C2817,'TB Apr 24'!$B$13:$AX$103,49,0)</f>
        <v>-11.51</v>
      </c>
    </row>
    <row r="2818" spans="1:8" x14ac:dyDescent="0.35">
      <c r="A2818" s="77">
        <v>45383</v>
      </c>
      <c r="B2818" s="3" t="s">
        <v>61</v>
      </c>
      <c r="C2818" s="4" t="s">
        <v>62</v>
      </c>
      <c r="D2818" s="4" t="s">
        <v>314</v>
      </c>
      <c r="E2818" s="4" t="s">
        <v>66</v>
      </c>
      <c r="F2818" t="s">
        <v>235</v>
      </c>
      <c r="G2818" t="s">
        <v>216</v>
      </c>
      <c r="H2818">
        <f>VLOOKUP(C2818,'TB Apr 24'!$B$13:$AX$103,49,0)</f>
        <v>-16775.46</v>
      </c>
    </row>
    <row r="2819" spans="1:8" x14ac:dyDescent="0.35">
      <c r="A2819" s="77">
        <v>45383</v>
      </c>
      <c r="B2819" s="3" t="s">
        <v>63</v>
      </c>
      <c r="C2819" s="4" t="s">
        <v>64</v>
      </c>
      <c r="D2819" s="4" t="s">
        <v>314</v>
      </c>
      <c r="E2819" s="4" t="s">
        <v>252</v>
      </c>
      <c r="F2819" t="s">
        <v>235</v>
      </c>
      <c r="G2819" t="s">
        <v>216</v>
      </c>
      <c r="H2819">
        <f>VLOOKUP(C2819,'TB Apr 24'!$B$13:$AX$103,49,0)</f>
        <v>-206.52</v>
      </c>
    </row>
    <row r="2820" spans="1:8" x14ac:dyDescent="0.35">
      <c r="A2820" s="77">
        <v>45383</v>
      </c>
      <c r="B2820" s="3" t="s">
        <v>65</v>
      </c>
      <c r="C2820" s="4" t="s">
        <v>66</v>
      </c>
      <c r="D2820" s="4" t="s">
        <v>314</v>
      </c>
      <c r="E2820" s="4" t="s">
        <v>66</v>
      </c>
      <c r="F2820" t="s">
        <v>235</v>
      </c>
      <c r="G2820" t="s">
        <v>216</v>
      </c>
      <c r="H2820">
        <f>VLOOKUP(C2820,'TB Apr 24'!$B$13:$AX$103,49,0)</f>
        <v>-854060.22</v>
      </c>
    </row>
    <row r="2821" spans="1:8" x14ac:dyDescent="0.35">
      <c r="A2821" s="77">
        <v>45383</v>
      </c>
      <c r="B2821" s="3" t="s">
        <v>67</v>
      </c>
      <c r="C2821" s="4" t="s">
        <v>68</v>
      </c>
      <c r="D2821" s="4" t="s">
        <v>314</v>
      </c>
      <c r="E2821" s="4" t="s">
        <v>252</v>
      </c>
      <c r="F2821" t="s">
        <v>235</v>
      </c>
      <c r="G2821" t="s">
        <v>216</v>
      </c>
      <c r="H2821">
        <f>VLOOKUP(C2821,'TB Apr 24'!$B$13:$AX$103,49,0)</f>
        <v>-181479.65</v>
      </c>
    </row>
    <row r="2822" spans="1:8" x14ac:dyDescent="0.35">
      <c r="A2822" s="77">
        <v>45383</v>
      </c>
      <c r="B2822" s="3" t="s">
        <v>69</v>
      </c>
      <c r="C2822" s="4" t="s">
        <v>70</v>
      </c>
      <c r="D2822" s="4" t="s">
        <v>314</v>
      </c>
      <c r="E2822" s="4" t="s">
        <v>70</v>
      </c>
      <c r="F2822" t="s">
        <v>235</v>
      </c>
      <c r="G2822" t="s">
        <v>216</v>
      </c>
      <c r="H2822">
        <f>VLOOKUP(C2822,'TB Apr 24'!$B$13:$AX$103,49,0)</f>
        <v>-2700</v>
      </c>
    </row>
    <row r="2823" spans="1:8" x14ac:dyDescent="0.35">
      <c r="A2823" s="77">
        <v>45383</v>
      </c>
      <c r="B2823" s="3" t="s">
        <v>71</v>
      </c>
      <c r="C2823" s="4" t="s">
        <v>72</v>
      </c>
      <c r="D2823" s="4" t="s">
        <v>314</v>
      </c>
      <c r="E2823" s="4" t="s">
        <v>253</v>
      </c>
      <c r="F2823" t="s">
        <v>235</v>
      </c>
      <c r="G2823" t="s">
        <v>216</v>
      </c>
      <c r="H2823">
        <f>VLOOKUP(C2823,'TB Apr 24'!$B$13:$AX$103,49,0)</f>
        <v>0</v>
      </c>
    </row>
    <row r="2824" spans="1:8" x14ac:dyDescent="0.35">
      <c r="A2824" s="77">
        <v>45383</v>
      </c>
      <c r="B2824" s="3" t="s">
        <v>73</v>
      </c>
      <c r="C2824" s="4" t="s">
        <v>74</v>
      </c>
      <c r="D2824" s="4" t="s">
        <v>314</v>
      </c>
      <c r="E2824" s="4" t="s">
        <v>253</v>
      </c>
      <c r="F2824" t="s">
        <v>235</v>
      </c>
      <c r="G2824" t="s">
        <v>216</v>
      </c>
      <c r="H2824">
        <f>VLOOKUP(C2824,'TB Apr 24'!$B$13:$AX$103,49,0)</f>
        <v>0</v>
      </c>
    </row>
    <row r="2825" spans="1:8" x14ac:dyDescent="0.35">
      <c r="A2825" s="77">
        <v>45383</v>
      </c>
      <c r="B2825" s="3" t="s">
        <v>75</v>
      </c>
      <c r="C2825" s="4" t="s">
        <v>76</v>
      </c>
      <c r="D2825" s="4" t="s">
        <v>314</v>
      </c>
      <c r="E2825" s="4" t="s">
        <v>253</v>
      </c>
      <c r="F2825" t="s">
        <v>235</v>
      </c>
      <c r="G2825" t="s">
        <v>216</v>
      </c>
      <c r="H2825">
        <f>VLOOKUP(C2825,'TB Apr 24'!$B$13:$AX$103,49,0)</f>
        <v>0</v>
      </c>
    </row>
    <row r="2826" spans="1:8" x14ac:dyDescent="0.35">
      <c r="A2826" s="77">
        <v>45383</v>
      </c>
      <c r="B2826" s="3" t="s">
        <v>77</v>
      </c>
      <c r="C2826" s="4" t="s">
        <v>78</v>
      </c>
      <c r="D2826" s="4" t="s">
        <v>314</v>
      </c>
      <c r="E2826" s="4" t="s">
        <v>253</v>
      </c>
      <c r="F2826" t="s">
        <v>235</v>
      </c>
      <c r="G2826" t="s">
        <v>216</v>
      </c>
      <c r="H2826">
        <f>VLOOKUP(C2826,'TB Apr 24'!$B$13:$AX$103,49,0)</f>
        <v>-26380.25</v>
      </c>
    </row>
    <row r="2827" spans="1:8" x14ac:dyDescent="0.35">
      <c r="A2827" s="77">
        <v>45383</v>
      </c>
      <c r="B2827" s="3" t="s">
        <v>79</v>
      </c>
      <c r="C2827" s="4" t="s">
        <v>80</v>
      </c>
      <c r="D2827" s="4" t="s">
        <v>314</v>
      </c>
      <c r="E2827" s="4" t="s">
        <v>253</v>
      </c>
      <c r="F2827" t="s">
        <v>235</v>
      </c>
      <c r="G2827" t="s">
        <v>216</v>
      </c>
      <c r="H2827">
        <f>VLOOKUP(C2827,'TB Apr 24'!$B$13:$AX$103,49,0)</f>
        <v>-126</v>
      </c>
    </row>
    <row r="2828" spans="1:8" x14ac:dyDescent="0.35">
      <c r="A2828" s="77">
        <v>45383</v>
      </c>
      <c r="B2828" s="3" t="s">
        <v>81</v>
      </c>
      <c r="C2828" s="4" t="s">
        <v>82</v>
      </c>
      <c r="D2828" s="4" t="s">
        <v>314</v>
      </c>
      <c r="E2828" s="4" t="s">
        <v>319</v>
      </c>
      <c r="F2828" t="s">
        <v>235</v>
      </c>
      <c r="G2828" t="s">
        <v>216</v>
      </c>
      <c r="H2828">
        <f>VLOOKUP(C2828,'TB Apr 24'!$B$13:$AX$103,49,0)</f>
        <v>0</v>
      </c>
    </row>
    <row r="2829" spans="1:8" x14ac:dyDescent="0.35">
      <c r="A2829" s="77">
        <v>45383</v>
      </c>
      <c r="B2829" s="3" t="s">
        <v>83</v>
      </c>
      <c r="C2829" s="4" t="s">
        <v>84</v>
      </c>
      <c r="D2829" s="4" t="s">
        <v>314</v>
      </c>
      <c r="E2829" s="4" t="s">
        <v>319</v>
      </c>
      <c r="F2829" t="s">
        <v>235</v>
      </c>
      <c r="G2829" t="s">
        <v>216</v>
      </c>
      <c r="H2829">
        <f>VLOOKUP(C2829,'TB Apr 24'!$B$13:$AX$103,49,0)</f>
        <v>0</v>
      </c>
    </row>
    <row r="2830" spans="1:8" x14ac:dyDescent="0.35">
      <c r="A2830" s="77">
        <v>45383</v>
      </c>
      <c r="B2830" s="3" t="s">
        <v>85</v>
      </c>
      <c r="C2830" s="4" t="s">
        <v>86</v>
      </c>
      <c r="D2830" s="4" t="s">
        <v>314</v>
      </c>
      <c r="E2830" s="4" t="s">
        <v>291</v>
      </c>
      <c r="F2830" t="s">
        <v>235</v>
      </c>
      <c r="G2830" t="s">
        <v>216</v>
      </c>
      <c r="H2830">
        <f>VLOOKUP(C2830,'TB Apr 24'!$B$13:$AX$103,49,0)</f>
        <v>0</v>
      </c>
    </row>
    <row r="2831" spans="1:8" x14ac:dyDescent="0.35">
      <c r="A2831" s="77">
        <v>45383</v>
      </c>
      <c r="B2831" s="3" t="s">
        <v>88</v>
      </c>
      <c r="C2831" s="4" t="s">
        <v>89</v>
      </c>
      <c r="D2831" s="4" t="s">
        <v>314</v>
      </c>
      <c r="E2831" s="4" t="s">
        <v>300</v>
      </c>
      <c r="F2831" t="s">
        <v>235</v>
      </c>
      <c r="G2831" t="s">
        <v>216</v>
      </c>
      <c r="H2831">
        <f>VLOOKUP(C2831,'TB Apr 24'!$B$13:$AX$103,49,0)</f>
        <v>0</v>
      </c>
    </row>
    <row r="2832" spans="1:8" x14ac:dyDescent="0.35">
      <c r="A2832" s="77">
        <v>45383</v>
      </c>
      <c r="B2832" s="3" t="s">
        <v>90</v>
      </c>
      <c r="C2832" s="4" t="s">
        <v>91</v>
      </c>
      <c r="D2832" s="4" t="s">
        <v>314</v>
      </c>
      <c r="E2832" s="4" t="s">
        <v>300</v>
      </c>
      <c r="F2832" t="s">
        <v>235</v>
      </c>
      <c r="G2832" t="s">
        <v>216</v>
      </c>
      <c r="H2832">
        <f>VLOOKUP(C2832,'TB Apr 24'!$B$13:$AX$103,49,0)</f>
        <v>0</v>
      </c>
    </row>
    <row r="2833" spans="1:8" x14ac:dyDescent="0.35">
      <c r="A2833" s="77">
        <v>45383</v>
      </c>
      <c r="B2833" s="3" t="s">
        <v>92</v>
      </c>
      <c r="C2833" s="4" t="s">
        <v>93</v>
      </c>
      <c r="D2833" s="4" t="s">
        <v>314</v>
      </c>
      <c r="E2833" s="4" t="s">
        <v>300</v>
      </c>
      <c r="F2833" t="s">
        <v>235</v>
      </c>
      <c r="G2833" t="s">
        <v>216</v>
      </c>
      <c r="H2833">
        <f>VLOOKUP(C2833,'TB Apr 24'!$B$13:$AX$103,49,0)</f>
        <v>0</v>
      </c>
    </row>
    <row r="2834" spans="1:8" x14ac:dyDescent="0.35">
      <c r="A2834" s="77">
        <v>45383</v>
      </c>
      <c r="B2834" s="3" t="s">
        <v>94</v>
      </c>
      <c r="C2834" s="4" t="s">
        <v>95</v>
      </c>
      <c r="D2834" s="4" t="s">
        <v>314</v>
      </c>
      <c r="E2834" s="4" t="s">
        <v>289</v>
      </c>
      <c r="F2834" t="s">
        <v>235</v>
      </c>
      <c r="G2834" t="s">
        <v>216</v>
      </c>
      <c r="H2834">
        <f>VLOOKUP(C2834,'TB Apr 24'!$B$13:$AX$103,49,0)</f>
        <v>581068.19999999995</v>
      </c>
    </row>
    <row r="2835" spans="1:8" x14ac:dyDescent="0.35">
      <c r="A2835" s="77">
        <v>45383</v>
      </c>
      <c r="B2835" s="3" t="s">
        <v>96</v>
      </c>
      <c r="C2835" s="4" t="s">
        <v>97</v>
      </c>
      <c r="D2835" s="4" t="s">
        <v>314</v>
      </c>
      <c r="E2835" s="4" t="s">
        <v>289</v>
      </c>
      <c r="F2835" t="s">
        <v>235</v>
      </c>
      <c r="G2835" t="s">
        <v>216</v>
      </c>
      <c r="H2835">
        <f>VLOOKUP(C2835,'TB Apr 24'!$B$13:$AX$103,49,0)</f>
        <v>0</v>
      </c>
    </row>
    <row r="2836" spans="1:8" x14ac:dyDescent="0.35">
      <c r="A2836" s="77">
        <v>45383</v>
      </c>
      <c r="B2836" s="3" t="s">
        <v>309</v>
      </c>
      <c r="C2836" s="4" t="s">
        <v>310</v>
      </c>
      <c r="D2836" s="4" t="s">
        <v>314</v>
      </c>
      <c r="E2836" s="4" t="s">
        <v>289</v>
      </c>
      <c r="F2836" t="s">
        <v>235</v>
      </c>
      <c r="G2836" t="s">
        <v>216</v>
      </c>
      <c r="H2836">
        <f>VLOOKUP(C2836,'TB Apr 24'!$B$13:$AX$103,49,0)</f>
        <v>0</v>
      </c>
    </row>
    <row r="2837" spans="1:8" x14ac:dyDescent="0.35">
      <c r="A2837" s="77">
        <v>45383</v>
      </c>
      <c r="B2837" s="3" t="s">
        <v>98</v>
      </c>
      <c r="C2837" s="4" t="s">
        <v>99</v>
      </c>
      <c r="D2837" s="4" t="s">
        <v>314</v>
      </c>
      <c r="E2837" s="4" t="s">
        <v>289</v>
      </c>
      <c r="F2837" t="s">
        <v>235</v>
      </c>
      <c r="G2837" t="s">
        <v>216</v>
      </c>
      <c r="H2837">
        <f>VLOOKUP(C2837,'TB Apr 24'!$B$13:$AX$103,49,0)</f>
        <v>0</v>
      </c>
    </row>
    <row r="2838" spans="1:8" x14ac:dyDescent="0.35">
      <c r="A2838" s="77">
        <v>45383</v>
      </c>
      <c r="B2838" s="3" t="s">
        <v>100</v>
      </c>
      <c r="C2838" s="4" t="s">
        <v>101</v>
      </c>
      <c r="D2838" s="4" t="s">
        <v>314</v>
      </c>
      <c r="E2838" s="4" t="s">
        <v>291</v>
      </c>
      <c r="F2838" t="s">
        <v>235</v>
      </c>
      <c r="G2838" t="s">
        <v>216</v>
      </c>
      <c r="H2838">
        <f>VLOOKUP(C2838,'TB Apr 24'!$B$13:$AX$103,49,0)</f>
        <v>0</v>
      </c>
    </row>
    <row r="2839" spans="1:8" x14ac:dyDescent="0.35">
      <c r="A2839" s="77">
        <v>45383</v>
      </c>
      <c r="B2839" s="3" t="s">
        <v>102</v>
      </c>
      <c r="C2839" s="4" t="s">
        <v>103</v>
      </c>
      <c r="D2839" s="4" t="s">
        <v>314</v>
      </c>
      <c r="E2839" s="4" t="s">
        <v>291</v>
      </c>
      <c r="F2839" t="s">
        <v>235</v>
      </c>
      <c r="G2839" t="s">
        <v>216</v>
      </c>
      <c r="H2839">
        <f>VLOOKUP(C2839,'TB Apr 24'!$B$13:$AX$103,49,0)</f>
        <v>0</v>
      </c>
    </row>
    <row r="2840" spans="1:8" x14ac:dyDescent="0.35">
      <c r="A2840" s="77">
        <v>45383</v>
      </c>
      <c r="B2840" s="3" t="s">
        <v>104</v>
      </c>
      <c r="C2840" s="4" t="s">
        <v>105</v>
      </c>
      <c r="D2840" s="4" t="s">
        <v>314</v>
      </c>
      <c r="E2840" s="4" t="s">
        <v>291</v>
      </c>
      <c r="F2840" t="s">
        <v>235</v>
      </c>
      <c r="G2840" t="s">
        <v>216</v>
      </c>
      <c r="H2840">
        <f>VLOOKUP(C2840,'TB Apr 24'!$B$13:$AX$103,49,0)</f>
        <v>0</v>
      </c>
    </row>
    <row r="2841" spans="1:8" x14ac:dyDescent="0.35">
      <c r="A2841" s="77">
        <v>45383</v>
      </c>
      <c r="B2841" s="3" t="s">
        <v>106</v>
      </c>
      <c r="C2841" s="4" t="s">
        <v>107</v>
      </c>
      <c r="D2841" s="4" t="s">
        <v>314</v>
      </c>
      <c r="E2841" s="4" t="s">
        <v>321</v>
      </c>
      <c r="F2841" t="s">
        <v>235</v>
      </c>
      <c r="G2841" t="s">
        <v>216</v>
      </c>
      <c r="H2841">
        <f>VLOOKUP(C2841,'TB Apr 24'!$B$13:$AX$103,49,0)</f>
        <v>0</v>
      </c>
    </row>
    <row r="2842" spans="1:8" x14ac:dyDescent="0.35">
      <c r="A2842" s="77">
        <v>45383</v>
      </c>
      <c r="B2842" s="3" t="s">
        <v>108</v>
      </c>
      <c r="C2842" s="4" t="s">
        <v>109</v>
      </c>
      <c r="D2842" s="4" t="s">
        <v>314</v>
      </c>
      <c r="E2842" s="4" t="s">
        <v>321</v>
      </c>
      <c r="F2842" t="s">
        <v>235</v>
      </c>
      <c r="G2842" t="s">
        <v>216</v>
      </c>
      <c r="H2842">
        <f>VLOOKUP(C2842,'TB Apr 24'!$B$13:$AX$103,49,0)</f>
        <v>0</v>
      </c>
    </row>
    <row r="2843" spans="1:8" x14ac:dyDescent="0.35">
      <c r="A2843" s="77">
        <v>45383</v>
      </c>
      <c r="B2843" s="3" t="s">
        <v>110</v>
      </c>
      <c r="C2843" s="4" t="s">
        <v>111</v>
      </c>
      <c r="D2843" s="4" t="s">
        <v>314</v>
      </c>
      <c r="E2843" s="4" t="s">
        <v>320</v>
      </c>
      <c r="F2843" t="s">
        <v>235</v>
      </c>
      <c r="G2843" t="s">
        <v>216</v>
      </c>
      <c r="H2843">
        <f>VLOOKUP(C2843,'TB Apr 24'!$B$13:$AX$103,49,0)</f>
        <v>0</v>
      </c>
    </row>
    <row r="2844" spans="1:8" x14ac:dyDescent="0.35">
      <c r="A2844" s="77">
        <v>45383</v>
      </c>
      <c r="B2844" s="3" t="s">
        <v>112</v>
      </c>
      <c r="C2844" s="4" t="s">
        <v>113</v>
      </c>
      <c r="D2844" s="4" t="s">
        <v>314</v>
      </c>
      <c r="E2844" s="4" t="s">
        <v>321</v>
      </c>
      <c r="F2844" t="s">
        <v>235</v>
      </c>
      <c r="G2844" t="s">
        <v>216</v>
      </c>
      <c r="H2844">
        <f>VLOOKUP(C2844,'TB Apr 24'!$B$13:$AX$103,49,0)</f>
        <v>0</v>
      </c>
    </row>
    <row r="2845" spans="1:8" x14ac:dyDescent="0.35">
      <c r="A2845" s="77">
        <v>45383</v>
      </c>
      <c r="B2845" s="3" t="s">
        <v>311</v>
      </c>
      <c r="C2845" s="4" t="s">
        <v>312</v>
      </c>
      <c r="D2845" s="4" t="s">
        <v>314</v>
      </c>
      <c r="E2845" s="4" t="s">
        <v>288</v>
      </c>
      <c r="F2845" t="s">
        <v>235</v>
      </c>
      <c r="G2845" t="s">
        <v>216</v>
      </c>
      <c r="H2845">
        <f>VLOOKUP(C2845,'TB Apr 24'!$B$13:$AX$103,49,0)</f>
        <v>0</v>
      </c>
    </row>
    <row r="2846" spans="1:8" x14ac:dyDescent="0.35">
      <c r="A2846" s="77">
        <v>45383</v>
      </c>
      <c r="B2846" s="3" t="s">
        <v>114</v>
      </c>
      <c r="C2846" s="4" t="s">
        <v>115</v>
      </c>
      <c r="D2846" s="4" t="s">
        <v>314</v>
      </c>
      <c r="E2846" s="4" t="s">
        <v>294</v>
      </c>
      <c r="F2846" t="s">
        <v>235</v>
      </c>
      <c r="G2846" t="s">
        <v>216</v>
      </c>
      <c r="H2846">
        <f>VLOOKUP(C2846,'TB Apr 24'!$B$13:$AX$103,49,0)</f>
        <v>0</v>
      </c>
    </row>
    <row r="2847" spans="1:8" x14ac:dyDescent="0.35">
      <c r="A2847" s="77">
        <v>45383</v>
      </c>
      <c r="B2847" s="3" t="s">
        <v>116</v>
      </c>
      <c r="C2847" s="4" t="s">
        <v>117</v>
      </c>
      <c r="D2847" s="4" t="s">
        <v>314</v>
      </c>
      <c r="E2847" s="4" t="s">
        <v>296</v>
      </c>
      <c r="F2847" t="s">
        <v>235</v>
      </c>
      <c r="G2847" t="s">
        <v>216</v>
      </c>
      <c r="H2847">
        <f>VLOOKUP(C2847,'TB Apr 24'!$B$13:$AX$103,49,0)</f>
        <v>0</v>
      </c>
    </row>
    <row r="2848" spans="1:8" x14ac:dyDescent="0.35">
      <c r="A2848" s="77">
        <v>45383</v>
      </c>
      <c r="B2848" s="3" t="s">
        <v>118</v>
      </c>
      <c r="C2848" s="4" t="s">
        <v>119</v>
      </c>
      <c r="D2848" s="4" t="s">
        <v>314</v>
      </c>
      <c r="E2848" s="4" t="s">
        <v>296</v>
      </c>
      <c r="F2848" t="s">
        <v>235</v>
      </c>
      <c r="G2848" t="s">
        <v>216</v>
      </c>
      <c r="H2848">
        <f>VLOOKUP(C2848,'TB Apr 24'!$B$13:$AX$103,49,0)</f>
        <v>25250</v>
      </c>
    </row>
    <row r="2849" spans="1:8" x14ac:dyDescent="0.35">
      <c r="A2849" s="77">
        <v>45383</v>
      </c>
      <c r="B2849" s="3" t="s">
        <v>120</v>
      </c>
      <c r="C2849" s="4" t="s">
        <v>121</v>
      </c>
      <c r="D2849" s="4" t="s">
        <v>314</v>
      </c>
      <c r="E2849" s="4" t="s">
        <v>322</v>
      </c>
      <c r="F2849" t="s">
        <v>235</v>
      </c>
      <c r="G2849" t="s">
        <v>216</v>
      </c>
      <c r="H2849">
        <f>VLOOKUP(C2849,'TB Apr 24'!$B$13:$AX$103,49,0)</f>
        <v>0</v>
      </c>
    </row>
    <row r="2850" spans="1:8" x14ac:dyDescent="0.35">
      <c r="A2850" s="77">
        <v>45383</v>
      </c>
      <c r="B2850" s="3" t="s">
        <v>122</v>
      </c>
      <c r="C2850" s="4" t="s">
        <v>123</v>
      </c>
      <c r="D2850" s="4" t="s">
        <v>314</v>
      </c>
      <c r="E2850" s="4" t="s">
        <v>322</v>
      </c>
      <c r="F2850" t="s">
        <v>235</v>
      </c>
      <c r="G2850" t="s">
        <v>216</v>
      </c>
      <c r="H2850">
        <f>VLOOKUP(C2850,'TB Apr 24'!$B$13:$AX$103,49,0)</f>
        <v>0</v>
      </c>
    </row>
    <row r="2851" spans="1:8" x14ac:dyDescent="0.35">
      <c r="A2851" s="77">
        <v>45383</v>
      </c>
      <c r="B2851" s="3" t="s">
        <v>124</v>
      </c>
      <c r="C2851" s="4" t="s">
        <v>125</v>
      </c>
      <c r="D2851" s="4" t="s">
        <v>314</v>
      </c>
      <c r="E2851" s="4" t="s">
        <v>322</v>
      </c>
      <c r="F2851" t="s">
        <v>235</v>
      </c>
      <c r="G2851" t="s">
        <v>216</v>
      </c>
      <c r="H2851">
        <f>VLOOKUP(C2851,'TB Apr 24'!$B$13:$AX$103,49,0)</f>
        <v>0</v>
      </c>
    </row>
    <row r="2852" spans="1:8" x14ac:dyDescent="0.35">
      <c r="A2852" s="77">
        <v>45383</v>
      </c>
      <c r="B2852" s="3" t="s">
        <v>126</v>
      </c>
      <c r="C2852" s="4" t="s">
        <v>127</v>
      </c>
      <c r="D2852" s="4" t="s">
        <v>314</v>
      </c>
      <c r="E2852" s="4" t="s">
        <v>291</v>
      </c>
      <c r="F2852" t="s">
        <v>235</v>
      </c>
      <c r="G2852" t="s">
        <v>216</v>
      </c>
      <c r="H2852">
        <f>VLOOKUP(C2852,'TB Apr 24'!$B$13:$AX$103,49,0)</f>
        <v>0</v>
      </c>
    </row>
    <row r="2853" spans="1:8" x14ac:dyDescent="0.35">
      <c r="A2853" s="77">
        <v>45383</v>
      </c>
      <c r="B2853" s="3" t="s">
        <v>128</v>
      </c>
      <c r="C2853" s="4" t="s">
        <v>129</v>
      </c>
      <c r="D2853" s="4" t="s">
        <v>314</v>
      </c>
      <c r="E2853" s="4" t="s">
        <v>322</v>
      </c>
      <c r="F2853" t="s">
        <v>235</v>
      </c>
      <c r="G2853" t="s">
        <v>216</v>
      </c>
      <c r="H2853">
        <f>VLOOKUP(C2853,'TB Apr 24'!$B$13:$AX$103,49,0)</f>
        <v>30834</v>
      </c>
    </row>
    <row r="2854" spans="1:8" x14ac:dyDescent="0.35">
      <c r="A2854" s="77">
        <v>45383</v>
      </c>
      <c r="B2854" s="3" t="s">
        <v>130</v>
      </c>
      <c r="C2854" s="4" t="s">
        <v>131</v>
      </c>
      <c r="D2854" s="4" t="s">
        <v>314</v>
      </c>
      <c r="E2854" s="4" t="s">
        <v>322</v>
      </c>
      <c r="F2854" t="s">
        <v>235</v>
      </c>
      <c r="G2854" t="s">
        <v>216</v>
      </c>
      <c r="H2854">
        <f>VLOOKUP(C2854,'TB Apr 24'!$B$13:$AX$103,49,0)</f>
        <v>1646</v>
      </c>
    </row>
    <row r="2855" spans="1:8" x14ac:dyDescent="0.35">
      <c r="A2855" s="77">
        <v>45383</v>
      </c>
      <c r="B2855" s="3" t="s">
        <v>132</v>
      </c>
      <c r="C2855" s="4" t="s">
        <v>133</v>
      </c>
      <c r="D2855" s="4" t="s">
        <v>314</v>
      </c>
      <c r="E2855" s="4" t="s">
        <v>320</v>
      </c>
      <c r="F2855" t="s">
        <v>235</v>
      </c>
      <c r="G2855" t="s">
        <v>216</v>
      </c>
      <c r="H2855">
        <f>VLOOKUP(C2855,'TB Apr 24'!$B$13:$AX$103,49,0)</f>
        <v>16284</v>
      </c>
    </row>
    <row r="2856" spans="1:8" x14ac:dyDescent="0.35">
      <c r="A2856" s="77">
        <v>45383</v>
      </c>
      <c r="B2856" s="3" t="s">
        <v>134</v>
      </c>
      <c r="C2856" s="4" t="s">
        <v>135</v>
      </c>
      <c r="D2856" s="4" t="s">
        <v>314</v>
      </c>
      <c r="E2856" s="4" t="s">
        <v>299</v>
      </c>
      <c r="F2856" t="s">
        <v>235</v>
      </c>
      <c r="G2856" t="s">
        <v>216</v>
      </c>
      <c r="H2856">
        <f>VLOOKUP(C2856,'TB Apr 24'!$B$13:$AX$103,49,0)</f>
        <v>0</v>
      </c>
    </row>
    <row r="2857" spans="1:8" x14ac:dyDescent="0.35">
      <c r="A2857" s="77">
        <v>45383</v>
      </c>
      <c r="B2857" s="3" t="s">
        <v>136</v>
      </c>
      <c r="C2857" s="4" t="s">
        <v>137</v>
      </c>
      <c r="D2857" s="4" t="s">
        <v>314</v>
      </c>
      <c r="E2857" s="4" t="s">
        <v>322</v>
      </c>
      <c r="F2857" t="s">
        <v>235</v>
      </c>
      <c r="G2857" t="s">
        <v>216</v>
      </c>
      <c r="H2857">
        <f>VLOOKUP(C2857,'TB Apr 24'!$B$13:$AX$103,49,0)</f>
        <v>0</v>
      </c>
    </row>
    <row r="2858" spans="1:8" x14ac:dyDescent="0.35">
      <c r="A2858" s="77">
        <v>45383</v>
      </c>
      <c r="B2858" s="3" t="s">
        <v>138</v>
      </c>
      <c r="C2858" s="4" t="s">
        <v>139</v>
      </c>
      <c r="D2858" s="4" t="s">
        <v>314</v>
      </c>
      <c r="E2858" s="4" t="s">
        <v>294</v>
      </c>
      <c r="F2858" t="s">
        <v>235</v>
      </c>
      <c r="G2858" t="s">
        <v>216</v>
      </c>
      <c r="H2858">
        <f>VLOOKUP(C2858,'TB Apr 24'!$B$13:$AX$103,49,0)</f>
        <v>6346.5</v>
      </c>
    </row>
    <row r="2859" spans="1:8" x14ac:dyDescent="0.35">
      <c r="A2859" s="77">
        <v>45383</v>
      </c>
      <c r="B2859" s="3" t="s">
        <v>140</v>
      </c>
      <c r="C2859" s="4" t="s">
        <v>141</v>
      </c>
      <c r="D2859" s="4" t="s">
        <v>314</v>
      </c>
      <c r="E2859" s="4" t="s">
        <v>268</v>
      </c>
      <c r="F2859" t="s">
        <v>235</v>
      </c>
      <c r="G2859" t="s">
        <v>216</v>
      </c>
      <c r="H2859">
        <f>VLOOKUP(C2859,'TB Apr 24'!$B$13:$AX$103,49,0)</f>
        <v>118991.35709999998</v>
      </c>
    </row>
    <row r="2860" spans="1:8" x14ac:dyDescent="0.35">
      <c r="A2860" s="77">
        <v>45383</v>
      </c>
      <c r="B2860" s="3" t="s">
        <v>142</v>
      </c>
      <c r="C2860" s="4" t="s">
        <v>143</v>
      </c>
      <c r="D2860" s="4" t="s">
        <v>314</v>
      </c>
      <c r="E2860" s="4" t="s">
        <v>269</v>
      </c>
      <c r="F2860" t="s">
        <v>235</v>
      </c>
      <c r="G2860" t="s">
        <v>216</v>
      </c>
      <c r="H2860">
        <f>VLOOKUP(C2860,'TB Apr 24'!$B$13:$AX$103,49,0)</f>
        <v>102581</v>
      </c>
    </row>
    <row r="2861" spans="1:8" x14ac:dyDescent="0.35">
      <c r="A2861" s="77">
        <v>45383</v>
      </c>
      <c r="B2861" s="3" t="s">
        <v>144</v>
      </c>
      <c r="C2861" s="4" t="s">
        <v>145</v>
      </c>
      <c r="D2861" s="4" t="s">
        <v>314</v>
      </c>
      <c r="E2861" s="4" t="s">
        <v>288</v>
      </c>
      <c r="F2861" t="s">
        <v>235</v>
      </c>
      <c r="G2861" t="s">
        <v>216</v>
      </c>
      <c r="H2861">
        <f>VLOOKUP(C2861,'TB Apr 24'!$B$13:$AX$103,49,0)</f>
        <v>47988.5</v>
      </c>
    </row>
    <row r="2862" spans="1:8" x14ac:dyDescent="0.35">
      <c r="A2862" s="77">
        <v>45383</v>
      </c>
      <c r="B2862" s="3" t="s">
        <v>146</v>
      </c>
      <c r="C2862" s="4" t="s">
        <v>147</v>
      </c>
      <c r="D2862" s="4" t="s">
        <v>314</v>
      </c>
      <c r="E2862" s="4" t="s">
        <v>288</v>
      </c>
      <c r="F2862" t="s">
        <v>235</v>
      </c>
      <c r="G2862" t="s">
        <v>216</v>
      </c>
      <c r="H2862">
        <f>VLOOKUP(C2862,'TB Apr 24'!$B$13:$AX$103,49,0)</f>
        <v>4569</v>
      </c>
    </row>
    <row r="2863" spans="1:8" x14ac:dyDescent="0.35">
      <c r="A2863" s="77">
        <v>45383</v>
      </c>
      <c r="B2863" s="3" t="s">
        <v>148</v>
      </c>
      <c r="C2863" s="4" t="s">
        <v>149</v>
      </c>
      <c r="D2863" s="4" t="s">
        <v>314</v>
      </c>
      <c r="E2863" s="4" t="s">
        <v>287</v>
      </c>
      <c r="F2863" t="s">
        <v>235</v>
      </c>
      <c r="G2863" t="s">
        <v>216</v>
      </c>
      <c r="H2863">
        <f>VLOOKUP(C2863,'TB Apr 24'!$B$13:$AX$103,49,0)</f>
        <v>7288.1049999999996</v>
      </c>
    </row>
    <row r="2864" spans="1:8" x14ac:dyDescent="0.35">
      <c r="A2864" s="77">
        <v>45383</v>
      </c>
      <c r="B2864" s="3" t="s">
        <v>150</v>
      </c>
      <c r="C2864" s="4" t="s">
        <v>87</v>
      </c>
      <c r="D2864" s="4" t="s">
        <v>314</v>
      </c>
      <c r="E2864" s="4" t="s">
        <v>288</v>
      </c>
      <c r="F2864" t="s">
        <v>235</v>
      </c>
      <c r="G2864" t="s">
        <v>216</v>
      </c>
      <c r="H2864">
        <f>VLOOKUP(C2864,'TB Apr 24'!$B$13:$AX$103,49,0)</f>
        <v>38623</v>
      </c>
    </row>
    <row r="2865" spans="1:8" x14ac:dyDescent="0.35">
      <c r="A2865" s="77">
        <v>45383</v>
      </c>
      <c r="B2865" s="3" t="s">
        <v>151</v>
      </c>
      <c r="C2865" s="4" t="s">
        <v>152</v>
      </c>
      <c r="D2865" s="4" t="s">
        <v>314</v>
      </c>
      <c r="E2865" s="4" t="s">
        <v>288</v>
      </c>
      <c r="F2865" t="s">
        <v>235</v>
      </c>
      <c r="G2865" t="s">
        <v>216</v>
      </c>
      <c r="H2865">
        <f>VLOOKUP(C2865,'TB Apr 24'!$B$13:$AX$103,49,0)</f>
        <v>3377.5</v>
      </c>
    </row>
    <row r="2866" spans="1:8" x14ac:dyDescent="0.35">
      <c r="A2866" s="77">
        <v>45383</v>
      </c>
      <c r="B2866" s="3" t="s">
        <v>153</v>
      </c>
      <c r="C2866" s="4" t="s">
        <v>154</v>
      </c>
      <c r="D2866" s="4" t="s">
        <v>314</v>
      </c>
      <c r="E2866" s="4" t="s">
        <v>288</v>
      </c>
      <c r="F2866" t="s">
        <v>235</v>
      </c>
      <c r="G2866" t="s">
        <v>216</v>
      </c>
      <c r="H2866">
        <f>VLOOKUP(C2866,'TB Apr 24'!$B$13:$AX$103,49,0)</f>
        <v>2716</v>
      </c>
    </row>
    <row r="2867" spans="1:8" x14ac:dyDescent="0.35">
      <c r="A2867" s="77">
        <v>45383</v>
      </c>
      <c r="B2867" s="3" t="s">
        <v>155</v>
      </c>
      <c r="C2867" s="4" t="s">
        <v>156</v>
      </c>
      <c r="D2867" s="4" t="s">
        <v>314</v>
      </c>
      <c r="E2867" s="4" t="s">
        <v>288</v>
      </c>
      <c r="F2867" t="s">
        <v>235</v>
      </c>
      <c r="G2867" t="s">
        <v>216</v>
      </c>
      <c r="H2867">
        <f>VLOOKUP(C2867,'TB Apr 24'!$B$13:$AX$103,49,0)</f>
        <v>0</v>
      </c>
    </row>
    <row r="2868" spans="1:8" x14ac:dyDescent="0.35">
      <c r="A2868" s="77">
        <v>45383</v>
      </c>
      <c r="B2868" s="3" t="s">
        <v>157</v>
      </c>
      <c r="C2868" s="4" t="s">
        <v>158</v>
      </c>
      <c r="D2868" s="4" t="s">
        <v>314</v>
      </c>
      <c r="E2868" s="4" t="s">
        <v>292</v>
      </c>
      <c r="F2868" t="s">
        <v>235</v>
      </c>
      <c r="G2868" t="s">
        <v>216</v>
      </c>
      <c r="H2868">
        <f>VLOOKUP(C2868,'TB Apr 24'!$B$13:$AX$103,49,0)</f>
        <v>0</v>
      </c>
    </row>
    <row r="2869" spans="1:8" x14ac:dyDescent="0.35">
      <c r="A2869" s="77">
        <v>45383</v>
      </c>
      <c r="B2869" s="3" t="s">
        <v>159</v>
      </c>
      <c r="C2869" s="4" t="s">
        <v>160</v>
      </c>
      <c r="D2869" s="4" t="s">
        <v>314</v>
      </c>
      <c r="E2869" s="4" t="s">
        <v>323</v>
      </c>
      <c r="F2869" t="s">
        <v>235</v>
      </c>
      <c r="G2869" t="s">
        <v>216</v>
      </c>
      <c r="H2869">
        <f>VLOOKUP(C2869,'TB Apr 24'!$B$13:$AX$103,49,0)</f>
        <v>0</v>
      </c>
    </row>
    <row r="2870" spans="1:8" x14ac:dyDescent="0.35">
      <c r="A2870" s="77">
        <v>45383</v>
      </c>
      <c r="B2870" s="3" t="s">
        <v>161</v>
      </c>
      <c r="C2870" s="4" t="s">
        <v>162</v>
      </c>
      <c r="D2870" s="4" t="s">
        <v>314</v>
      </c>
      <c r="E2870" s="4" t="s">
        <v>323</v>
      </c>
      <c r="F2870" t="s">
        <v>235</v>
      </c>
      <c r="G2870" t="s">
        <v>216</v>
      </c>
      <c r="H2870">
        <f>VLOOKUP(C2870,'TB Apr 24'!$B$13:$AX$103,49,0)</f>
        <v>0</v>
      </c>
    </row>
    <row r="2871" spans="1:8" x14ac:dyDescent="0.35">
      <c r="A2871" s="77">
        <v>45383</v>
      </c>
      <c r="B2871" s="3" t="s">
        <v>163</v>
      </c>
      <c r="C2871" s="4" t="s">
        <v>164</v>
      </c>
      <c r="D2871" s="4" t="s">
        <v>314</v>
      </c>
      <c r="E2871" s="4" t="s">
        <v>319</v>
      </c>
      <c r="F2871" t="s">
        <v>235</v>
      </c>
      <c r="G2871" t="s">
        <v>216</v>
      </c>
      <c r="H2871">
        <f>VLOOKUP(C2871,'TB Apr 24'!$B$13:$AX$103,49,0)</f>
        <v>0</v>
      </c>
    </row>
    <row r="2872" spans="1:8" x14ac:dyDescent="0.35">
      <c r="A2872" s="77">
        <v>45383</v>
      </c>
      <c r="B2872" s="3" t="s">
        <v>165</v>
      </c>
      <c r="C2872" s="4" t="s">
        <v>166</v>
      </c>
      <c r="D2872" s="4" t="s">
        <v>314</v>
      </c>
      <c r="E2872" s="4" t="s">
        <v>304</v>
      </c>
      <c r="F2872" t="s">
        <v>235</v>
      </c>
      <c r="G2872" t="s">
        <v>216</v>
      </c>
      <c r="H2872">
        <f>VLOOKUP(C2872,'TB Apr 24'!$B$13:$AX$103,49,0)</f>
        <v>30253</v>
      </c>
    </row>
    <row r="2873" spans="1:8" x14ac:dyDescent="0.35">
      <c r="A2873" s="77">
        <v>45383</v>
      </c>
      <c r="B2873" s="3" t="s">
        <v>167</v>
      </c>
      <c r="C2873" s="4" t="s">
        <v>168</v>
      </c>
      <c r="D2873" s="4" t="s">
        <v>314</v>
      </c>
      <c r="E2873" s="4" t="s">
        <v>322</v>
      </c>
      <c r="F2873" t="s">
        <v>235</v>
      </c>
      <c r="G2873" t="s">
        <v>216</v>
      </c>
      <c r="H2873">
        <f>VLOOKUP(C2873,'TB Apr 24'!$B$13:$AX$103,49,0)</f>
        <v>0</v>
      </c>
    </row>
    <row r="2874" spans="1:8" x14ac:dyDescent="0.35">
      <c r="A2874" s="77">
        <v>45383</v>
      </c>
      <c r="B2874" s="3" t="s">
        <v>169</v>
      </c>
      <c r="C2874" s="4" t="s">
        <v>170</v>
      </c>
      <c r="D2874" s="4" t="s">
        <v>314</v>
      </c>
      <c r="E2874" s="4" t="s">
        <v>304</v>
      </c>
      <c r="F2874" t="s">
        <v>235</v>
      </c>
      <c r="G2874" t="s">
        <v>216</v>
      </c>
      <c r="H2874">
        <f>VLOOKUP(C2874,'TB Apr 24'!$B$13:$AX$103,49,0)</f>
        <v>104180</v>
      </c>
    </row>
    <row r="2875" spans="1:8" x14ac:dyDescent="0.35">
      <c r="A2875" s="77">
        <v>45383</v>
      </c>
      <c r="B2875" s="3" t="s">
        <v>171</v>
      </c>
      <c r="C2875" s="4" t="s">
        <v>172</v>
      </c>
      <c r="D2875" s="4" t="s">
        <v>314</v>
      </c>
      <c r="E2875" s="4" t="s">
        <v>303</v>
      </c>
      <c r="F2875" t="s">
        <v>235</v>
      </c>
      <c r="G2875" t="s">
        <v>216</v>
      </c>
      <c r="H2875">
        <f>VLOOKUP(C2875,'TB Apr 24'!$B$13:$AX$103,49,0)</f>
        <v>0</v>
      </c>
    </row>
    <row r="2876" spans="1:8" x14ac:dyDescent="0.35">
      <c r="A2876" s="77">
        <v>45383</v>
      </c>
      <c r="B2876" s="3" t="s">
        <v>173</v>
      </c>
      <c r="C2876" s="4" t="s">
        <v>174</v>
      </c>
      <c r="D2876" s="4" t="s">
        <v>314</v>
      </c>
      <c r="E2876" s="4" t="s">
        <v>257</v>
      </c>
      <c r="F2876" t="s">
        <v>235</v>
      </c>
      <c r="G2876" t="s">
        <v>216</v>
      </c>
      <c r="H2876">
        <f>VLOOKUP(C2876,'TB Apr 24'!$B$13:$AX$103,49,0)</f>
        <v>0</v>
      </c>
    </row>
    <row r="2877" spans="1:8" x14ac:dyDescent="0.35">
      <c r="A2877" s="77">
        <v>45383</v>
      </c>
      <c r="B2877" s="3" t="s">
        <v>175</v>
      </c>
      <c r="C2877" s="4" t="s">
        <v>176</v>
      </c>
      <c r="D2877" s="4" t="s">
        <v>314</v>
      </c>
      <c r="E2877" s="4" t="s">
        <v>257</v>
      </c>
      <c r="F2877" t="s">
        <v>235</v>
      </c>
      <c r="G2877" t="s">
        <v>216</v>
      </c>
      <c r="H2877">
        <f>VLOOKUP(C2877,'TB Apr 24'!$B$13:$AX$103,49,0)</f>
        <v>0</v>
      </c>
    </row>
    <row r="2878" spans="1:8" x14ac:dyDescent="0.35">
      <c r="A2878" s="77">
        <v>45383</v>
      </c>
      <c r="B2878" s="3" t="s">
        <v>177</v>
      </c>
      <c r="C2878" s="4" t="s">
        <v>178</v>
      </c>
      <c r="D2878" s="4" t="s">
        <v>314</v>
      </c>
      <c r="E2878" s="4" t="s">
        <v>257</v>
      </c>
      <c r="F2878" t="s">
        <v>235</v>
      </c>
      <c r="G2878" t="s">
        <v>216</v>
      </c>
      <c r="H2878">
        <f>VLOOKUP(C2878,'TB Apr 24'!$B$13:$AX$103,49,0)</f>
        <v>0</v>
      </c>
    </row>
    <row r="2879" spans="1:8" x14ac:dyDescent="0.35">
      <c r="A2879" s="77">
        <v>45383</v>
      </c>
      <c r="B2879" s="3" t="s">
        <v>179</v>
      </c>
      <c r="C2879" s="4" t="s">
        <v>180</v>
      </c>
      <c r="D2879" s="4" t="s">
        <v>314</v>
      </c>
      <c r="E2879" s="4" t="s">
        <v>322</v>
      </c>
      <c r="F2879" t="s">
        <v>235</v>
      </c>
      <c r="G2879" t="s">
        <v>216</v>
      </c>
      <c r="H2879">
        <f>VLOOKUP(C2879,'TB Apr 24'!$B$13:$AX$103,49,0)</f>
        <v>0</v>
      </c>
    </row>
    <row r="2880" spans="1:8" x14ac:dyDescent="0.35">
      <c r="A2880" s="77">
        <v>45383</v>
      </c>
      <c r="B2880" s="3" t="s">
        <v>181</v>
      </c>
      <c r="C2880" s="4" t="s">
        <v>182</v>
      </c>
      <c r="D2880" s="4" t="s">
        <v>314</v>
      </c>
      <c r="E2880" s="4" t="s">
        <v>290</v>
      </c>
      <c r="F2880" t="s">
        <v>235</v>
      </c>
      <c r="G2880" t="s">
        <v>216</v>
      </c>
      <c r="H2880">
        <f>VLOOKUP(C2880,'TB Apr 24'!$B$13:$AX$103,49,0)</f>
        <v>0</v>
      </c>
    </row>
    <row r="2881" spans="1:8" x14ac:dyDescent="0.35">
      <c r="A2881" s="77">
        <v>45383</v>
      </c>
      <c r="B2881" s="3" t="s">
        <v>183</v>
      </c>
      <c r="C2881" s="4" t="s">
        <v>184</v>
      </c>
      <c r="D2881" s="4" t="s">
        <v>314</v>
      </c>
      <c r="E2881" s="4" t="s">
        <v>290</v>
      </c>
      <c r="F2881" t="s">
        <v>235</v>
      </c>
      <c r="G2881" t="s">
        <v>216</v>
      </c>
      <c r="H2881">
        <f>VLOOKUP(C2881,'TB Apr 24'!$B$13:$AX$103,49,0)</f>
        <v>0</v>
      </c>
    </row>
    <row r="2882" spans="1:8" x14ac:dyDescent="0.35">
      <c r="A2882" s="77">
        <v>45383</v>
      </c>
      <c r="B2882" s="3" t="s">
        <v>185</v>
      </c>
      <c r="C2882" s="4" t="s">
        <v>186</v>
      </c>
      <c r="D2882" s="4" t="s">
        <v>314</v>
      </c>
      <c r="E2882" s="4" t="s">
        <v>290</v>
      </c>
      <c r="F2882" t="s">
        <v>235</v>
      </c>
      <c r="G2882" t="s">
        <v>216</v>
      </c>
      <c r="H2882">
        <f>VLOOKUP(C2882,'TB Apr 24'!$B$13:$AX$103,49,0)</f>
        <v>33000</v>
      </c>
    </row>
    <row r="2883" spans="1:8" x14ac:dyDescent="0.35">
      <c r="A2883" s="77">
        <v>45383</v>
      </c>
      <c r="B2883" s="3" t="s">
        <v>187</v>
      </c>
      <c r="C2883" s="4" t="s">
        <v>188</v>
      </c>
      <c r="D2883" s="4" t="s">
        <v>314</v>
      </c>
      <c r="E2883" s="4" t="s">
        <v>291</v>
      </c>
      <c r="F2883" t="s">
        <v>235</v>
      </c>
      <c r="G2883" t="s">
        <v>216</v>
      </c>
      <c r="H2883">
        <f>VLOOKUP(C2883,'TB Apr 24'!$B$13:$AX$103,49,0)</f>
        <v>47525.974999999999</v>
      </c>
    </row>
    <row r="2884" spans="1:8" x14ac:dyDescent="0.35">
      <c r="A2884" s="77">
        <v>45383</v>
      </c>
      <c r="B2884" s="3" t="s">
        <v>189</v>
      </c>
      <c r="C2884" s="4" t="s">
        <v>190</v>
      </c>
      <c r="D2884" s="4" t="s">
        <v>314</v>
      </c>
      <c r="E2884" s="4" t="s">
        <v>254</v>
      </c>
      <c r="F2884" t="s">
        <v>235</v>
      </c>
      <c r="G2884" t="s">
        <v>216</v>
      </c>
      <c r="H2884">
        <f>VLOOKUP(C2884,'TB Apr 24'!$B$13:$AX$103,49,0)</f>
        <v>0</v>
      </c>
    </row>
    <row r="2885" spans="1:8" x14ac:dyDescent="0.35">
      <c r="A2885" s="77">
        <v>45383</v>
      </c>
      <c r="B2885" s="3" t="s">
        <v>191</v>
      </c>
      <c r="C2885" s="4" t="s">
        <v>192</v>
      </c>
      <c r="D2885" s="4" t="s">
        <v>314</v>
      </c>
      <c r="E2885" s="4" t="s">
        <v>254</v>
      </c>
      <c r="F2885" t="s">
        <v>235</v>
      </c>
      <c r="G2885" t="s">
        <v>216</v>
      </c>
      <c r="H2885">
        <f>VLOOKUP(C2885,'TB Apr 24'!$B$13:$AX$103,49,0)</f>
        <v>0</v>
      </c>
    </row>
    <row r="2886" spans="1:8" x14ac:dyDescent="0.35">
      <c r="A2886" s="77">
        <v>45383</v>
      </c>
      <c r="B2886" s="3" t="s">
        <v>193</v>
      </c>
      <c r="C2886" s="4" t="s">
        <v>194</v>
      </c>
      <c r="D2886" s="4" t="s">
        <v>314</v>
      </c>
      <c r="E2886" s="4" t="s">
        <v>254</v>
      </c>
      <c r="F2886" t="s">
        <v>235</v>
      </c>
      <c r="G2886" t="s">
        <v>216</v>
      </c>
      <c r="H2886">
        <f>VLOOKUP(C2886,'TB Apr 24'!$B$13:$AX$103,49,0)</f>
        <v>290687.07309305889</v>
      </c>
    </row>
    <row r="2887" spans="1:8" x14ac:dyDescent="0.35">
      <c r="A2887" s="77">
        <v>45383</v>
      </c>
      <c r="B2887" s="3" t="s">
        <v>195</v>
      </c>
      <c r="C2887" s="4" t="s">
        <v>196</v>
      </c>
      <c r="D2887" s="4" t="s">
        <v>314</v>
      </c>
      <c r="E2887" s="4" t="s">
        <v>255</v>
      </c>
      <c r="F2887" t="s">
        <v>235</v>
      </c>
      <c r="G2887" t="s">
        <v>216</v>
      </c>
      <c r="H2887">
        <f>VLOOKUP(C2887,'TB Apr 24'!$B$13:$AX$103,49,0)</f>
        <v>0</v>
      </c>
    </row>
    <row r="2888" spans="1:8" x14ac:dyDescent="0.35">
      <c r="A2888" s="77">
        <v>45383</v>
      </c>
      <c r="B2888" s="3" t="s">
        <v>197</v>
      </c>
      <c r="C2888" s="4" t="s">
        <v>198</v>
      </c>
      <c r="D2888" s="4" t="s">
        <v>314</v>
      </c>
      <c r="E2888" s="4" t="s">
        <v>255</v>
      </c>
      <c r="F2888" t="s">
        <v>235</v>
      </c>
      <c r="G2888" t="s">
        <v>216</v>
      </c>
      <c r="H2888">
        <f>VLOOKUP(C2888,'TB Apr 24'!$B$13:$AX$103,49,0)</f>
        <v>0</v>
      </c>
    </row>
    <row r="2889" spans="1:8" x14ac:dyDescent="0.35">
      <c r="A2889" s="77">
        <v>45383</v>
      </c>
      <c r="B2889" s="3" t="s">
        <v>199</v>
      </c>
      <c r="C2889" s="4" t="s">
        <v>200</v>
      </c>
      <c r="D2889" s="4" t="s">
        <v>314</v>
      </c>
      <c r="E2889" s="4" t="s">
        <v>254</v>
      </c>
      <c r="F2889" t="s">
        <v>235</v>
      </c>
      <c r="G2889" t="s">
        <v>216</v>
      </c>
      <c r="H2889">
        <f>VLOOKUP(C2889,'TB Apr 24'!$B$13:$AX$103,49,0)</f>
        <v>0</v>
      </c>
    </row>
    <row r="2890" spans="1:8" x14ac:dyDescent="0.35">
      <c r="A2890" s="77">
        <v>45383</v>
      </c>
      <c r="B2890" s="3" t="s">
        <v>201</v>
      </c>
      <c r="C2890" s="4" t="s">
        <v>202</v>
      </c>
      <c r="D2890" s="4" t="s">
        <v>314</v>
      </c>
      <c r="E2890" s="4" t="s">
        <v>254</v>
      </c>
      <c r="F2890" t="s">
        <v>235</v>
      </c>
      <c r="G2890" t="s">
        <v>216</v>
      </c>
      <c r="H2890">
        <f>VLOOKUP(C2890,'TB Apr 24'!$B$13:$AX$103,49,0)</f>
        <v>0</v>
      </c>
    </row>
    <row r="2891" spans="1:8" x14ac:dyDescent="0.35">
      <c r="A2891" s="77">
        <v>45383</v>
      </c>
      <c r="B2891" s="3" t="s">
        <v>203</v>
      </c>
      <c r="C2891" s="4" t="s">
        <v>204</v>
      </c>
      <c r="D2891" s="4" t="s">
        <v>314</v>
      </c>
      <c r="E2891" s="4" t="s">
        <v>256</v>
      </c>
      <c r="F2891" t="s">
        <v>235</v>
      </c>
      <c r="G2891" t="s">
        <v>216</v>
      </c>
      <c r="H2891">
        <f>VLOOKUP(C2891,'TB Apr 24'!$B$13:$AX$103,49,0)</f>
        <v>793.8</v>
      </c>
    </row>
    <row r="2892" spans="1:8" x14ac:dyDescent="0.35">
      <c r="A2892" s="77">
        <v>45383</v>
      </c>
      <c r="B2892" s="3" t="s">
        <v>205</v>
      </c>
      <c r="C2892" s="6" t="s">
        <v>206</v>
      </c>
      <c r="D2892" s="4" t="s">
        <v>314</v>
      </c>
      <c r="E2892" s="6" t="s">
        <v>322</v>
      </c>
      <c r="F2892" s="79" t="s">
        <v>235</v>
      </c>
      <c r="G2892" s="79" t="s">
        <v>216</v>
      </c>
      <c r="H2892" s="79">
        <f>VLOOKUP(C2892,'TB Apr 24'!$B$13:$AX$103,49,0)</f>
        <v>0</v>
      </c>
    </row>
    <row r="2893" spans="1:8" x14ac:dyDescent="0.35">
      <c r="A2893" s="77">
        <v>45383</v>
      </c>
      <c r="B2893" s="3" t="s">
        <v>57</v>
      </c>
      <c r="C2893" s="4" t="s">
        <v>58</v>
      </c>
      <c r="D2893" s="4" t="s">
        <v>314</v>
      </c>
      <c r="E2893" s="4" t="s">
        <v>253</v>
      </c>
      <c r="F2893" t="s">
        <v>235</v>
      </c>
      <c r="G2893" t="s">
        <v>225</v>
      </c>
      <c r="H2893">
        <f>VLOOKUP(C2893,'TB Apr 24'!$B$13:$BA$103,52,0)</f>
        <v>0</v>
      </c>
    </row>
    <row r="2894" spans="1:8" x14ac:dyDescent="0.35">
      <c r="A2894" s="77">
        <v>45383</v>
      </c>
      <c r="B2894" s="3" t="s">
        <v>307</v>
      </c>
      <c r="C2894" s="4" t="s">
        <v>308</v>
      </c>
      <c r="D2894" s="4" t="s">
        <v>314</v>
      </c>
      <c r="E2894" s="4" t="s">
        <v>253</v>
      </c>
      <c r="F2894" t="s">
        <v>235</v>
      </c>
      <c r="G2894" t="s">
        <v>225</v>
      </c>
      <c r="H2894">
        <f>VLOOKUP(C2894,'TB Apr 24'!$B$13:$BA$103,52,0)</f>
        <v>0</v>
      </c>
    </row>
    <row r="2895" spans="1:8" x14ac:dyDescent="0.35">
      <c r="A2895" s="77">
        <v>45383</v>
      </c>
      <c r="B2895" s="3" t="s">
        <v>59</v>
      </c>
      <c r="C2895" s="4" t="s">
        <v>60</v>
      </c>
      <c r="D2895" s="4" t="s">
        <v>314</v>
      </c>
      <c r="E2895" s="4" t="s">
        <v>253</v>
      </c>
      <c r="F2895" t="s">
        <v>235</v>
      </c>
      <c r="G2895" t="s">
        <v>225</v>
      </c>
      <c r="H2895">
        <f>VLOOKUP(C2895,'TB Apr 24'!$B$13:$BA$103,52,0)</f>
        <v>-6.16</v>
      </c>
    </row>
    <row r="2896" spans="1:8" x14ac:dyDescent="0.35">
      <c r="A2896" s="77">
        <v>45383</v>
      </c>
      <c r="B2896" s="3" t="s">
        <v>61</v>
      </c>
      <c r="C2896" s="4" t="s">
        <v>62</v>
      </c>
      <c r="D2896" s="4" t="s">
        <v>314</v>
      </c>
      <c r="E2896" s="4" t="s">
        <v>66</v>
      </c>
      <c r="F2896" t="s">
        <v>235</v>
      </c>
      <c r="G2896" t="s">
        <v>225</v>
      </c>
      <c r="H2896">
        <f>VLOOKUP(C2896,'TB Apr 24'!$B$13:$BA$103,52,0)</f>
        <v>-11376</v>
      </c>
    </row>
    <row r="2897" spans="1:8" x14ac:dyDescent="0.35">
      <c r="A2897" s="77">
        <v>45383</v>
      </c>
      <c r="B2897" s="3" t="s">
        <v>63</v>
      </c>
      <c r="C2897" s="4" t="s">
        <v>64</v>
      </c>
      <c r="D2897" s="4" t="s">
        <v>314</v>
      </c>
      <c r="E2897" s="4" t="s">
        <v>252</v>
      </c>
      <c r="F2897" t="s">
        <v>235</v>
      </c>
      <c r="G2897" t="s">
        <v>225</v>
      </c>
      <c r="H2897">
        <f>VLOOKUP(C2897,'TB Apr 24'!$B$13:$BA$103,52,0)</f>
        <v>0</v>
      </c>
    </row>
    <row r="2898" spans="1:8" x14ac:dyDescent="0.35">
      <c r="A2898" s="77">
        <v>45383</v>
      </c>
      <c r="B2898" s="3" t="s">
        <v>65</v>
      </c>
      <c r="C2898" s="4" t="s">
        <v>66</v>
      </c>
      <c r="D2898" s="4" t="s">
        <v>314</v>
      </c>
      <c r="E2898" s="4" t="s">
        <v>66</v>
      </c>
      <c r="F2898" t="s">
        <v>235</v>
      </c>
      <c r="G2898" t="s">
        <v>225</v>
      </c>
      <c r="H2898">
        <f>VLOOKUP(C2898,'TB Apr 24'!$B$13:$BA$103,52,0)</f>
        <v>-2011912.95</v>
      </c>
    </row>
    <row r="2899" spans="1:8" x14ac:dyDescent="0.35">
      <c r="A2899" s="77">
        <v>45383</v>
      </c>
      <c r="B2899" s="3" t="s">
        <v>67</v>
      </c>
      <c r="C2899" s="4" t="s">
        <v>68</v>
      </c>
      <c r="D2899" s="4" t="s">
        <v>314</v>
      </c>
      <c r="E2899" s="4" t="s">
        <v>252</v>
      </c>
      <c r="F2899" t="s">
        <v>235</v>
      </c>
      <c r="G2899" t="s">
        <v>225</v>
      </c>
      <c r="H2899">
        <f>VLOOKUP(C2899,'TB Apr 24'!$B$13:$BA$103,52,0)</f>
        <v>-256082.11</v>
      </c>
    </row>
    <row r="2900" spans="1:8" x14ac:dyDescent="0.35">
      <c r="A2900" s="77">
        <v>45383</v>
      </c>
      <c r="B2900" s="3" t="s">
        <v>69</v>
      </c>
      <c r="C2900" s="4" t="s">
        <v>70</v>
      </c>
      <c r="D2900" s="4" t="s">
        <v>314</v>
      </c>
      <c r="E2900" s="4" t="s">
        <v>70</v>
      </c>
      <c r="F2900" t="s">
        <v>235</v>
      </c>
      <c r="G2900" t="s">
        <v>225</v>
      </c>
      <c r="H2900">
        <f>VLOOKUP(C2900,'TB Apr 24'!$B$13:$BA$103,52,0)</f>
        <v>-212555.66</v>
      </c>
    </row>
    <row r="2901" spans="1:8" x14ac:dyDescent="0.35">
      <c r="A2901" s="77">
        <v>45383</v>
      </c>
      <c r="B2901" s="3" t="s">
        <v>71</v>
      </c>
      <c r="C2901" s="4" t="s">
        <v>72</v>
      </c>
      <c r="D2901" s="4" t="s">
        <v>314</v>
      </c>
      <c r="E2901" s="4" t="s">
        <v>253</v>
      </c>
      <c r="F2901" t="s">
        <v>235</v>
      </c>
      <c r="G2901" t="s">
        <v>225</v>
      </c>
      <c r="H2901">
        <f>VLOOKUP(C2901,'TB Apr 24'!$B$13:$BA$103,52,0)</f>
        <v>0</v>
      </c>
    </row>
    <row r="2902" spans="1:8" x14ac:dyDescent="0.35">
      <c r="A2902" s="77">
        <v>45383</v>
      </c>
      <c r="B2902" s="3" t="s">
        <v>73</v>
      </c>
      <c r="C2902" s="4" t="s">
        <v>74</v>
      </c>
      <c r="D2902" s="4" t="s">
        <v>314</v>
      </c>
      <c r="E2902" s="4" t="s">
        <v>253</v>
      </c>
      <c r="F2902" t="s">
        <v>235</v>
      </c>
      <c r="G2902" t="s">
        <v>225</v>
      </c>
      <c r="H2902">
        <f>VLOOKUP(C2902,'TB Apr 24'!$B$13:$BA$103,52,0)</f>
        <v>0</v>
      </c>
    </row>
    <row r="2903" spans="1:8" x14ac:dyDescent="0.35">
      <c r="A2903" s="77">
        <v>45383</v>
      </c>
      <c r="B2903" s="3" t="s">
        <v>75</v>
      </c>
      <c r="C2903" s="4" t="s">
        <v>76</v>
      </c>
      <c r="D2903" s="4" t="s">
        <v>314</v>
      </c>
      <c r="E2903" s="4" t="s">
        <v>253</v>
      </c>
      <c r="F2903" t="s">
        <v>235</v>
      </c>
      <c r="G2903" t="s">
        <v>225</v>
      </c>
      <c r="H2903">
        <f>VLOOKUP(C2903,'TB Apr 24'!$B$13:$BA$103,52,0)</f>
        <v>0</v>
      </c>
    </row>
    <row r="2904" spans="1:8" x14ac:dyDescent="0.35">
      <c r="A2904" s="77">
        <v>45383</v>
      </c>
      <c r="B2904" s="3" t="s">
        <v>77</v>
      </c>
      <c r="C2904" s="4" t="s">
        <v>78</v>
      </c>
      <c r="D2904" s="4" t="s">
        <v>314</v>
      </c>
      <c r="E2904" s="4" t="s">
        <v>253</v>
      </c>
      <c r="F2904" t="s">
        <v>235</v>
      </c>
      <c r="G2904" t="s">
        <v>225</v>
      </c>
      <c r="H2904">
        <f>VLOOKUP(C2904,'TB Apr 24'!$B$13:$BA$103,52,0)</f>
        <v>-41691.839999999997</v>
      </c>
    </row>
    <row r="2905" spans="1:8" x14ac:dyDescent="0.35">
      <c r="A2905" s="77">
        <v>45383</v>
      </c>
      <c r="B2905" s="3" t="s">
        <v>79</v>
      </c>
      <c r="C2905" s="4" t="s">
        <v>80</v>
      </c>
      <c r="D2905" s="4" t="s">
        <v>314</v>
      </c>
      <c r="E2905" s="4" t="s">
        <v>253</v>
      </c>
      <c r="F2905" t="s">
        <v>235</v>
      </c>
      <c r="G2905" t="s">
        <v>225</v>
      </c>
      <c r="H2905">
        <f>VLOOKUP(C2905,'TB Apr 24'!$B$13:$BA$103,52,0)</f>
        <v>-15297.57</v>
      </c>
    </row>
    <row r="2906" spans="1:8" x14ac:dyDescent="0.35">
      <c r="A2906" s="77">
        <v>45383</v>
      </c>
      <c r="B2906" s="3" t="s">
        <v>81</v>
      </c>
      <c r="C2906" s="4" t="s">
        <v>82</v>
      </c>
      <c r="D2906" s="4" t="s">
        <v>314</v>
      </c>
      <c r="E2906" s="4" t="s">
        <v>319</v>
      </c>
      <c r="F2906" t="s">
        <v>235</v>
      </c>
      <c r="G2906" t="s">
        <v>225</v>
      </c>
      <c r="H2906">
        <f>VLOOKUP(C2906,'TB Apr 24'!$B$13:$BA$103,52,0)</f>
        <v>0</v>
      </c>
    </row>
    <row r="2907" spans="1:8" x14ac:dyDescent="0.35">
      <c r="A2907" s="77">
        <v>45383</v>
      </c>
      <c r="B2907" s="3" t="s">
        <v>83</v>
      </c>
      <c r="C2907" s="4" t="s">
        <v>84</v>
      </c>
      <c r="D2907" s="4" t="s">
        <v>314</v>
      </c>
      <c r="E2907" s="4" t="s">
        <v>319</v>
      </c>
      <c r="F2907" t="s">
        <v>235</v>
      </c>
      <c r="G2907" t="s">
        <v>225</v>
      </c>
      <c r="H2907">
        <f>VLOOKUP(C2907,'TB Apr 24'!$B$13:$BA$103,52,0)</f>
        <v>0</v>
      </c>
    </row>
    <row r="2908" spans="1:8" x14ac:dyDescent="0.35">
      <c r="A2908" s="77">
        <v>45383</v>
      </c>
      <c r="B2908" s="3" t="s">
        <v>85</v>
      </c>
      <c r="C2908" s="4" t="s">
        <v>86</v>
      </c>
      <c r="D2908" s="4" t="s">
        <v>314</v>
      </c>
      <c r="E2908" s="4" t="s">
        <v>291</v>
      </c>
      <c r="F2908" t="s">
        <v>235</v>
      </c>
      <c r="G2908" t="s">
        <v>225</v>
      </c>
      <c r="H2908">
        <f>VLOOKUP(C2908,'TB Apr 24'!$B$13:$BA$103,52,0)</f>
        <v>0</v>
      </c>
    </row>
    <row r="2909" spans="1:8" x14ac:dyDescent="0.35">
      <c r="A2909" s="77">
        <v>45383</v>
      </c>
      <c r="B2909" s="3" t="s">
        <v>88</v>
      </c>
      <c r="C2909" s="4" t="s">
        <v>89</v>
      </c>
      <c r="D2909" s="4" t="s">
        <v>314</v>
      </c>
      <c r="E2909" s="4" t="s">
        <v>300</v>
      </c>
      <c r="F2909" t="s">
        <v>235</v>
      </c>
      <c r="G2909" t="s">
        <v>225</v>
      </c>
      <c r="H2909">
        <f>VLOOKUP(C2909,'TB Apr 24'!$B$13:$BA$103,52,0)</f>
        <v>0</v>
      </c>
    </row>
    <row r="2910" spans="1:8" x14ac:dyDescent="0.35">
      <c r="A2910" s="77">
        <v>45383</v>
      </c>
      <c r="B2910" s="3" t="s">
        <v>90</v>
      </c>
      <c r="C2910" s="4" t="s">
        <v>91</v>
      </c>
      <c r="D2910" s="4" t="s">
        <v>314</v>
      </c>
      <c r="E2910" s="4" t="s">
        <v>300</v>
      </c>
      <c r="F2910" t="s">
        <v>235</v>
      </c>
      <c r="G2910" t="s">
        <v>225</v>
      </c>
      <c r="H2910">
        <f>VLOOKUP(C2910,'TB Apr 24'!$B$13:$BA$103,52,0)</f>
        <v>2069</v>
      </c>
    </row>
    <row r="2911" spans="1:8" x14ac:dyDescent="0.35">
      <c r="A2911" s="77">
        <v>45383</v>
      </c>
      <c r="B2911" s="3" t="s">
        <v>92</v>
      </c>
      <c r="C2911" s="4" t="s">
        <v>93</v>
      </c>
      <c r="D2911" s="4" t="s">
        <v>314</v>
      </c>
      <c r="E2911" s="4" t="s">
        <v>300</v>
      </c>
      <c r="F2911" t="s">
        <v>235</v>
      </c>
      <c r="G2911" t="s">
        <v>225</v>
      </c>
      <c r="H2911">
        <f>VLOOKUP(C2911,'TB Apr 24'!$B$13:$BA$103,52,0)</f>
        <v>0</v>
      </c>
    </row>
    <row r="2912" spans="1:8" x14ac:dyDescent="0.35">
      <c r="A2912" s="77">
        <v>45383</v>
      </c>
      <c r="B2912" s="3" t="s">
        <v>94</v>
      </c>
      <c r="C2912" s="4" t="s">
        <v>95</v>
      </c>
      <c r="D2912" s="4" t="s">
        <v>314</v>
      </c>
      <c r="E2912" s="4" t="s">
        <v>289</v>
      </c>
      <c r="F2912" t="s">
        <v>235</v>
      </c>
      <c r="G2912" t="s">
        <v>225</v>
      </c>
      <c r="H2912">
        <f>VLOOKUP(C2912,'TB Apr 24'!$B$13:$BA$103,52,0)</f>
        <v>1122332.2</v>
      </c>
    </row>
    <row r="2913" spans="1:8" x14ac:dyDescent="0.35">
      <c r="A2913" s="77">
        <v>45383</v>
      </c>
      <c r="B2913" s="3" t="s">
        <v>96</v>
      </c>
      <c r="C2913" s="4" t="s">
        <v>97</v>
      </c>
      <c r="D2913" s="4" t="s">
        <v>314</v>
      </c>
      <c r="E2913" s="4" t="s">
        <v>289</v>
      </c>
      <c r="F2913" t="s">
        <v>235</v>
      </c>
      <c r="G2913" t="s">
        <v>225</v>
      </c>
      <c r="H2913">
        <f>VLOOKUP(C2913,'TB Apr 24'!$B$13:$BA$103,52,0)</f>
        <v>0</v>
      </c>
    </row>
    <row r="2914" spans="1:8" x14ac:dyDescent="0.35">
      <c r="A2914" s="77">
        <v>45383</v>
      </c>
      <c r="B2914" s="3" t="s">
        <v>309</v>
      </c>
      <c r="C2914" s="4" t="s">
        <v>310</v>
      </c>
      <c r="D2914" s="4" t="s">
        <v>314</v>
      </c>
      <c r="E2914" s="4" t="s">
        <v>289</v>
      </c>
      <c r="F2914" t="s">
        <v>235</v>
      </c>
      <c r="G2914" t="s">
        <v>225</v>
      </c>
      <c r="H2914">
        <f>VLOOKUP(C2914,'TB Apr 24'!$B$13:$BA$103,52,0)</f>
        <v>1172</v>
      </c>
    </row>
    <row r="2915" spans="1:8" x14ac:dyDescent="0.35">
      <c r="A2915" s="77">
        <v>45383</v>
      </c>
      <c r="B2915" s="3" t="s">
        <v>98</v>
      </c>
      <c r="C2915" s="4" t="s">
        <v>99</v>
      </c>
      <c r="D2915" s="4" t="s">
        <v>314</v>
      </c>
      <c r="E2915" s="4" t="s">
        <v>289</v>
      </c>
      <c r="F2915" t="s">
        <v>235</v>
      </c>
      <c r="G2915" t="s">
        <v>225</v>
      </c>
      <c r="H2915">
        <f>VLOOKUP(C2915,'TB Apr 24'!$B$13:$BA$103,52,0)</f>
        <v>0</v>
      </c>
    </row>
    <row r="2916" spans="1:8" x14ac:dyDescent="0.35">
      <c r="A2916" s="77">
        <v>45383</v>
      </c>
      <c r="B2916" s="3" t="s">
        <v>100</v>
      </c>
      <c r="C2916" s="4" t="s">
        <v>101</v>
      </c>
      <c r="D2916" s="4" t="s">
        <v>314</v>
      </c>
      <c r="E2916" s="4" t="s">
        <v>291</v>
      </c>
      <c r="F2916" t="s">
        <v>235</v>
      </c>
      <c r="G2916" t="s">
        <v>225</v>
      </c>
      <c r="H2916">
        <f>VLOOKUP(C2916,'TB Apr 24'!$B$13:$BA$103,52,0)</f>
        <v>0</v>
      </c>
    </row>
    <row r="2917" spans="1:8" x14ac:dyDescent="0.35">
      <c r="A2917" s="77">
        <v>45383</v>
      </c>
      <c r="B2917" s="3" t="s">
        <v>102</v>
      </c>
      <c r="C2917" s="4" t="s">
        <v>103</v>
      </c>
      <c r="D2917" s="4" t="s">
        <v>314</v>
      </c>
      <c r="E2917" s="4" t="s">
        <v>291</v>
      </c>
      <c r="F2917" t="s">
        <v>235</v>
      </c>
      <c r="G2917" t="s">
        <v>225</v>
      </c>
      <c r="H2917">
        <f>VLOOKUP(C2917,'TB Apr 24'!$B$13:$BA$103,52,0)</f>
        <v>0</v>
      </c>
    </row>
    <row r="2918" spans="1:8" x14ac:dyDescent="0.35">
      <c r="A2918" s="77">
        <v>45383</v>
      </c>
      <c r="B2918" s="3" t="s">
        <v>104</v>
      </c>
      <c r="C2918" s="4" t="s">
        <v>105</v>
      </c>
      <c r="D2918" s="4" t="s">
        <v>314</v>
      </c>
      <c r="E2918" s="4" t="s">
        <v>291</v>
      </c>
      <c r="F2918" t="s">
        <v>235</v>
      </c>
      <c r="G2918" t="s">
        <v>225</v>
      </c>
      <c r="H2918">
        <f>VLOOKUP(C2918,'TB Apr 24'!$B$13:$BA$103,52,0)</f>
        <v>0</v>
      </c>
    </row>
    <row r="2919" spans="1:8" x14ac:dyDescent="0.35">
      <c r="A2919" s="77">
        <v>45383</v>
      </c>
      <c r="B2919" s="3" t="s">
        <v>106</v>
      </c>
      <c r="C2919" s="4" t="s">
        <v>107</v>
      </c>
      <c r="D2919" s="4" t="s">
        <v>314</v>
      </c>
      <c r="E2919" s="4" t="s">
        <v>321</v>
      </c>
      <c r="F2919" t="s">
        <v>235</v>
      </c>
      <c r="G2919" t="s">
        <v>225</v>
      </c>
      <c r="H2919">
        <f>VLOOKUP(C2919,'TB Apr 24'!$B$13:$BA$103,52,0)</f>
        <v>0</v>
      </c>
    </row>
    <row r="2920" spans="1:8" x14ac:dyDescent="0.35">
      <c r="A2920" s="77">
        <v>45383</v>
      </c>
      <c r="B2920" s="3" t="s">
        <v>108</v>
      </c>
      <c r="C2920" s="4" t="s">
        <v>109</v>
      </c>
      <c r="D2920" s="4" t="s">
        <v>314</v>
      </c>
      <c r="E2920" s="4" t="s">
        <v>321</v>
      </c>
      <c r="F2920" t="s">
        <v>235</v>
      </c>
      <c r="G2920" t="s">
        <v>225</v>
      </c>
      <c r="H2920">
        <f>VLOOKUP(C2920,'TB Apr 24'!$B$13:$BA$103,52,0)</f>
        <v>0</v>
      </c>
    </row>
    <row r="2921" spans="1:8" x14ac:dyDescent="0.35">
      <c r="A2921" s="77">
        <v>45383</v>
      </c>
      <c r="B2921" s="3" t="s">
        <v>110</v>
      </c>
      <c r="C2921" s="4" t="s">
        <v>111</v>
      </c>
      <c r="D2921" s="4" t="s">
        <v>314</v>
      </c>
      <c r="E2921" s="4" t="s">
        <v>320</v>
      </c>
      <c r="F2921" t="s">
        <v>235</v>
      </c>
      <c r="G2921" t="s">
        <v>225</v>
      </c>
      <c r="H2921">
        <f>VLOOKUP(C2921,'TB Apr 24'!$B$13:$BA$103,52,0)</f>
        <v>0</v>
      </c>
    </row>
    <row r="2922" spans="1:8" x14ac:dyDescent="0.35">
      <c r="A2922" s="77">
        <v>45383</v>
      </c>
      <c r="B2922" s="3" t="s">
        <v>112</v>
      </c>
      <c r="C2922" s="4" t="s">
        <v>113</v>
      </c>
      <c r="D2922" s="4" t="s">
        <v>314</v>
      </c>
      <c r="E2922" s="4" t="s">
        <v>321</v>
      </c>
      <c r="F2922" t="s">
        <v>235</v>
      </c>
      <c r="G2922" t="s">
        <v>225</v>
      </c>
      <c r="H2922">
        <f>VLOOKUP(C2922,'TB Apr 24'!$B$13:$BA$103,52,0)</f>
        <v>0</v>
      </c>
    </row>
    <row r="2923" spans="1:8" x14ac:dyDescent="0.35">
      <c r="A2923" s="77">
        <v>45383</v>
      </c>
      <c r="B2923" s="3" t="s">
        <v>311</v>
      </c>
      <c r="C2923" s="4" t="s">
        <v>312</v>
      </c>
      <c r="D2923" s="4" t="s">
        <v>314</v>
      </c>
      <c r="E2923" s="4" t="s">
        <v>288</v>
      </c>
      <c r="F2923" t="s">
        <v>235</v>
      </c>
      <c r="G2923" t="s">
        <v>225</v>
      </c>
      <c r="H2923">
        <f>VLOOKUP(C2923,'TB Apr 24'!$B$13:$BA$103,52,0)</f>
        <v>0</v>
      </c>
    </row>
    <row r="2924" spans="1:8" x14ac:dyDescent="0.35">
      <c r="A2924" s="77">
        <v>45383</v>
      </c>
      <c r="B2924" s="3" t="s">
        <v>114</v>
      </c>
      <c r="C2924" s="4" t="s">
        <v>115</v>
      </c>
      <c r="D2924" s="4" t="s">
        <v>314</v>
      </c>
      <c r="E2924" s="4" t="s">
        <v>294</v>
      </c>
      <c r="F2924" t="s">
        <v>235</v>
      </c>
      <c r="G2924" t="s">
        <v>225</v>
      </c>
      <c r="H2924">
        <f>VLOOKUP(C2924,'TB Apr 24'!$B$13:$BA$103,52,0)</f>
        <v>10000</v>
      </c>
    </row>
    <row r="2925" spans="1:8" x14ac:dyDescent="0.35">
      <c r="A2925" s="77">
        <v>45383</v>
      </c>
      <c r="B2925" s="3" t="s">
        <v>116</v>
      </c>
      <c r="C2925" s="4" t="s">
        <v>117</v>
      </c>
      <c r="D2925" s="4" t="s">
        <v>314</v>
      </c>
      <c r="E2925" s="4" t="s">
        <v>296</v>
      </c>
      <c r="F2925" t="s">
        <v>235</v>
      </c>
      <c r="G2925" t="s">
        <v>225</v>
      </c>
      <c r="H2925">
        <f>VLOOKUP(C2925,'TB Apr 24'!$B$13:$BA$103,52,0)</f>
        <v>0</v>
      </c>
    </row>
    <row r="2926" spans="1:8" x14ac:dyDescent="0.35">
      <c r="A2926" s="77">
        <v>45383</v>
      </c>
      <c r="B2926" s="3" t="s">
        <v>118</v>
      </c>
      <c r="C2926" s="4" t="s">
        <v>119</v>
      </c>
      <c r="D2926" s="4" t="s">
        <v>314</v>
      </c>
      <c r="E2926" s="4" t="s">
        <v>296</v>
      </c>
      <c r="F2926" t="s">
        <v>235</v>
      </c>
      <c r="G2926" t="s">
        <v>225</v>
      </c>
      <c r="H2926">
        <f>VLOOKUP(C2926,'TB Apr 24'!$B$13:$BA$103,52,0)</f>
        <v>25250</v>
      </c>
    </row>
    <row r="2927" spans="1:8" x14ac:dyDescent="0.35">
      <c r="A2927" s="77">
        <v>45383</v>
      </c>
      <c r="B2927" s="3" t="s">
        <v>120</v>
      </c>
      <c r="C2927" s="4" t="s">
        <v>121</v>
      </c>
      <c r="D2927" s="4" t="s">
        <v>314</v>
      </c>
      <c r="E2927" s="4" t="s">
        <v>322</v>
      </c>
      <c r="F2927" t="s">
        <v>235</v>
      </c>
      <c r="G2927" t="s">
        <v>225</v>
      </c>
      <c r="H2927">
        <f>VLOOKUP(C2927,'TB Apr 24'!$B$13:$BA$103,52,0)</f>
        <v>0</v>
      </c>
    </row>
    <row r="2928" spans="1:8" x14ac:dyDescent="0.35">
      <c r="A2928" s="77">
        <v>45383</v>
      </c>
      <c r="B2928" s="3" t="s">
        <v>122</v>
      </c>
      <c r="C2928" s="4" t="s">
        <v>123</v>
      </c>
      <c r="D2928" s="4" t="s">
        <v>314</v>
      </c>
      <c r="E2928" s="4" t="s">
        <v>322</v>
      </c>
      <c r="F2928" t="s">
        <v>235</v>
      </c>
      <c r="G2928" t="s">
        <v>225</v>
      </c>
      <c r="H2928">
        <f>VLOOKUP(C2928,'TB Apr 24'!$B$13:$BA$103,52,0)</f>
        <v>0</v>
      </c>
    </row>
    <row r="2929" spans="1:8" x14ac:dyDescent="0.35">
      <c r="A2929" s="77">
        <v>45383</v>
      </c>
      <c r="B2929" s="3" t="s">
        <v>124</v>
      </c>
      <c r="C2929" s="4" t="s">
        <v>125</v>
      </c>
      <c r="D2929" s="4" t="s">
        <v>314</v>
      </c>
      <c r="E2929" s="4" t="s">
        <v>322</v>
      </c>
      <c r="F2929" t="s">
        <v>235</v>
      </c>
      <c r="G2929" t="s">
        <v>225</v>
      </c>
      <c r="H2929">
        <f>VLOOKUP(C2929,'TB Apr 24'!$B$13:$BA$103,52,0)</f>
        <v>0</v>
      </c>
    </row>
    <row r="2930" spans="1:8" x14ac:dyDescent="0.35">
      <c r="A2930" s="77">
        <v>45383</v>
      </c>
      <c r="B2930" s="3" t="s">
        <v>126</v>
      </c>
      <c r="C2930" s="4" t="s">
        <v>127</v>
      </c>
      <c r="D2930" s="4" t="s">
        <v>314</v>
      </c>
      <c r="E2930" s="4" t="s">
        <v>291</v>
      </c>
      <c r="F2930" t="s">
        <v>235</v>
      </c>
      <c r="G2930" t="s">
        <v>225</v>
      </c>
      <c r="H2930">
        <f>VLOOKUP(C2930,'TB Apr 24'!$B$13:$BA$103,52,0)</f>
        <v>0</v>
      </c>
    </row>
    <row r="2931" spans="1:8" x14ac:dyDescent="0.35">
      <c r="A2931" s="77">
        <v>45383</v>
      </c>
      <c r="B2931" s="3" t="s">
        <v>128</v>
      </c>
      <c r="C2931" s="4" t="s">
        <v>129</v>
      </c>
      <c r="D2931" s="4" t="s">
        <v>314</v>
      </c>
      <c r="E2931" s="4" t="s">
        <v>322</v>
      </c>
      <c r="F2931" t="s">
        <v>235</v>
      </c>
      <c r="G2931" t="s">
        <v>225</v>
      </c>
      <c r="H2931">
        <f>VLOOKUP(C2931,'TB Apr 24'!$B$13:$BA$103,52,0)</f>
        <v>69645</v>
      </c>
    </row>
    <row r="2932" spans="1:8" x14ac:dyDescent="0.35">
      <c r="A2932" s="77">
        <v>45383</v>
      </c>
      <c r="B2932" s="3" t="s">
        <v>130</v>
      </c>
      <c r="C2932" s="4" t="s">
        <v>131</v>
      </c>
      <c r="D2932" s="4" t="s">
        <v>314</v>
      </c>
      <c r="E2932" s="4" t="s">
        <v>322</v>
      </c>
      <c r="F2932" t="s">
        <v>235</v>
      </c>
      <c r="G2932" t="s">
        <v>225</v>
      </c>
      <c r="H2932">
        <f>VLOOKUP(C2932,'TB Apr 24'!$B$13:$BA$103,52,0)</f>
        <v>0</v>
      </c>
    </row>
    <row r="2933" spans="1:8" x14ac:dyDescent="0.35">
      <c r="A2933" s="77">
        <v>45383</v>
      </c>
      <c r="B2933" s="3" t="s">
        <v>132</v>
      </c>
      <c r="C2933" s="4" t="s">
        <v>133</v>
      </c>
      <c r="D2933" s="4" t="s">
        <v>314</v>
      </c>
      <c r="E2933" s="4" t="s">
        <v>320</v>
      </c>
      <c r="F2933" t="s">
        <v>235</v>
      </c>
      <c r="G2933" t="s">
        <v>225</v>
      </c>
      <c r="H2933">
        <f>VLOOKUP(C2933,'TB Apr 24'!$B$13:$BA$103,52,0)</f>
        <v>13159</v>
      </c>
    </row>
    <row r="2934" spans="1:8" x14ac:dyDescent="0.35">
      <c r="A2934" s="77">
        <v>45383</v>
      </c>
      <c r="B2934" s="3" t="s">
        <v>134</v>
      </c>
      <c r="C2934" s="4" t="s">
        <v>135</v>
      </c>
      <c r="D2934" s="4" t="s">
        <v>314</v>
      </c>
      <c r="E2934" s="4" t="s">
        <v>299</v>
      </c>
      <c r="F2934" t="s">
        <v>235</v>
      </c>
      <c r="G2934" t="s">
        <v>225</v>
      </c>
      <c r="H2934">
        <f>VLOOKUP(C2934,'TB Apr 24'!$B$13:$BA$103,52,0)</f>
        <v>2786</v>
      </c>
    </row>
    <row r="2935" spans="1:8" x14ac:dyDescent="0.35">
      <c r="A2935" s="77">
        <v>45383</v>
      </c>
      <c r="B2935" s="3" t="s">
        <v>136</v>
      </c>
      <c r="C2935" s="4" t="s">
        <v>137</v>
      </c>
      <c r="D2935" s="4" t="s">
        <v>314</v>
      </c>
      <c r="E2935" s="4" t="s">
        <v>322</v>
      </c>
      <c r="F2935" t="s">
        <v>235</v>
      </c>
      <c r="G2935" t="s">
        <v>225</v>
      </c>
      <c r="H2935">
        <f>VLOOKUP(C2935,'TB Apr 24'!$B$13:$BA$103,52,0)</f>
        <v>0</v>
      </c>
    </row>
    <row r="2936" spans="1:8" x14ac:dyDescent="0.35">
      <c r="A2936" s="77">
        <v>45383</v>
      </c>
      <c r="B2936" s="3" t="s">
        <v>138</v>
      </c>
      <c r="C2936" s="4" t="s">
        <v>139</v>
      </c>
      <c r="D2936" s="4" t="s">
        <v>314</v>
      </c>
      <c r="E2936" s="4" t="s">
        <v>294</v>
      </c>
      <c r="F2936" t="s">
        <v>235</v>
      </c>
      <c r="G2936" t="s">
        <v>225</v>
      </c>
      <c r="H2936">
        <f>VLOOKUP(C2936,'TB Apr 24'!$B$13:$BA$103,52,0)</f>
        <v>19872</v>
      </c>
    </row>
    <row r="2937" spans="1:8" x14ac:dyDescent="0.35">
      <c r="A2937" s="77">
        <v>45383</v>
      </c>
      <c r="B2937" s="3" t="s">
        <v>140</v>
      </c>
      <c r="C2937" s="4" t="s">
        <v>141</v>
      </c>
      <c r="D2937" s="4" t="s">
        <v>314</v>
      </c>
      <c r="E2937" s="4" t="s">
        <v>268</v>
      </c>
      <c r="F2937" t="s">
        <v>235</v>
      </c>
      <c r="G2937" t="s">
        <v>225</v>
      </c>
      <c r="H2937">
        <f>VLOOKUP(C2937,'TB Apr 24'!$B$13:$BA$103,52,0)</f>
        <v>280381.45189999999</v>
      </c>
    </row>
    <row r="2938" spans="1:8" x14ac:dyDescent="0.35">
      <c r="A2938" s="77">
        <v>45383</v>
      </c>
      <c r="B2938" s="3" t="s">
        <v>142</v>
      </c>
      <c r="C2938" s="4" t="s">
        <v>143</v>
      </c>
      <c r="D2938" s="4" t="s">
        <v>314</v>
      </c>
      <c r="E2938" s="4" t="s">
        <v>269</v>
      </c>
      <c r="F2938" t="s">
        <v>235</v>
      </c>
      <c r="G2938" t="s">
        <v>225</v>
      </c>
      <c r="H2938">
        <f>VLOOKUP(C2938,'TB Apr 24'!$B$13:$BA$103,52,0)</f>
        <v>102581</v>
      </c>
    </row>
    <row r="2939" spans="1:8" x14ac:dyDescent="0.35">
      <c r="A2939" s="77">
        <v>45383</v>
      </c>
      <c r="B2939" s="3" t="s">
        <v>144</v>
      </c>
      <c r="C2939" s="4" t="s">
        <v>145</v>
      </c>
      <c r="D2939" s="4" t="s">
        <v>314</v>
      </c>
      <c r="E2939" s="4" t="s">
        <v>288</v>
      </c>
      <c r="F2939" t="s">
        <v>235</v>
      </c>
      <c r="G2939" t="s">
        <v>225</v>
      </c>
      <c r="H2939">
        <f>VLOOKUP(C2939,'TB Apr 24'!$B$13:$BA$103,52,0)</f>
        <v>47988.5</v>
      </c>
    </row>
    <row r="2940" spans="1:8" x14ac:dyDescent="0.35">
      <c r="A2940" s="77">
        <v>45383</v>
      </c>
      <c r="B2940" s="3" t="s">
        <v>146</v>
      </c>
      <c r="C2940" s="4" t="s">
        <v>147</v>
      </c>
      <c r="D2940" s="4" t="s">
        <v>314</v>
      </c>
      <c r="E2940" s="4" t="s">
        <v>288</v>
      </c>
      <c r="F2940" t="s">
        <v>235</v>
      </c>
      <c r="G2940" t="s">
        <v>225</v>
      </c>
      <c r="H2940">
        <f>VLOOKUP(C2940,'TB Apr 24'!$B$13:$BA$103,52,0)</f>
        <v>4569</v>
      </c>
    </row>
    <row r="2941" spans="1:8" x14ac:dyDescent="0.35">
      <c r="A2941" s="77">
        <v>45383</v>
      </c>
      <c r="B2941" s="3" t="s">
        <v>148</v>
      </c>
      <c r="C2941" s="4" t="s">
        <v>149</v>
      </c>
      <c r="D2941" s="4" t="s">
        <v>314</v>
      </c>
      <c r="E2941" s="4" t="s">
        <v>287</v>
      </c>
      <c r="F2941" t="s">
        <v>235</v>
      </c>
      <c r="G2941" t="s">
        <v>225</v>
      </c>
      <c r="H2941">
        <f>VLOOKUP(C2941,'TB Apr 24'!$B$13:$BA$103,52,0)</f>
        <v>7288.1049999999996</v>
      </c>
    </row>
    <row r="2942" spans="1:8" x14ac:dyDescent="0.35">
      <c r="A2942" s="77">
        <v>45383</v>
      </c>
      <c r="B2942" s="3" t="s">
        <v>150</v>
      </c>
      <c r="C2942" s="4" t="s">
        <v>87</v>
      </c>
      <c r="D2942" s="4" t="s">
        <v>314</v>
      </c>
      <c r="E2942" s="4" t="s">
        <v>288</v>
      </c>
      <c r="F2942" t="s">
        <v>235</v>
      </c>
      <c r="G2942" t="s">
        <v>225</v>
      </c>
      <c r="H2942">
        <f>VLOOKUP(C2942,'TB Apr 24'!$B$13:$BA$103,52,0)</f>
        <v>38623</v>
      </c>
    </row>
    <row r="2943" spans="1:8" x14ac:dyDescent="0.35">
      <c r="A2943" s="77">
        <v>45383</v>
      </c>
      <c r="B2943" s="3" t="s">
        <v>151</v>
      </c>
      <c r="C2943" s="4" t="s">
        <v>152</v>
      </c>
      <c r="D2943" s="4" t="s">
        <v>314</v>
      </c>
      <c r="E2943" s="4" t="s">
        <v>288</v>
      </c>
      <c r="F2943" t="s">
        <v>235</v>
      </c>
      <c r="G2943" t="s">
        <v>225</v>
      </c>
      <c r="H2943">
        <f>VLOOKUP(C2943,'TB Apr 24'!$B$13:$BA$103,52,0)</f>
        <v>3377.5</v>
      </c>
    </row>
    <row r="2944" spans="1:8" x14ac:dyDescent="0.35">
      <c r="A2944" s="77">
        <v>45383</v>
      </c>
      <c r="B2944" s="3" t="s">
        <v>153</v>
      </c>
      <c r="C2944" s="4" t="s">
        <v>154</v>
      </c>
      <c r="D2944" s="4" t="s">
        <v>314</v>
      </c>
      <c r="E2944" s="4" t="s">
        <v>288</v>
      </c>
      <c r="F2944" t="s">
        <v>235</v>
      </c>
      <c r="G2944" t="s">
        <v>225</v>
      </c>
      <c r="H2944">
        <f>VLOOKUP(C2944,'TB Apr 24'!$B$13:$BA$103,52,0)</f>
        <v>2716</v>
      </c>
    </row>
    <row r="2945" spans="1:8" x14ac:dyDescent="0.35">
      <c r="A2945" s="77">
        <v>45383</v>
      </c>
      <c r="B2945" s="3" t="s">
        <v>155</v>
      </c>
      <c r="C2945" s="4" t="s">
        <v>156</v>
      </c>
      <c r="D2945" s="4" t="s">
        <v>314</v>
      </c>
      <c r="E2945" s="4" t="s">
        <v>288</v>
      </c>
      <c r="F2945" t="s">
        <v>235</v>
      </c>
      <c r="G2945" t="s">
        <v>225</v>
      </c>
      <c r="H2945">
        <f>VLOOKUP(C2945,'TB Apr 24'!$B$13:$BA$103,52,0)</f>
        <v>0</v>
      </c>
    </row>
    <row r="2946" spans="1:8" x14ac:dyDescent="0.35">
      <c r="A2946" s="77">
        <v>45383</v>
      </c>
      <c r="B2946" s="3" t="s">
        <v>157</v>
      </c>
      <c r="C2946" s="4" t="s">
        <v>158</v>
      </c>
      <c r="D2946" s="4" t="s">
        <v>314</v>
      </c>
      <c r="E2946" s="4" t="s">
        <v>292</v>
      </c>
      <c r="F2946" t="s">
        <v>235</v>
      </c>
      <c r="G2946" t="s">
        <v>225</v>
      </c>
      <c r="H2946">
        <f>VLOOKUP(C2946,'TB Apr 24'!$B$13:$BA$103,52,0)</f>
        <v>0</v>
      </c>
    </row>
    <row r="2947" spans="1:8" x14ac:dyDescent="0.35">
      <c r="A2947" s="77">
        <v>45383</v>
      </c>
      <c r="B2947" s="3" t="s">
        <v>159</v>
      </c>
      <c r="C2947" s="4" t="s">
        <v>160</v>
      </c>
      <c r="D2947" s="4" t="s">
        <v>314</v>
      </c>
      <c r="E2947" s="4" t="s">
        <v>323</v>
      </c>
      <c r="F2947" t="s">
        <v>235</v>
      </c>
      <c r="G2947" t="s">
        <v>225</v>
      </c>
      <c r="H2947">
        <f>VLOOKUP(C2947,'TB Apr 24'!$B$13:$BA$103,52,0)</f>
        <v>0</v>
      </c>
    </row>
    <row r="2948" spans="1:8" x14ac:dyDescent="0.35">
      <c r="A2948" s="77">
        <v>45383</v>
      </c>
      <c r="B2948" s="3" t="s">
        <v>161</v>
      </c>
      <c r="C2948" s="4" t="s">
        <v>162</v>
      </c>
      <c r="D2948" s="4" t="s">
        <v>314</v>
      </c>
      <c r="E2948" s="4" t="s">
        <v>323</v>
      </c>
      <c r="F2948" t="s">
        <v>235</v>
      </c>
      <c r="G2948" t="s">
        <v>225</v>
      </c>
      <c r="H2948">
        <f>VLOOKUP(C2948,'TB Apr 24'!$B$13:$BA$103,52,0)</f>
        <v>0</v>
      </c>
    </row>
    <row r="2949" spans="1:8" x14ac:dyDescent="0.35">
      <c r="A2949" s="77">
        <v>45383</v>
      </c>
      <c r="B2949" s="3" t="s">
        <v>163</v>
      </c>
      <c r="C2949" s="4" t="s">
        <v>164</v>
      </c>
      <c r="D2949" s="4" t="s">
        <v>314</v>
      </c>
      <c r="E2949" s="4" t="s">
        <v>319</v>
      </c>
      <c r="F2949" t="s">
        <v>235</v>
      </c>
      <c r="G2949" t="s">
        <v>225</v>
      </c>
      <c r="H2949">
        <f>VLOOKUP(C2949,'TB Apr 24'!$B$13:$BA$103,52,0)</f>
        <v>0</v>
      </c>
    </row>
    <row r="2950" spans="1:8" x14ac:dyDescent="0.35">
      <c r="A2950" s="77">
        <v>45383</v>
      </c>
      <c r="B2950" s="3" t="s">
        <v>165</v>
      </c>
      <c r="C2950" s="4" t="s">
        <v>166</v>
      </c>
      <c r="D2950" s="4" t="s">
        <v>314</v>
      </c>
      <c r="E2950" s="4" t="s">
        <v>304</v>
      </c>
      <c r="F2950" t="s">
        <v>235</v>
      </c>
      <c r="G2950" t="s">
        <v>225</v>
      </c>
      <c r="H2950">
        <f>VLOOKUP(C2950,'TB Apr 24'!$B$13:$BA$103,52,0)</f>
        <v>130657</v>
      </c>
    </row>
    <row r="2951" spans="1:8" x14ac:dyDescent="0.35">
      <c r="A2951" s="77">
        <v>45383</v>
      </c>
      <c r="B2951" s="3" t="s">
        <v>167</v>
      </c>
      <c r="C2951" s="4" t="s">
        <v>168</v>
      </c>
      <c r="D2951" s="4" t="s">
        <v>314</v>
      </c>
      <c r="E2951" s="4" t="s">
        <v>322</v>
      </c>
      <c r="F2951" t="s">
        <v>235</v>
      </c>
      <c r="G2951" t="s">
        <v>225</v>
      </c>
      <c r="H2951">
        <f>VLOOKUP(C2951,'TB Apr 24'!$B$13:$BA$103,52,0)</f>
        <v>0</v>
      </c>
    </row>
    <row r="2952" spans="1:8" x14ac:dyDescent="0.35">
      <c r="A2952" s="77">
        <v>45383</v>
      </c>
      <c r="B2952" s="3" t="s">
        <v>169</v>
      </c>
      <c r="C2952" s="4" t="s">
        <v>170</v>
      </c>
      <c r="D2952" s="4" t="s">
        <v>314</v>
      </c>
      <c r="E2952" s="4" t="s">
        <v>304</v>
      </c>
      <c r="F2952" t="s">
        <v>235</v>
      </c>
      <c r="G2952" t="s">
        <v>225</v>
      </c>
      <c r="H2952">
        <f>VLOOKUP(C2952,'TB Apr 24'!$B$13:$BA$103,52,0)</f>
        <v>82145</v>
      </c>
    </row>
    <row r="2953" spans="1:8" x14ac:dyDescent="0.35">
      <c r="A2953" s="77">
        <v>45383</v>
      </c>
      <c r="B2953" s="3" t="s">
        <v>171</v>
      </c>
      <c r="C2953" s="4" t="s">
        <v>172</v>
      </c>
      <c r="D2953" s="4" t="s">
        <v>314</v>
      </c>
      <c r="E2953" s="4" t="s">
        <v>303</v>
      </c>
      <c r="F2953" t="s">
        <v>235</v>
      </c>
      <c r="G2953" t="s">
        <v>225</v>
      </c>
      <c r="H2953">
        <f>VLOOKUP(C2953,'TB Apr 24'!$B$13:$BA$103,52,0)</f>
        <v>0</v>
      </c>
    </row>
    <row r="2954" spans="1:8" x14ac:dyDescent="0.35">
      <c r="A2954" s="77">
        <v>45383</v>
      </c>
      <c r="B2954" s="3" t="s">
        <v>173</v>
      </c>
      <c r="C2954" s="4" t="s">
        <v>174</v>
      </c>
      <c r="D2954" s="4" t="s">
        <v>314</v>
      </c>
      <c r="E2954" s="4" t="s">
        <v>257</v>
      </c>
      <c r="F2954" t="s">
        <v>235</v>
      </c>
      <c r="G2954" t="s">
        <v>225</v>
      </c>
      <c r="H2954">
        <f>VLOOKUP(C2954,'TB Apr 24'!$B$13:$BA$103,52,0)</f>
        <v>0</v>
      </c>
    </row>
    <row r="2955" spans="1:8" x14ac:dyDescent="0.35">
      <c r="A2955" s="77">
        <v>45383</v>
      </c>
      <c r="B2955" s="3" t="s">
        <v>175</v>
      </c>
      <c r="C2955" s="4" t="s">
        <v>176</v>
      </c>
      <c r="D2955" s="4" t="s">
        <v>314</v>
      </c>
      <c r="E2955" s="4" t="s">
        <v>257</v>
      </c>
      <c r="F2955" t="s">
        <v>235</v>
      </c>
      <c r="G2955" t="s">
        <v>225</v>
      </c>
      <c r="H2955">
        <f>VLOOKUP(C2955,'TB Apr 24'!$B$13:$BA$103,52,0)</f>
        <v>0</v>
      </c>
    </row>
    <row r="2956" spans="1:8" x14ac:dyDescent="0.35">
      <c r="A2956" s="77">
        <v>45383</v>
      </c>
      <c r="B2956" s="3" t="s">
        <v>177</v>
      </c>
      <c r="C2956" s="4" t="s">
        <v>178</v>
      </c>
      <c r="D2956" s="4" t="s">
        <v>314</v>
      </c>
      <c r="E2956" s="4" t="s">
        <v>257</v>
      </c>
      <c r="F2956" t="s">
        <v>235</v>
      </c>
      <c r="G2956" t="s">
        <v>225</v>
      </c>
      <c r="H2956">
        <f>VLOOKUP(C2956,'TB Apr 24'!$B$13:$BA$103,52,0)</f>
        <v>0</v>
      </c>
    </row>
    <row r="2957" spans="1:8" x14ac:dyDescent="0.35">
      <c r="A2957" s="77">
        <v>45383</v>
      </c>
      <c r="B2957" s="3" t="s">
        <v>179</v>
      </c>
      <c r="C2957" s="4" t="s">
        <v>180</v>
      </c>
      <c r="D2957" s="4" t="s">
        <v>314</v>
      </c>
      <c r="E2957" s="4" t="s">
        <v>322</v>
      </c>
      <c r="F2957" t="s">
        <v>235</v>
      </c>
      <c r="G2957" t="s">
        <v>225</v>
      </c>
      <c r="H2957">
        <f>VLOOKUP(C2957,'TB Apr 24'!$B$13:$BA$103,52,0)</f>
        <v>0</v>
      </c>
    </row>
    <row r="2958" spans="1:8" x14ac:dyDescent="0.35">
      <c r="A2958" s="77">
        <v>45383</v>
      </c>
      <c r="B2958" s="3" t="s">
        <v>181</v>
      </c>
      <c r="C2958" s="4" t="s">
        <v>182</v>
      </c>
      <c r="D2958" s="4" t="s">
        <v>314</v>
      </c>
      <c r="E2958" s="4" t="s">
        <v>290</v>
      </c>
      <c r="F2958" t="s">
        <v>235</v>
      </c>
      <c r="G2958" t="s">
        <v>225</v>
      </c>
      <c r="H2958">
        <f>VLOOKUP(C2958,'TB Apr 24'!$B$13:$BA$103,52,0)</f>
        <v>0</v>
      </c>
    </row>
    <row r="2959" spans="1:8" x14ac:dyDescent="0.35">
      <c r="A2959" s="77">
        <v>45383</v>
      </c>
      <c r="B2959" s="3" t="s">
        <v>183</v>
      </c>
      <c r="C2959" s="4" t="s">
        <v>184</v>
      </c>
      <c r="D2959" s="4" t="s">
        <v>314</v>
      </c>
      <c r="E2959" s="4" t="s">
        <v>290</v>
      </c>
      <c r="F2959" t="s">
        <v>235</v>
      </c>
      <c r="G2959" t="s">
        <v>225</v>
      </c>
      <c r="H2959">
        <f>VLOOKUP(C2959,'TB Apr 24'!$B$13:$BA$103,52,0)</f>
        <v>0</v>
      </c>
    </row>
    <row r="2960" spans="1:8" x14ac:dyDescent="0.35">
      <c r="A2960" s="77">
        <v>45383</v>
      </c>
      <c r="B2960" s="3" t="s">
        <v>185</v>
      </c>
      <c r="C2960" s="4" t="s">
        <v>186</v>
      </c>
      <c r="D2960" s="4" t="s">
        <v>314</v>
      </c>
      <c r="E2960" s="4" t="s">
        <v>290</v>
      </c>
      <c r="F2960" t="s">
        <v>235</v>
      </c>
      <c r="G2960" t="s">
        <v>225</v>
      </c>
      <c r="H2960">
        <f>VLOOKUP(C2960,'TB Apr 24'!$B$13:$BA$103,52,0)</f>
        <v>87833</v>
      </c>
    </row>
    <row r="2961" spans="1:8" x14ac:dyDescent="0.35">
      <c r="A2961" s="77">
        <v>45383</v>
      </c>
      <c r="B2961" s="3" t="s">
        <v>187</v>
      </c>
      <c r="C2961" s="4" t="s">
        <v>188</v>
      </c>
      <c r="D2961" s="4" t="s">
        <v>314</v>
      </c>
      <c r="E2961" s="4" t="s">
        <v>291</v>
      </c>
      <c r="F2961" t="s">
        <v>235</v>
      </c>
      <c r="G2961" t="s">
        <v>225</v>
      </c>
      <c r="H2961">
        <f>VLOOKUP(C2961,'TB Apr 24'!$B$13:$BA$103,52,0)</f>
        <v>81042.100000000006</v>
      </c>
    </row>
    <row r="2962" spans="1:8" x14ac:dyDescent="0.35">
      <c r="A2962" s="77">
        <v>45383</v>
      </c>
      <c r="B2962" s="3" t="s">
        <v>189</v>
      </c>
      <c r="C2962" s="4" t="s">
        <v>190</v>
      </c>
      <c r="D2962" s="4" t="s">
        <v>314</v>
      </c>
      <c r="E2962" s="4" t="s">
        <v>254</v>
      </c>
      <c r="F2962" t="s">
        <v>235</v>
      </c>
      <c r="G2962" t="s">
        <v>225</v>
      </c>
      <c r="H2962">
        <f>VLOOKUP(C2962,'TB Apr 24'!$B$13:$BA$103,52,0)</f>
        <v>0</v>
      </c>
    </row>
    <row r="2963" spans="1:8" x14ac:dyDescent="0.35">
      <c r="A2963" s="77">
        <v>45383</v>
      </c>
      <c r="B2963" s="3" t="s">
        <v>191</v>
      </c>
      <c r="C2963" s="4" t="s">
        <v>192</v>
      </c>
      <c r="D2963" s="4" t="s">
        <v>314</v>
      </c>
      <c r="E2963" s="4" t="s">
        <v>254</v>
      </c>
      <c r="F2963" t="s">
        <v>235</v>
      </c>
      <c r="G2963" t="s">
        <v>225</v>
      </c>
      <c r="H2963">
        <f>VLOOKUP(C2963,'TB Apr 24'!$B$13:$BA$103,52,0)</f>
        <v>0</v>
      </c>
    </row>
    <row r="2964" spans="1:8" x14ac:dyDescent="0.35">
      <c r="A2964" s="77">
        <v>45383</v>
      </c>
      <c r="B2964" s="3" t="s">
        <v>193</v>
      </c>
      <c r="C2964" s="4" t="s">
        <v>194</v>
      </c>
      <c r="D2964" s="4" t="s">
        <v>314</v>
      </c>
      <c r="E2964" s="4" t="s">
        <v>254</v>
      </c>
      <c r="F2964" t="s">
        <v>235</v>
      </c>
      <c r="G2964" t="s">
        <v>225</v>
      </c>
      <c r="H2964">
        <f>VLOOKUP(C2964,'TB Apr 24'!$B$13:$BA$103,52,0)</f>
        <v>1256073.0853049406</v>
      </c>
    </row>
    <row r="2965" spans="1:8" x14ac:dyDescent="0.35">
      <c r="A2965" s="77">
        <v>45383</v>
      </c>
      <c r="B2965" s="3" t="s">
        <v>195</v>
      </c>
      <c r="C2965" s="4" t="s">
        <v>196</v>
      </c>
      <c r="D2965" s="4" t="s">
        <v>314</v>
      </c>
      <c r="E2965" s="4" t="s">
        <v>255</v>
      </c>
      <c r="F2965" t="s">
        <v>235</v>
      </c>
      <c r="G2965" t="s">
        <v>225</v>
      </c>
      <c r="H2965">
        <f>VLOOKUP(C2965,'TB Apr 24'!$B$13:$BA$103,52,0)</f>
        <v>0</v>
      </c>
    </row>
    <row r="2966" spans="1:8" x14ac:dyDescent="0.35">
      <c r="A2966" s="77">
        <v>45383</v>
      </c>
      <c r="B2966" s="3" t="s">
        <v>197</v>
      </c>
      <c r="C2966" s="4" t="s">
        <v>198</v>
      </c>
      <c r="D2966" s="4" t="s">
        <v>314</v>
      </c>
      <c r="E2966" s="4" t="s">
        <v>255</v>
      </c>
      <c r="F2966" t="s">
        <v>235</v>
      </c>
      <c r="G2966" t="s">
        <v>225</v>
      </c>
      <c r="H2966">
        <f>VLOOKUP(C2966,'TB Apr 24'!$B$13:$BA$103,52,0)</f>
        <v>0</v>
      </c>
    </row>
    <row r="2967" spans="1:8" x14ac:dyDescent="0.35">
      <c r="A2967" s="77">
        <v>45383</v>
      </c>
      <c r="B2967" s="3" t="s">
        <v>199</v>
      </c>
      <c r="C2967" s="4" t="s">
        <v>200</v>
      </c>
      <c r="D2967" s="4" t="s">
        <v>314</v>
      </c>
      <c r="E2967" s="4" t="s">
        <v>254</v>
      </c>
      <c r="F2967" t="s">
        <v>235</v>
      </c>
      <c r="G2967" t="s">
        <v>225</v>
      </c>
      <c r="H2967">
        <f>VLOOKUP(C2967,'TB Apr 24'!$B$13:$BA$103,52,0)</f>
        <v>0</v>
      </c>
    </row>
    <row r="2968" spans="1:8" x14ac:dyDescent="0.35">
      <c r="A2968" s="77">
        <v>45383</v>
      </c>
      <c r="B2968" s="3" t="s">
        <v>201</v>
      </c>
      <c r="C2968" s="4" t="s">
        <v>202</v>
      </c>
      <c r="D2968" s="4" t="s">
        <v>314</v>
      </c>
      <c r="E2968" s="4" t="s">
        <v>254</v>
      </c>
      <c r="F2968" t="s">
        <v>235</v>
      </c>
      <c r="G2968" t="s">
        <v>225</v>
      </c>
      <c r="H2968">
        <f>VLOOKUP(C2968,'TB Apr 24'!$B$13:$BA$103,52,0)</f>
        <v>0</v>
      </c>
    </row>
    <row r="2969" spans="1:8" x14ac:dyDescent="0.35">
      <c r="A2969" s="77">
        <v>45383</v>
      </c>
      <c r="B2969" s="3" t="s">
        <v>203</v>
      </c>
      <c r="C2969" s="4" t="s">
        <v>204</v>
      </c>
      <c r="D2969" s="4" t="s">
        <v>314</v>
      </c>
      <c r="E2969" s="4" t="s">
        <v>256</v>
      </c>
      <c r="F2969" t="s">
        <v>235</v>
      </c>
      <c r="G2969" t="s">
        <v>225</v>
      </c>
      <c r="H2969">
        <f>VLOOKUP(C2969,'TB Apr 24'!$B$13:$BA$103,52,0)</f>
        <v>62414.870765216881</v>
      </c>
    </row>
    <row r="2970" spans="1:8" x14ac:dyDescent="0.35">
      <c r="A2970" s="77">
        <v>45383</v>
      </c>
      <c r="B2970" s="3" t="s">
        <v>205</v>
      </c>
      <c r="C2970" s="6" t="s">
        <v>206</v>
      </c>
      <c r="D2970" s="4" t="s">
        <v>314</v>
      </c>
      <c r="E2970" s="6" t="s">
        <v>322</v>
      </c>
      <c r="F2970" s="79" t="s">
        <v>235</v>
      </c>
      <c r="G2970" s="79" t="s">
        <v>225</v>
      </c>
      <c r="H2970" s="79">
        <f>VLOOKUP(C2970,'TB Apr 24'!$B$13:$BA$103,52,0)</f>
        <v>0</v>
      </c>
    </row>
    <row r="2971" spans="1:8" x14ac:dyDescent="0.35">
      <c r="A2971" s="77">
        <v>45383</v>
      </c>
      <c r="B2971" s="3" t="s">
        <v>57</v>
      </c>
      <c r="C2971" s="4" t="s">
        <v>58</v>
      </c>
      <c r="D2971" s="4" t="s">
        <v>314</v>
      </c>
      <c r="E2971" s="4" t="s">
        <v>253</v>
      </c>
      <c r="F2971" t="s">
        <v>235</v>
      </c>
      <c r="G2971" t="s">
        <v>230</v>
      </c>
      <c r="H2971">
        <f>VLOOKUP(C2971,'TB Apr 24'!$B$13:$BB$103,53,0)</f>
        <v>0</v>
      </c>
    </row>
    <row r="2972" spans="1:8" x14ac:dyDescent="0.35">
      <c r="A2972" s="77">
        <v>45383</v>
      </c>
      <c r="B2972" s="3" t="s">
        <v>307</v>
      </c>
      <c r="C2972" s="4" t="s">
        <v>308</v>
      </c>
      <c r="D2972" s="4" t="s">
        <v>314</v>
      </c>
      <c r="E2972" s="4" t="s">
        <v>253</v>
      </c>
      <c r="F2972" t="s">
        <v>235</v>
      </c>
      <c r="G2972" t="s">
        <v>230</v>
      </c>
      <c r="H2972">
        <f>VLOOKUP(C2972,'TB Apr 24'!$B$13:$BB$103,53,0)</f>
        <v>0</v>
      </c>
    </row>
    <row r="2973" spans="1:8" x14ac:dyDescent="0.35">
      <c r="A2973" s="77">
        <v>45383</v>
      </c>
      <c r="B2973" s="3" t="s">
        <v>59</v>
      </c>
      <c r="C2973" s="4" t="s">
        <v>60</v>
      </c>
      <c r="D2973" s="4" t="s">
        <v>314</v>
      </c>
      <c r="E2973" s="4" t="s">
        <v>253</v>
      </c>
      <c r="F2973" t="s">
        <v>235</v>
      </c>
      <c r="G2973" t="s">
        <v>230</v>
      </c>
      <c r="H2973">
        <f>VLOOKUP(C2973,'TB Apr 24'!$B$13:$BB$103,53,0)</f>
        <v>-2.86</v>
      </c>
    </row>
    <row r="2974" spans="1:8" x14ac:dyDescent="0.35">
      <c r="A2974" s="77">
        <v>45383</v>
      </c>
      <c r="B2974" s="3" t="s">
        <v>61</v>
      </c>
      <c r="C2974" s="4" t="s">
        <v>62</v>
      </c>
      <c r="D2974" s="4" t="s">
        <v>314</v>
      </c>
      <c r="E2974" s="4" t="s">
        <v>66</v>
      </c>
      <c r="F2974" t="s">
        <v>235</v>
      </c>
      <c r="G2974" t="s">
        <v>230</v>
      </c>
      <c r="H2974">
        <f>VLOOKUP(C2974,'TB Apr 24'!$B$13:$BB$103,53,0)</f>
        <v>-2515</v>
      </c>
    </row>
    <row r="2975" spans="1:8" x14ac:dyDescent="0.35">
      <c r="A2975" s="77">
        <v>45383</v>
      </c>
      <c r="B2975" s="3" t="s">
        <v>63</v>
      </c>
      <c r="C2975" s="4" t="s">
        <v>64</v>
      </c>
      <c r="D2975" s="4" t="s">
        <v>314</v>
      </c>
      <c r="E2975" s="4" t="s">
        <v>252</v>
      </c>
      <c r="F2975" t="s">
        <v>235</v>
      </c>
      <c r="G2975" t="s">
        <v>230</v>
      </c>
      <c r="H2975">
        <f>VLOOKUP(C2975,'TB Apr 24'!$B$13:$BB$103,53,0)</f>
        <v>0</v>
      </c>
    </row>
    <row r="2976" spans="1:8" x14ac:dyDescent="0.35">
      <c r="A2976" s="77">
        <v>45383</v>
      </c>
      <c r="B2976" s="3" t="s">
        <v>65</v>
      </c>
      <c r="C2976" s="4" t="s">
        <v>66</v>
      </c>
      <c r="D2976" s="4" t="s">
        <v>314</v>
      </c>
      <c r="E2976" s="4" t="s">
        <v>66</v>
      </c>
      <c r="F2976" t="s">
        <v>235</v>
      </c>
      <c r="G2976" t="s">
        <v>230</v>
      </c>
      <c r="H2976">
        <f>VLOOKUP(C2976,'TB Apr 24'!$B$13:$BB$103,53,0)</f>
        <v>-731786.99</v>
      </c>
    </row>
    <row r="2977" spans="1:8" x14ac:dyDescent="0.35">
      <c r="A2977" s="77">
        <v>45383</v>
      </c>
      <c r="B2977" s="3" t="s">
        <v>67</v>
      </c>
      <c r="C2977" s="4" t="s">
        <v>68</v>
      </c>
      <c r="D2977" s="4" t="s">
        <v>314</v>
      </c>
      <c r="E2977" s="4" t="s">
        <v>252</v>
      </c>
      <c r="F2977" t="s">
        <v>235</v>
      </c>
      <c r="G2977" t="s">
        <v>230</v>
      </c>
      <c r="H2977">
        <f>VLOOKUP(C2977,'TB Apr 24'!$B$13:$BB$103,53,0)</f>
        <v>-421422.35</v>
      </c>
    </row>
    <row r="2978" spans="1:8" x14ac:dyDescent="0.35">
      <c r="A2978" s="77">
        <v>45383</v>
      </c>
      <c r="B2978" s="3" t="s">
        <v>69</v>
      </c>
      <c r="C2978" s="4" t="s">
        <v>70</v>
      </c>
      <c r="D2978" s="4" t="s">
        <v>314</v>
      </c>
      <c r="E2978" s="4" t="s">
        <v>70</v>
      </c>
      <c r="F2978" t="s">
        <v>235</v>
      </c>
      <c r="G2978" t="s">
        <v>230</v>
      </c>
      <c r="H2978">
        <f>VLOOKUP(C2978,'TB Apr 24'!$B$13:$BB$103,53,0)</f>
        <v>0</v>
      </c>
    </row>
    <row r="2979" spans="1:8" x14ac:dyDescent="0.35">
      <c r="A2979" s="77">
        <v>45383</v>
      </c>
      <c r="B2979" s="3" t="s">
        <v>71</v>
      </c>
      <c r="C2979" s="4" t="s">
        <v>72</v>
      </c>
      <c r="D2979" s="4" t="s">
        <v>314</v>
      </c>
      <c r="E2979" s="4" t="s">
        <v>253</v>
      </c>
      <c r="F2979" t="s">
        <v>235</v>
      </c>
      <c r="G2979" t="s">
        <v>230</v>
      </c>
      <c r="H2979">
        <f>VLOOKUP(C2979,'TB Apr 24'!$B$13:$BB$103,53,0)</f>
        <v>0</v>
      </c>
    </row>
    <row r="2980" spans="1:8" x14ac:dyDescent="0.35">
      <c r="A2980" s="77">
        <v>45383</v>
      </c>
      <c r="B2980" s="3" t="s">
        <v>73</v>
      </c>
      <c r="C2980" s="4" t="s">
        <v>74</v>
      </c>
      <c r="D2980" s="4" t="s">
        <v>314</v>
      </c>
      <c r="E2980" s="4" t="s">
        <v>253</v>
      </c>
      <c r="F2980" t="s">
        <v>235</v>
      </c>
      <c r="G2980" t="s">
        <v>230</v>
      </c>
      <c r="H2980">
        <f>VLOOKUP(C2980,'TB Apr 24'!$B$13:$BB$103,53,0)</f>
        <v>0</v>
      </c>
    </row>
    <row r="2981" spans="1:8" x14ac:dyDescent="0.35">
      <c r="A2981" s="77">
        <v>45383</v>
      </c>
      <c r="B2981" s="3" t="s">
        <v>75</v>
      </c>
      <c r="C2981" s="4" t="s">
        <v>76</v>
      </c>
      <c r="D2981" s="4" t="s">
        <v>314</v>
      </c>
      <c r="E2981" s="4" t="s">
        <v>253</v>
      </c>
      <c r="F2981" t="s">
        <v>235</v>
      </c>
      <c r="G2981" t="s">
        <v>230</v>
      </c>
      <c r="H2981">
        <f>VLOOKUP(C2981,'TB Apr 24'!$B$13:$BB$103,53,0)</f>
        <v>0</v>
      </c>
    </row>
    <row r="2982" spans="1:8" x14ac:dyDescent="0.35">
      <c r="A2982" s="77">
        <v>45383</v>
      </c>
      <c r="B2982" s="3" t="s">
        <v>77</v>
      </c>
      <c r="C2982" s="4" t="s">
        <v>78</v>
      </c>
      <c r="D2982" s="4" t="s">
        <v>314</v>
      </c>
      <c r="E2982" s="4" t="s">
        <v>253</v>
      </c>
      <c r="F2982" t="s">
        <v>235</v>
      </c>
      <c r="G2982" t="s">
        <v>230</v>
      </c>
      <c r="H2982">
        <f>VLOOKUP(C2982,'TB Apr 24'!$B$13:$BB$103,53,0)</f>
        <v>-26804.98</v>
      </c>
    </row>
    <row r="2983" spans="1:8" x14ac:dyDescent="0.35">
      <c r="A2983" s="77">
        <v>45383</v>
      </c>
      <c r="B2983" s="3" t="s">
        <v>79</v>
      </c>
      <c r="C2983" s="4" t="s">
        <v>80</v>
      </c>
      <c r="D2983" s="4" t="s">
        <v>314</v>
      </c>
      <c r="E2983" s="4" t="s">
        <v>253</v>
      </c>
      <c r="F2983" t="s">
        <v>235</v>
      </c>
      <c r="G2983" t="s">
        <v>230</v>
      </c>
      <c r="H2983">
        <f>VLOOKUP(C2983,'TB Apr 24'!$B$13:$BB$103,53,0)</f>
        <v>0</v>
      </c>
    </row>
    <row r="2984" spans="1:8" x14ac:dyDescent="0.35">
      <c r="A2984" s="77">
        <v>45383</v>
      </c>
      <c r="B2984" s="3" t="s">
        <v>81</v>
      </c>
      <c r="C2984" s="4" t="s">
        <v>82</v>
      </c>
      <c r="D2984" s="4" t="s">
        <v>314</v>
      </c>
      <c r="E2984" s="4" t="s">
        <v>319</v>
      </c>
      <c r="F2984" t="s">
        <v>235</v>
      </c>
      <c r="G2984" t="s">
        <v>230</v>
      </c>
      <c r="H2984">
        <f>VLOOKUP(C2984,'TB Apr 24'!$B$13:$BB$103,53,0)</f>
        <v>0</v>
      </c>
    </row>
    <row r="2985" spans="1:8" x14ac:dyDescent="0.35">
      <c r="A2985" s="77">
        <v>45383</v>
      </c>
      <c r="B2985" s="3" t="s">
        <v>83</v>
      </c>
      <c r="C2985" s="4" t="s">
        <v>84</v>
      </c>
      <c r="D2985" s="4" t="s">
        <v>314</v>
      </c>
      <c r="E2985" s="4" t="s">
        <v>319</v>
      </c>
      <c r="F2985" t="s">
        <v>235</v>
      </c>
      <c r="G2985" t="s">
        <v>230</v>
      </c>
      <c r="H2985">
        <f>VLOOKUP(C2985,'TB Apr 24'!$B$13:$BB$103,53,0)</f>
        <v>0</v>
      </c>
    </row>
    <row r="2986" spans="1:8" x14ac:dyDescent="0.35">
      <c r="A2986" s="77">
        <v>45383</v>
      </c>
      <c r="B2986" s="3" t="s">
        <v>85</v>
      </c>
      <c r="C2986" s="4" t="s">
        <v>86</v>
      </c>
      <c r="D2986" s="4" t="s">
        <v>314</v>
      </c>
      <c r="E2986" s="4" t="s">
        <v>291</v>
      </c>
      <c r="F2986" t="s">
        <v>235</v>
      </c>
      <c r="G2986" t="s">
        <v>230</v>
      </c>
      <c r="H2986">
        <f>VLOOKUP(C2986,'TB Apr 24'!$B$13:$BB$103,53,0)</f>
        <v>0</v>
      </c>
    </row>
    <row r="2987" spans="1:8" x14ac:dyDescent="0.35">
      <c r="A2987" s="77">
        <v>45383</v>
      </c>
      <c r="B2987" s="3" t="s">
        <v>88</v>
      </c>
      <c r="C2987" s="4" t="s">
        <v>89</v>
      </c>
      <c r="D2987" s="4" t="s">
        <v>314</v>
      </c>
      <c r="E2987" s="4" t="s">
        <v>300</v>
      </c>
      <c r="F2987" t="s">
        <v>235</v>
      </c>
      <c r="G2987" t="s">
        <v>230</v>
      </c>
      <c r="H2987">
        <f>VLOOKUP(C2987,'TB Apr 24'!$B$13:$BB$103,53,0)</f>
        <v>0</v>
      </c>
    </row>
    <row r="2988" spans="1:8" x14ac:dyDescent="0.35">
      <c r="A2988" s="77">
        <v>45383</v>
      </c>
      <c r="B2988" s="3" t="s">
        <v>90</v>
      </c>
      <c r="C2988" s="4" t="s">
        <v>91</v>
      </c>
      <c r="D2988" s="4" t="s">
        <v>314</v>
      </c>
      <c r="E2988" s="4" t="s">
        <v>300</v>
      </c>
      <c r="F2988" t="s">
        <v>235</v>
      </c>
      <c r="G2988" t="s">
        <v>230</v>
      </c>
      <c r="H2988">
        <f>VLOOKUP(C2988,'TB Apr 24'!$B$13:$BB$103,53,0)</f>
        <v>919</v>
      </c>
    </row>
    <row r="2989" spans="1:8" x14ac:dyDescent="0.35">
      <c r="A2989" s="77">
        <v>45383</v>
      </c>
      <c r="B2989" s="3" t="s">
        <v>92</v>
      </c>
      <c r="C2989" s="4" t="s">
        <v>93</v>
      </c>
      <c r="D2989" s="4" t="s">
        <v>314</v>
      </c>
      <c r="E2989" s="4" t="s">
        <v>300</v>
      </c>
      <c r="F2989" t="s">
        <v>235</v>
      </c>
      <c r="G2989" t="s">
        <v>230</v>
      </c>
      <c r="H2989">
        <f>VLOOKUP(C2989,'TB Apr 24'!$B$13:$BB$103,53,0)</f>
        <v>0</v>
      </c>
    </row>
    <row r="2990" spans="1:8" x14ac:dyDescent="0.35">
      <c r="A2990" s="77">
        <v>45383</v>
      </c>
      <c r="B2990" s="3" t="s">
        <v>94</v>
      </c>
      <c r="C2990" s="4" t="s">
        <v>95</v>
      </c>
      <c r="D2990" s="4" t="s">
        <v>314</v>
      </c>
      <c r="E2990" s="4" t="s">
        <v>289</v>
      </c>
      <c r="F2990" t="s">
        <v>235</v>
      </c>
      <c r="G2990" t="s">
        <v>230</v>
      </c>
      <c r="H2990">
        <f>VLOOKUP(C2990,'TB Apr 24'!$B$13:$BB$103,53,0)</f>
        <v>527882.19999999995</v>
      </c>
    </row>
    <row r="2991" spans="1:8" x14ac:dyDescent="0.35">
      <c r="A2991" s="77">
        <v>45383</v>
      </c>
      <c r="B2991" s="3" t="s">
        <v>96</v>
      </c>
      <c r="C2991" s="4" t="s">
        <v>97</v>
      </c>
      <c r="D2991" s="4" t="s">
        <v>314</v>
      </c>
      <c r="E2991" s="4" t="s">
        <v>289</v>
      </c>
      <c r="F2991" t="s">
        <v>235</v>
      </c>
      <c r="G2991" t="s">
        <v>230</v>
      </c>
      <c r="H2991">
        <f>VLOOKUP(C2991,'TB Apr 24'!$B$13:$BB$103,53,0)</f>
        <v>0</v>
      </c>
    </row>
    <row r="2992" spans="1:8" x14ac:dyDescent="0.35">
      <c r="A2992" s="77">
        <v>45383</v>
      </c>
      <c r="B2992" s="3" t="s">
        <v>309</v>
      </c>
      <c r="C2992" s="4" t="s">
        <v>310</v>
      </c>
      <c r="D2992" s="4" t="s">
        <v>314</v>
      </c>
      <c r="E2992" s="4" t="s">
        <v>289</v>
      </c>
      <c r="F2992" t="s">
        <v>235</v>
      </c>
      <c r="G2992" t="s">
        <v>230</v>
      </c>
      <c r="H2992">
        <f>VLOOKUP(C2992,'TB Apr 24'!$B$13:$BB$103,53,0)</f>
        <v>3231</v>
      </c>
    </row>
    <row r="2993" spans="1:8" x14ac:dyDescent="0.35">
      <c r="A2993" s="77">
        <v>45383</v>
      </c>
      <c r="B2993" s="3" t="s">
        <v>98</v>
      </c>
      <c r="C2993" s="4" t="s">
        <v>99</v>
      </c>
      <c r="D2993" s="4" t="s">
        <v>314</v>
      </c>
      <c r="E2993" s="4" t="s">
        <v>289</v>
      </c>
      <c r="F2993" t="s">
        <v>235</v>
      </c>
      <c r="G2993" t="s">
        <v>230</v>
      </c>
      <c r="H2993">
        <f>VLOOKUP(C2993,'TB Apr 24'!$B$13:$BB$103,53,0)</f>
        <v>0</v>
      </c>
    </row>
    <row r="2994" spans="1:8" x14ac:dyDescent="0.35">
      <c r="A2994" s="77">
        <v>45383</v>
      </c>
      <c r="B2994" s="3" t="s">
        <v>100</v>
      </c>
      <c r="C2994" s="4" t="s">
        <v>101</v>
      </c>
      <c r="D2994" s="4" t="s">
        <v>314</v>
      </c>
      <c r="E2994" s="4" t="s">
        <v>291</v>
      </c>
      <c r="F2994" t="s">
        <v>235</v>
      </c>
      <c r="G2994" t="s">
        <v>230</v>
      </c>
      <c r="H2994">
        <f>VLOOKUP(C2994,'TB Apr 24'!$B$13:$BB$103,53,0)</f>
        <v>0</v>
      </c>
    </row>
    <row r="2995" spans="1:8" x14ac:dyDescent="0.35">
      <c r="A2995" s="77">
        <v>45383</v>
      </c>
      <c r="B2995" s="3" t="s">
        <v>102</v>
      </c>
      <c r="C2995" s="4" t="s">
        <v>103</v>
      </c>
      <c r="D2995" s="4" t="s">
        <v>314</v>
      </c>
      <c r="E2995" s="4" t="s">
        <v>291</v>
      </c>
      <c r="F2995" t="s">
        <v>235</v>
      </c>
      <c r="G2995" t="s">
        <v>230</v>
      </c>
      <c r="H2995">
        <f>VLOOKUP(C2995,'TB Apr 24'!$B$13:$BB$103,53,0)</f>
        <v>0</v>
      </c>
    </row>
    <row r="2996" spans="1:8" x14ac:dyDescent="0.35">
      <c r="A2996" s="77">
        <v>45383</v>
      </c>
      <c r="B2996" s="3" t="s">
        <v>104</v>
      </c>
      <c r="C2996" s="4" t="s">
        <v>105</v>
      </c>
      <c r="D2996" s="4" t="s">
        <v>314</v>
      </c>
      <c r="E2996" s="4" t="s">
        <v>291</v>
      </c>
      <c r="F2996" t="s">
        <v>235</v>
      </c>
      <c r="G2996" t="s">
        <v>230</v>
      </c>
      <c r="H2996">
        <f>VLOOKUP(C2996,'TB Apr 24'!$B$13:$BB$103,53,0)</f>
        <v>0</v>
      </c>
    </row>
    <row r="2997" spans="1:8" x14ac:dyDescent="0.35">
      <c r="A2997" s="77">
        <v>45383</v>
      </c>
      <c r="B2997" s="3" t="s">
        <v>106</v>
      </c>
      <c r="C2997" s="4" t="s">
        <v>107</v>
      </c>
      <c r="D2997" s="4" t="s">
        <v>314</v>
      </c>
      <c r="E2997" s="4" t="s">
        <v>321</v>
      </c>
      <c r="F2997" t="s">
        <v>235</v>
      </c>
      <c r="G2997" t="s">
        <v>230</v>
      </c>
      <c r="H2997">
        <f>VLOOKUP(C2997,'TB Apr 24'!$B$13:$BB$103,53,0)</f>
        <v>0</v>
      </c>
    </row>
    <row r="2998" spans="1:8" x14ac:dyDescent="0.35">
      <c r="A2998" s="77">
        <v>45383</v>
      </c>
      <c r="B2998" s="3" t="s">
        <v>108</v>
      </c>
      <c r="C2998" s="4" t="s">
        <v>109</v>
      </c>
      <c r="D2998" s="4" t="s">
        <v>314</v>
      </c>
      <c r="E2998" s="4" t="s">
        <v>321</v>
      </c>
      <c r="F2998" t="s">
        <v>235</v>
      </c>
      <c r="G2998" t="s">
        <v>230</v>
      </c>
      <c r="H2998">
        <f>VLOOKUP(C2998,'TB Apr 24'!$B$13:$BB$103,53,0)</f>
        <v>0</v>
      </c>
    </row>
    <row r="2999" spans="1:8" x14ac:dyDescent="0.35">
      <c r="A2999" s="77">
        <v>45383</v>
      </c>
      <c r="B2999" s="3" t="s">
        <v>110</v>
      </c>
      <c r="C2999" s="4" t="s">
        <v>111</v>
      </c>
      <c r="D2999" s="4" t="s">
        <v>314</v>
      </c>
      <c r="E2999" s="4" t="s">
        <v>320</v>
      </c>
      <c r="F2999" t="s">
        <v>235</v>
      </c>
      <c r="G2999" t="s">
        <v>230</v>
      </c>
      <c r="H2999">
        <f>VLOOKUP(C2999,'TB Apr 24'!$B$13:$BB$103,53,0)</f>
        <v>0</v>
      </c>
    </row>
    <row r="3000" spans="1:8" x14ac:dyDescent="0.35">
      <c r="A3000" s="77">
        <v>45383</v>
      </c>
      <c r="B3000" s="3" t="s">
        <v>112</v>
      </c>
      <c r="C3000" s="4" t="s">
        <v>113</v>
      </c>
      <c r="D3000" s="4" t="s">
        <v>314</v>
      </c>
      <c r="E3000" s="4" t="s">
        <v>321</v>
      </c>
      <c r="F3000" t="s">
        <v>235</v>
      </c>
      <c r="G3000" t="s">
        <v>230</v>
      </c>
      <c r="H3000">
        <f>VLOOKUP(C3000,'TB Apr 24'!$B$13:$BB$103,53,0)</f>
        <v>0</v>
      </c>
    </row>
    <row r="3001" spans="1:8" x14ac:dyDescent="0.35">
      <c r="A3001" s="77">
        <v>45383</v>
      </c>
      <c r="B3001" s="3" t="s">
        <v>311</v>
      </c>
      <c r="C3001" s="4" t="s">
        <v>312</v>
      </c>
      <c r="D3001" s="4" t="s">
        <v>314</v>
      </c>
      <c r="E3001" s="4" t="s">
        <v>288</v>
      </c>
      <c r="F3001" t="s">
        <v>235</v>
      </c>
      <c r="G3001" t="s">
        <v>230</v>
      </c>
      <c r="H3001">
        <f>VLOOKUP(C3001,'TB Apr 24'!$B$13:$BB$103,53,0)</f>
        <v>0</v>
      </c>
    </row>
    <row r="3002" spans="1:8" x14ac:dyDescent="0.35">
      <c r="A3002" s="77">
        <v>45383</v>
      </c>
      <c r="B3002" s="3" t="s">
        <v>114</v>
      </c>
      <c r="C3002" s="4" t="s">
        <v>115</v>
      </c>
      <c r="D3002" s="4" t="s">
        <v>314</v>
      </c>
      <c r="E3002" s="4" t="s">
        <v>294</v>
      </c>
      <c r="F3002" t="s">
        <v>235</v>
      </c>
      <c r="G3002" t="s">
        <v>230</v>
      </c>
      <c r="H3002">
        <f>VLOOKUP(C3002,'TB Apr 24'!$B$13:$BB$103,53,0)</f>
        <v>10000</v>
      </c>
    </row>
    <row r="3003" spans="1:8" x14ac:dyDescent="0.35">
      <c r="A3003" s="77">
        <v>45383</v>
      </c>
      <c r="B3003" s="3" t="s">
        <v>116</v>
      </c>
      <c r="C3003" s="4" t="s">
        <v>117</v>
      </c>
      <c r="D3003" s="4" t="s">
        <v>314</v>
      </c>
      <c r="E3003" s="4" t="s">
        <v>296</v>
      </c>
      <c r="F3003" t="s">
        <v>235</v>
      </c>
      <c r="G3003" t="s">
        <v>230</v>
      </c>
      <c r="H3003">
        <f>VLOOKUP(C3003,'TB Apr 24'!$B$13:$BB$103,53,0)</f>
        <v>0</v>
      </c>
    </row>
    <row r="3004" spans="1:8" x14ac:dyDescent="0.35">
      <c r="A3004" s="77">
        <v>45383</v>
      </c>
      <c r="B3004" s="3" t="s">
        <v>118</v>
      </c>
      <c r="C3004" s="4" t="s">
        <v>119</v>
      </c>
      <c r="D3004" s="4" t="s">
        <v>314</v>
      </c>
      <c r="E3004" s="4" t="s">
        <v>296</v>
      </c>
      <c r="F3004" t="s">
        <v>235</v>
      </c>
      <c r="G3004" t="s">
        <v>230</v>
      </c>
      <c r="H3004">
        <f>VLOOKUP(C3004,'TB Apr 24'!$B$13:$BB$103,53,0)</f>
        <v>0</v>
      </c>
    </row>
    <row r="3005" spans="1:8" x14ac:dyDescent="0.35">
      <c r="A3005" s="77">
        <v>45383</v>
      </c>
      <c r="B3005" s="3" t="s">
        <v>120</v>
      </c>
      <c r="C3005" s="4" t="s">
        <v>121</v>
      </c>
      <c r="D3005" s="4" t="s">
        <v>314</v>
      </c>
      <c r="E3005" s="4" t="s">
        <v>322</v>
      </c>
      <c r="F3005" t="s">
        <v>235</v>
      </c>
      <c r="G3005" t="s">
        <v>230</v>
      </c>
      <c r="H3005">
        <f>VLOOKUP(C3005,'TB Apr 24'!$B$13:$BB$103,53,0)</f>
        <v>0</v>
      </c>
    </row>
    <row r="3006" spans="1:8" x14ac:dyDescent="0.35">
      <c r="A3006" s="77">
        <v>45383</v>
      </c>
      <c r="B3006" s="3" t="s">
        <v>122</v>
      </c>
      <c r="C3006" s="4" t="s">
        <v>123</v>
      </c>
      <c r="D3006" s="4" t="s">
        <v>314</v>
      </c>
      <c r="E3006" s="4" t="s">
        <v>322</v>
      </c>
      <c r="F3006" t="s">
        <v>235</v>
      </c>
      <c r="G3006" t="s">
        <v>230</v>
      </c>
      <c r="H3006">
        <f>VLOOKUP(C3006,'TB Apr 24'!$B$13:$BB$103,53,0)</f>
        <v>0</v>
      </c>
    </row>
    <row r="3007" spans="1:8" x14ac:dyDescent="0.35">
      <c r="A3007" s="77">
        <v>45383</v>
      </c>
      <c r="B3007" s="3" t="s">
        <v>124</v>
      </c>
      <c r="C3007" s="4" t="s">
        <v>125</v>
      </c>
      <c r="D3007" s="4" t="s">
        <v>314</v>
      </c>
      <c r="E3007" s="4" t="s">
        <v>322</v>
      </c>
      <c r="F3007" t="s">
        <v>235</v>
      </c>
      <c r="G3007" t="s">
        <v>230</v>
      </c>
      <c r="H3007">
        <f>VLOOKUP(C3007,'TB Apr 24'!$B$13:$BB$103,53,0)</f>
        <v>0</v>
      </c>
    </row>
    <row r="3008" spans="1:8" x14ac:dyDescent="0.35">
      <c r="A3008" s="77">
        <v>45383</v>
      </c>
      <c r="B3008" s="3" t="s">
        <v>126</v>
      </c>
      <c r="C3008" s="4" t="s">
        <v>127</v>
      </c>
      <c r="D3008" s="4" t="s">
        <v>314</v>
      </c>
      <c r="E3008" s="4" t="s">
        <v>291</v>
      </c>
      <c r="F3008" t="s">
        <v>235</v>
      </c>
      <c r="G3008" t="s">
        <v>230</v>
      </c>
      <c r="H3008">
        <f>VLOOKUP(C3008,'TB Apr 24'!$B$13:$BB$103,53,0)</f>
        <v>0</v>
      </c>
    </row>
    <row r="3009" spans="1:8" x14ac:dyDescent="0.35">
      <c r="A3009" s="77">
        <v>45383</v>
      </c>
      <c r="B3009" s="3" t="s">
        <v>128</v>
      </c>
      <c r="C3009" s="4" t="s">
        <v>129</v>
      </c>
      <c r="D3009" s="4" t="s">
        <v>314</v>
      </c>
      <c r="E3009" s="4" t="s">
        <v>322</v>
      </c>
      <c r="F3009" t="s">
        <v>235</v>
      </c>
      <c r="G3009" t="s">
        <v>230</v>
      </c>
      <c r="H3009">
        <f>VLOOKUP(C3009,'TB Apr 24'!$B$13:$BB$103,53,0)</f>
        <v>26342</v>
      </c>
    </row>
    <row r="3010" spans="1:8" x14ac:dyDescent="0.35">
      <c r="A3010" s="77">
        <v>45383</v>
      </c>
      <c r="B3010" s="3" t="s">
        <v>130</v>
      </c>
      <c r="C3010" s="4" t="s">
        <v>131</v>
      </c>
      <c r="D3010" s="4" t="s">
        <v>314</v>
      </c>
      <c r="E3010" s="4" t="s">
        <v>322</v>
      </c>
      <c r="F3010" t="s">
        <v>235</v>
      </c>
      <c r="G3010" t="s">
        <v>230</v>
      </c>
      <c r="H3010">
        <f>VLOOKUP(C3010,'TB Apr 24'!$B$13:$BB$103,53,0)</f>
        <v>0</v>
      </c>
    </row>
    <row r="3011" spans="1:8" x14ac:dyDescent="0.35">
      <c r="A3011" s="77">
        <v>45383</v>
      </c>
      <c r="B3011" s="3" t="s">
        <v>132</v>
      </c>
      <c r="C3011" s="4" t="s">
        <v>133</v>
      </c>
      <c r="D3011" s="4" t="s">
        <v>314</v>
      </c>
      <c r="E3011" s="4" t="s">
        <v>320</v>
      </c>
      <c r="F3011" t="s">
        <v>235</v>
      </c>
      <c r="G3011" t="s">
        <v>230</v>
      </c>
      <c r="H3011">
        <f>VLOOKUP(C3011,'TB Apr 24'!$B$13:$BB$103,53,0)</f>
        <v>7700</v>
      </c>
    </row>
    <row r="3012" spans="1:8" x14ac:dyDescent="0.35">
      <c r="A3012" s="77">
        <v>45383</v>
      </c>
      <c r="B3012" s="3" t="s">
        <v>134</v>
      </c>
      <c r="C3012" s="4" t="s">
        <v>135</v>
      </c>
      <c r="D3012" s="4" t="s">
        <v>314</v>
      </c>
      <c r="E3012" s="4" t="s">
        <v>299</v>
      </c>
      <c r="F3012" t="s">
        <v>235</v>
      </c>
      <c r="G3012" t="s">
        <v>230</v>
      </c>
      <c r="H3012">
        <f>VLOOKUP(C3012,'TB Apr 24'!$B$13:$BB$103,53,0)</f>
        <v>0</v>
      </c>
    </row>
    <row r="3013" spans="1:8" x14ac:dyDescent="0.35">
      <c r="A3013" s="77">
        <v>45383</v>
      </c>
      <c r="B3013" s="3" t="s">
        <v>136</v>
      </c>
      <c r="C3013" s="4" t="s">
        <v>137</v>
      </c>
      <c r="D3013" s="4" t="s">
        <v>314</v>
      </c>
      <c r="E3013" s="4" t="s">
        <v>322</v>
      </c>
      <c r="F3013" t="s">
        <v>235</v>
      </c>
      <c r="G3013" t="s">
        <v>230</v>
      </c>
      <c r="H3013">
        <f>VLOOKUP(C3013,'TB Apr 24'!$B$13:$BB$103,53,0)</f>
        <v>0</v>
      </c>
    </row>
    <row r="3014" spans="1:8" x14ac:dyDescent="0.35">
      <c r="A3014" s="77">
        <v>45383</v>
      </c>
      <c r="B3014" s="3" t="s">
        <v>138</v>
      </c>
      <c r="C3014" s="4" t="s">
        <v>139</v>
      </c>
      <c r="D3014" s="4" t="s">
        <v>314</v>
      </c>
      <c r="E3014" s="4" t="s">
        <v>294</v>
      </c>
      <c r="F3014" t="s">
        <v>235</v>
      </c>
      <c r="G3014" t="s">
        <v>230</v>
      </c>
      <c r="H3014">
        <f>VLOOKUP(C3014,'TB Apr 24'!$B$13:$BB$103,53,0)</f>
        <v>10037</v>
      </c>
    </row>
    <row r="3015" spans="1:8" x14ac:dyDescent="0.35">
      <c r="A3015" s="77">
        <v>45383</v>
      </c>
      <c r="B3015" s="3" t="s">
        <v>140</v>
      </c>
      <c r="C3015" s="4" t="s">
        <v>141</v>
      </c>
      <c r="D3015" s="4" t="s">
        <v>314</v>
      </c>
      <c r="E3015" s="4" t="s">
        <v>268</v>
      </c>
      <c r="F3015" t="s">
        <v>235</v>
      </c>
      <c r="G3015" t="s">
        <v>230</v>
      </c>
      <c r="H3015">
        <f>VLOOKUP(C3015,'TB Apr 24'!$B$13:$BB$103,53,0)</f>
        <v>130078.5398</v>
      </c>
    </row>
    <row r="3016" spans="1:8" x14ac:dyDescent="0.35">
      <c r="A3016" s="77">
        <v>45383</v>
      </c>
      <c r="B3016" s="3" t="s">
        <v>142</v>
      </c>
      <c r="C3016" s="4" t="s">
        <v>143</v>
      </c>
      <c r="D3016" s="4" t="s">
        <v>314</v>
      </c>
      <c r="E3016" s="4" t="s">
        <v>269</v>
      </c>
      <c r="F3016" t="s">
        <v>235</v>
      </c>
      <c r="G3016" t="s">
        <v>230</v>
      </c>
      <c r="H3016">
        <f>VLOOKUP(C3016,'TB Apr 24'!$B$13:$BB$103,53,0)</f>
        <v>62304</v>
      </c>
    </row>
    <row r="3017" spans="1:8" x14ac:dyDescent="0.35">
      <c r="A3017" s="77">
        <v>45383</v>
      </c>
      <c r="B3017" s="3" t="s">
        <v>144</v>
      </c>
      <c r="C3017" s="4" t="s">
        <v>145</v>
      </c>
      <c r="D3017" s="4" t="s">
        <v>314</v>
      </c>
      <c r="E3017" s="4" t="s">
        <v>288</v>
      </c>
      <c r="F3017" t="s">
        <v>235</v>
      </c>
      <c r="G3017" t="s">
        <v>230</v>
      </c>
      <c r="H3017">
        <f>VLOOKUP(C3017,'TB Apr 24'!$B$13:$BB$103,53,0)</f>
        <v>7780</v>
      </c>
    </row>
    <row r="3018" spans="1:8" x14ac:dyDescent="0.35">
      <c r="A3018" s="77">
        <v>45383</v>
      </c>
      <c r="B3018" s="3" t="s">
        <v>146</v>
      </c>
      <c r="C3018" s="4" t="s">
        <v>147</v>
      </c>
      <c r="D3018" s="4" t="s">
        <v>314</v>
      </c>
      <c r="E3018" s="4" t="s">
        <v>288</v>
      </c>
      <c r="F3018" t="s">
        <v>235</v>
      </c>
      <c r="G3018" t="s">
        <v>230</v>
      </c>
      <c r="H3018">
        <f>VLOOKUP(C3018,'TB Apr 24'!$B$13:$BB$103,53,0)</f>
        <v>3730</v>
      </c>
    </row>
    <row r="3019" spans="1:8" x14ac:dyDescent="0.35">
      <c r="A3019" s="77">
        <v>45383</v>
      </c>
      <c r="B3019" s="3" t="s">
        <v>148</v>
      </c>
      <c r="C3019" s="4" t="s">
        <v>149</v>
      </c>
      <c r="D3019" s="4" t="s">
        <v>314</v>
      </c>
      <c r="E3019" s="4" t="s">
        <v>287</v>
      </c>
      <c r="F3019" t="s">
        <v>235</v>
      </c>
      <c r="G3019" t="s">
        <v>230</v>
      </c>
      <c r="H3019">
        <f>VLOOKUP(C3019,'TB Apr 24'!$B$13:$BB$103,53,0)</f>
        <v>121995</v>
      </c>
    </row>
    <row r="3020" spans="1:8" x14ac:dyDescent="0.35">
      <c r="A3020" s="77">
        <v>45383</v>
      </c>
      <c r="B3020" s="3" t="s">
        <v>150</v>
      </c>
      <c r="C3020" s="4" t="s">
        <v>87</v>
      </c>
      <c r="D3020" s="4" t="s">
        <v>314</v>
      </c>
      <c r="E3020" s="4" t="s">
        <v>288</v>
      </c>
      <c r="F3020" t="s">
        <v>235</v>
      </c>
      <c r="G3020" t="s">
        <v>230</v>
      </c>
      <c r="H3020">
        <f>VLOOKUP(C3020,'TB Apr 24'!$B$13:$BB$103,53,0)</f>
        <v>0</v>
      </c>
    </row>
    <row r="3021" spans="1:8" x14ac:dyDescent="0.35">
      <c r="A3021" s="77">
        <v>45383</v>
      </c>
      <c r="B3021" s="3" t="s">
        <v>151</v>
      </c>
      <c r="C3021" s="4" t="s">
        <v>152</v>
      </c>
      <c r="D3021" s="4" t="s">
        <v>314</v>
      </c>
      <c r="E3021" s="4" t="s">
        <v>288</v>
      </c>
      <c r="F3021" t="s">
        <v>235</v>
      </c>
      <c r="G3021" t="s">
        <v>230</v>
      </c>
      <c r="H3021">
        <f>VLOOKUP(C3021,'TB Apr 24'!$B$13:$BB$103,53,0)</f>
        <v>0</v>
      </c>
    </row>
    <row r="3022" spans="1:8" x14ac:dyDescent="0.35">
      <c r="A3022" s="77">
        <v>45383</v>
      </c>
      <c r="B3022" s="3" t="s">
        <v>153</v>
      </c>
      <c r="C3022" s="4" t="s">
        <v>154</v>
      </c>
      <c r="D3022" s="4" t="s">
        <v>314</v>
      </c>
      <c r="E3022" s="4" t="s">
        <v>288</v>
      </c>
      <c r="F3022" t="s">
        <v>235</v>
      </c>
      <c r="G3022" t="s">
        <v>230</v>
      </c>
      <c r="H3022">
        <f>VLOOKUP(C3022,'TB Apr 24'!$B$13:$BB$103,53,0)</f>
        <v>10225</v>
      </c>
    </row>
    <row r="3023" spans="1:8" x14ac:dyDescent="0.35">
      <c r="A3023" s="77">
        <v>45383</v>
      </c>
      <c r="B3023" s="3" t="s">
        <v>155</v>
      </c>
      <c r="C3023" s="4" t="s">
        <v>156</v>
      </c>
      <c r="D3023" s="4" t="s">
        <v>314</v>
      </c>
      <c r="E3023" s="4" t="s">
        <v>288</v>
      </c>
      <c r="F3023" t="s">
        <v>235</v>
      </c>
      <c r="G3023" t="s">
        <v>230</v>
      </c>
      <c r="H3023">
        <f>VLOOKUP(C3023,'TB Apr 24'!$B$13:$BB$103,53,0)</f>
        <v>177</v>
      </c>
    </row>
    <row r="3024" spans="1:8" x14ac:dyDescent="0.35">
      <c r="A3024" s="77">
        <v>45383</v>
      </c>
      <c r="B3024" s="3" t="s">
        <v>157</v>
      </c>
      <c r="C3024" s="4" t="s">
        <v>158</v>
      </c>
      <c r="D3024" s="4" t="s">
        <v>314</v>
      </c>
      <c r="E3024" s="4" t="s">
        <v>292</v>
      </c>
      <c r="F3024" t="s">
        <v>235</v>
      </c>
      <c r="G3024" t="s">
        <v>230</v>
      </c>
      <c r="H3024">
        <f>VLOOKUP(C3024,'TB Apr 24'!$B$13:$BB$103,53,0)</f>
        <v>0</v>
      </c>
    </row>
    <row r="3025" spans="1:8" x14ac:dyDescent="0.35">
      <c r="A3025" s="77">
        <v>45383</v>
      </c>
      <c r="B3025" s="3" t="s">
        <v>159</v>
      </c>
      <c r="C3025" s="4" t="s">
        <v>160</v>
      </c>
      <c r="D3025" s="4" t="s">
        <v>314</v>
      </c>
      <c r="E3025" s="4" t="s">
        <v>323</v>
      </c>
      <c r="F3025" t="s">
        <v>235</v>
      </c>
      <c r="G3025" t="s">
        <v>230</v>
      </c>
      <c r="H3025">
        <f>VLOOKUP(C3025,'TB Apr 24'!$B$13:$BB$103,53,0)</f>
        <v>0</v>
      </c>
    </row>
    <row r="3026" spans="1:8" x14ac:dyDescent="0.35">
      <c r="A3026" s="77">
        <v>45383</v>
      </c>
      <c r="B3026" s="3" t="s">
        <v>161</v>
      </c>
      <c r="C3026" s="4" t="s">
        <v>162</v>
      </c>
      <c r="D3026" s="4" t="s">
        <v>314</v>
      </c>
      <c r="E3026" s="4" t="s">
        <v>323</v>
      </c>
      <c r="F3026" t="s">
        <v>235</v>
      </c>
      <c r="G3026" t="s">
        <v>230</v>
      </c>
      <c r="H3026">
        <f>VLOOKUP(C3026,'TB Apr 24'!$B$13:$BB$103,53,0)</f>
        <v>8700</v>
      </c>
    </row>
    <row r="3027" spans="1:8" x14ac:dyDescent="0.35">
      <c r="A3027" s="77">
        <v>45383</v>
      </c>
      <c r="B3027" s="3" t="s">
        <v>163</v>
      </c>
      <c r="C3027" s="4" t="s">
        <v>164</v>
      </c>
      <c r="D3027" s="4" t="s">
        <v>314</v>
      </c>
      <c r="E3027" s="4" t="s">
        <v>319</v>
      </c>
      <c r="F3027" t="s">
        <v>235</v>
      </c>
      <c r="G3027" t="s">
        <v>230</v>
      </c>
      <c r="H3027">
        <f>VLOOKUP(C3027,'TB Apr 24'!$B$13:$BB$103,53,0)</f>
        <v>0</v>
      </c>
    </row>
    <row r="3028" spans="1:8" x14ac:dyDescent="0.35">
      <c r="A3028" s="77">
        <v>45383</v>
      </c>
      <c r="B3028" s="3" t="s">
        <v>165</v>
      </c>
      <c r="C3028" s="4" t="s">
        <v>166</v>
      </c>
      <c r="D3028" s="4" t="s">
        <v>314</v>
      </c>
      <c r="E3028" s="4" t="s">
        <v>304</v>
      </c>
      <c r="F3028" t="s">
        <v>235</v>
      </c>
      <c r="G3028" t="s">
        <v>230</v>
      </c>
      <c r="H3028">
        <f>VLOOKUP(C3028,'TB Apr 24'!$B$13:$BB$103,53,0)</f>
        <v>57042</v>
      </c>
    </row>
    <row r="3029" spans="1:8" x14ac:dyDescent="0.35">
      <c r="A3029" s="77">
        <v>45383</v>
      </c>
      <c r="B3029" s="3" t="s">
        <v>167</v>
      </c>
      <c r="C3029" s="4" t="s">
        <v>168</v>
      </c>
      <c r="D3029" s="4" t="s">
        <v>314</v>
      </c>
      <c r="E3029" s="4" t="s">
        <v>322</v>
      </c>
      <c r="F3029" t="s">
        <v>235</v>
      </c>
      <c r="G3029" t="s">
        <v>230</v>
      </c>
      <c r="H3029">
        <f>VLOOKUP(C3029,'TB Apr 24'!$B$13:$BB$103,53,0)</f>
        <v>0</v>
      </c>
    </row>
    <row r="3030" spans="1:8" x14ac:dyDescent="0.35">
      <c r="A3030" s="77">
        <v>45383</v>
      </c>
      <c r="B3030" s="3" t="s">
        <v>169</v>
      </c>
      <c r="C3030" s="4" t="s">
        <v>170</v>
      </c>
      <c r="D3030" s="4" t="s">
        <v>314</v>
      </c>
      <c r="E3030" s="4" t="s">
        <v>304</v>
      </c>
      <c r="F3030" t="s">
        <v>235</v>
      </c>
      <c r="G3030" t="s">
        <v>230</v>
      </c>
      <c r="H3030">
        <f>VLOOKUP(C3030,'TB Apr 24'!$B$13:$BB$103,53,0)</f>
        <v>228404</v>
      </c>
    </row>
    <row r="3031" spans="1:8" x14ac:dyDescent="0.35">
      <c r="A3031" s="77">
        <v>45383</v>
      </c>
      <c r="B3031" s="3" t="s">
        <v>171</v>
      </c>
      <c r="C3031" s="4" t="s">
        <v>172</v>
      </c>
      <c r="D3031" s="4" t="s">
        <v>314</v>
      </c>
      <c r="E3031" s="4" t="s">
        <v>303</v>
      </c>
      <c r="F3031" t="s">
        <v>235</v>
      </c>
      <c r="G3031" t="s">
        <v>230</v>
      </c>
      <c r="H3031">
        <f>VLOOKUP(C3031,'TB Apr 24'!$B$13:$BB$103,53,0)</f>
        <v>0</v>
      </c>
    </row>
    <row r="3032" spans="1:8" x14ac:dyDescent="0.35">
      <c r="A3032" s="77">
        <v>45383</v>
      </c>
      <c r="B3032" s="3" t="s">
        <v>173</v>
      </c>
      <c r="C3032" s="4" t="s">
        <v>174</v>
      </c>
      <c r="D3032" s="4" t="s">
        <v>314</v>
      </c>
      <c r="E3032" s="4" t="s">
        <v>257</v>
      </c>
      <c r="F3032" t="s">
        <v>235</v>
      </c>
      <c r="G3032" t="s">
        <v>230</v>
      </c>
      <c r="H3032">
        <f>VLOOKUP(C3032,'TB Apr 24'!$B$13:$BB$103,53,0)</f>
        <v>0</v>
      </c>
    </row>
    <row r="3033" spans="1:8" x14ac:dyDescent="0.35">
      <c r="A3033" s="77">
        <v>45383</v>
      </c>
      <c r="B3033" s="3" t="s">
        <v>175</v>
      </c>
      <c r="C3033" s="4" t="s">
        <v>176</v>
      </c>
      <c r="D3033" s="4" t="s">
        <v>314</v>
      </c>
      <c r="E3033" s="4" t="s">
        <v>257</v>
      </c>
      <c r="F3033" t="s">
        <v>235</v>
      </c>
      <c r="G3033" t="s">
        <v>230</v>
      </c>
      <c r="H3033">
        <f>VLOOKUP(C3033,'TB Apr 24'!$B$13:$BB$103,53,0)</f>
        <v>0</v>
      </c>
    </row>
    <row r="3034" spans="1:8" x14ac:dyDescent="0.35">
      <c r="A3034" s="77">
        <v>45383</v>
      </c>
      <c r="B3034" s="3" t="s">
        <v>177</v>
      </c>
      <c r="C3034" s="4" t="s">
        <v>178</v>
      </c>
      <c r="D3034" s="4" t="s">
        <v>314</v>
      </c>
      <c r="E3034" s="4" t="s">
        <v>257</v>
      </c>
      <c r="F3034" t="s">
        <v>235</v>
      </c>
      <c r="G3034" t="s">
        <v>230</v>
      </c>
      <c r="H3034">
        <f>VLOOKUP(C3034,'TB Apr 24'!$B$13:$BB$103,53,0)</f>
        <v>0</v>
      </c>
    </row>
    <row r="3035" spans="1:8" x14ac:dyDescent="0.35">
      <c r="A3035" s="77">
        <v>45383</v>
      </c>
      <c r="B3035" s="3" t="s">
        <v>179</v>
      </c>
      <c r="C3035" s="4" t="s">
        <v>180</v>
      </c>
      <c r="D3035" s="4" t="s">
        <v>314</v>
      </c>
      <c r="E3035" s="4" t="s">
        <v>322</v>
      </c>
      <c r="F3035" t="s">
        <v>235</v>
      </c>
      <c r="G3035" t="s">
        <v>230</v>
      </c>
      <c r="H3035">
        <f>VLOOKUP(C3035,'TB Apr 24'!$B$13:$BB$103,53,0)</f>
        <v>0</v>
      </c>
    </row>
    <row r="3036" spans="1:8" x14ac:dyDescent="0.35">
      <c r="A3036" s="77">
        <v>45383</v>
      </c>
      <c r="B3036" s="3" t="s">
        <v>181</v>
      </c>
      <c r="C3036" s="4" t="s">
        <v>182</v>
      </c>
      <c r="D3036" s="4" t="s">
        <v>314</v>
      </c>
      <c r="E3036" s="4" t="s">
        <v>290</v>
      </c>
      <c r="F3036" t="s">
        <v>235</v>
      </c>
      <c r="G3036" t="s">
        <v>230</v>
      </c>
      <c r="H3036">
        <f>VLOOKUP(C3036,'TB Apr 24'!$B$13:$BB$103,53,0)</f>
        <v>0</v>
      </c>
    </row>
    <row r="3037" spans="1:8" x14ac:dyDescent="0.35">
      <c r="A3037" s="77">
        <v>45383</v>
      </c>
      <c r="B3037" s="3" t="s">
        <v>183</v>
      </c>
      <c r="C3037" s="4" t="s">
        <v>184</v>
      </c>
      <c r="D3037" s="4" t="s">
        <v>314</v>
      </c>
      <c r="E3037" s="4" t="s">
        <v>290</v>
      </c>
      <c r="F3037" t="s">
        <v>235</v>
      </c>
      <c r="G3037" t="s">
        <v>230</v>
      </c>
      <c r="H3037">
        <f>VLOOKUP(C3037,'TB Apr 24'!$B$13:$BB$103,53,0)</f>
        <v>0</v>
      </c>
    </row>
    <row r="3038" spans="1:8" x14ac:dyDescent="0.35">
      <c r="A3038" s="77">
        <v>45383</v>
      </c>
      <c r="B3038" s="3" t="s">
        <v>185</v>
      </c>
      <c r="C3038" s="4" t="s">
        <v>186</v>
      </c>
      <c r="D3038" s="4" t="s">
        <v>314</v>
      </c>
      <c r="E3038" s="4" t="s">
        <v>290</v>
      </c>
      <c r="F3038" t="s">
        <v>235</v>
      </c>
      <c r="G3038" t="s">
        <v>230</v>
      </c>
      <c r="H3038">
        <f>VLOOKUP(C3038,'TB Apr 24'!$B$13:$BB$103,53,0)</f>
        <v>87833</v>
      </c>
    </row>
    <row r="3039" spans="1:8" x14ac:dyDescent="0.35">
      <c r="A3039" s="77">
        <v>45383</v>
      </c>
      <c r="B3039" s="3" t="s">
        <v>187</v>
      </c>
      <c r="C3039" s="4" t="s">
        <v>188</v>
      </c>
      <c r="D3039" s="4" t="s">
        <v>314</v>
      </c>
      <c r="E3039" s="4" t="s">
        <v>291</v>
      </c>
      <c r="F3039" t="s">
        <v>235</v>
      </c>
      <c r="G3039" t="s">
        <v>230</v>
      </c>
      <c r="H3039">
        <f>VLOOKUP(C3039,'TB Apr 24'!$B$13:$BB$103,53,0)</f>
        <v>24855.88</v>
      </c>
    </row>
    <row r="3040" spans="1:8" x14ac:dyDescent="0.35">
      <c r="A3040" s="77">
        <v>45383</v>
      </c>
      <c r="B3040" s="3" t="s">
        <v>189</v>
      </c>
      <c r="C3040" s="4" t="s">
        <v>190</v>
      </c>
      <c r="D3040" s="4" t="s">
        <v>314</v>
      </c>
      <c r="E3040" s="4" t="s">
        <v>254</v>
      </c>
      <c r="F3040" t="s">
        <v>235</v>
      </c>
      <c r="G3040" t="s">
        <v>230</v>
      </c>
      <c r="H3040">
        <f>VLOOKUP(C3040,'TB Apr 24'!$B$13:$BB$103,53,0)</f>
        <v>0</v>
      </c>
    </row>
    <row r="3041" spans="1:8" x14ac:dyDescent="0.35">
      <c r="A3041" s="77">
        <v>45383</v>
      </c>
      <c r="B3041" s="3" t="s">
        <v>191</v>
      </c>
      <c r="C3041" s="4" t="s">
        <v>192</v>
      </c>
      <c r="D3041" s="4" t="s">
        <v>314</v>
      </c>
      <c r="E3041" s="4" t="s">
        <v>254</v>
      </c>
      <c r="F3041" t="s">
        <v>235</v>
      </c>
      <c r="G3041" t="s">
        <v>230</v>
      </c>
      <c r="H3041">
        <f>VLOOKUP(C3041,'TB Apr 24'!$B$13:$BB$103,53,0)</f>
        <v>0</v>
      </c>
    </row>
    <row r="3042" spans="1:8" x14ac:dyDescent="0.35">
      <c r="A3042" s="77">
        <v>45383</v>
      </c>
      <c r="B3042" s="3" t="s">
        <v>193</v>
      </c>
      <c r="C3042" s="4" t="s">
        <v>194</v>
      </c>
      <c r="D3042" s="4" t="s">
        <v>314</v>
      </c>
      <c r="E3042" s="4" t="s">
        <v>254</v>
      </c>
      <c r="F3042" t="s">
        <v>235</v>
      </c>
      <c r="G3042" t="s">
        <v>230</v>
      </c>
      <c r="H3042">
        <f>VLOOKUP(C3042,'TB Apr 24'!$B$13:$BB$103,53,0)</f>
        <v>345971.58299999993</v>
      </c>
    </row>
    <row r="3043" spans="1:8" x14ac:dyDescent="0.35">
      <c r="A3043" s="77">
        <v>45383</v>
      </c>
      <c r="B3043" s="3" t="s">
        <v>195</v>
      </c>
      <c r="C3043" s="4" t="s">
        <v>196</v>
      </c>
      <c r="D3043" s="4" t="s">
        <v>314</v>
      </c>
      <c r="E3043" s="4" t="s">
        <v>255</v>
      </c>
      <c r="F3043" t="s">
        <v>235</v>
      </c>
      <c r="G3043" t="s">
        <v>230</v>
      </c>
      <c r="H3043">
        <f>VLOOKUP(C3043,'TB Apr 24'!$B$13:$BB$103,53,0)</f>
        <v>0</v>
      </c>
    </row>
    <row r="3044" spans="1:8" x14ac:dyDescent="0.35">
      <c r="A3044" s="77">
        <v>45383</v>
      </c>
      <c r="B3044" s="3" t="s">
        <v>197</v>
      </c>
      <c r="C3044" s="4" t="s">
        <v>198</v>
      </c>
      <c r="D3044" s="4" t="s">
        <v>314</v>
      </c>
      <c r="E3044" s="4" t="s">
        <v>255</v>
      </c>
      <c r="F3044" t="s">
        <v>235</v>
      </c>
      <c r="G3044" t="s">
        <v>230</v>
      </c>
      <c r="H3044">
        <f>VLOOKUP(C3044,'TB Apr 24'!$B$13:$BB$103,53,0)</f>
        <v>0</v>
      </c>
    </row>
    <row r="3045" spans="1:8" x14ac:dyDescent="0.35">
      <c r="A3045" s="77">
        <v>45383</v>
      </c>
      <c r="B3045" s="3" t="s">
        <v>199</v>
      </c>
      <c r="C3045" s="4" t="s">
        <v>200</v>
      </c>
      <c r="D3045" s="4" t="s">
        <v>314</v>
      </c>
      <c r="E3045" s="4" t="s">
        <v>254</v>
      </c>
      <c r="F3045" t="s">
        <v>235</v>
      </c>
      <c r="G3045" t="s">
        <v>230</v>
      </c>
      <c r="H3045">
        <f>VLOOKUP(C3045,'TB Apr 24'!$B$13:$BB$103,53,0)</f>
        <v>0</v>
      </c>
    </row>
    <row r="3046" spans="1:8" x14ac:dyDescent="0.35">
      <c r="A3046" s="77">
        <v>45383</v>
      </c>
      <c r="B3046" s="3" t="s">
        <v>201</v>
      </c>
      <c r="C3046" s="4" t="s">
        <v>202</v>
      </c>
      <c r="D3046" s="4" t="s">
        <v>314</v>
      </c>
      <c r="E3046" s="4" t="s">
        <v>254</v>
      </c>
      <c r="F3046" t="s">
        <v>235</v>
      </c>
      <c r="G3046" t="s">
        <v>230</v>
      </c>
      <c r="H3046">
        <f>VLOOKUP(C3046,'TB Apr 24'!$B$13:$BB$103,53,0)</f>
        <v>0</v>
      </c>
    </row>
    <row r="3047" spans="1:8" x14ac:dyDescent="0.35">
      <c r="A3047" s="77">
        <v>45383</v>
      </c>
      <c r="B3047" s="3" t="s">
        <v>203</v>
      </c>
      <c r="C3047" s="4" t="s">
        <v>204</v>
      </c>
      <c r="D3047" s="4" t="s">
        <v>314</v>
      </c>
      <c r="E3047" s="4" t="s">
        <v>256</v>
      </c>
      <c r="F3047" t="s">
        <v>235</v>
      </c>
      <c r="G3047" t="s">
        <v>230</v>
      </c>
      <c r="H3047">
        <f>VLOOKUP(C3047,'TB Apr 24'!$B$13:$BB$103,53,0)</f>
        <v>0</v>
      </c>
    </row>
    <row r="3048" spans="1:8" x14ac:dyDescent="0.35">
      <c r="A3048" s="77">
        <v>45383</v>
      </c>
      <c r="B3048" s="3" t="s">
        <v>205</v>
      </c>
      <c r="C3048" s="6" t="s">
        <v>206</v>
      </c>
      <c r="D3048" s="4" t="s">
        <v>314</v>
      </c>
      <c r="E3048" s="6" t="s">
        <v>322</v>
      </c>
      <c r="F3048" s="79" t="s">
        <v>235</v>
      </c>
      <c r="G3048" s="79" t="s">
        <v>230</v>
      </c>
      <c r="H3048" s="79">
        <f>VLOOKUP(C3048,'TB Apr 24'!$B$13:$BB$103,53,0)</f>
        <v>0</v>
      </c>
    </row>
    <row r="3049" spans="1:8" x14ac:dyDescent="0.35">
      <c r="A3049" s="77">
        <v>45383</v>
      </c>
      <c r="B3049" s="3" t="s">
        <v>57</v>
      </c>
      <c r="C3049" s="4" t="s">
        <v>58</v>
      </c>
      <c r="D3049" s="4" t="s">
        <v>314</v>
      </c>
      <c r="E3049" s="4" t="s">
        <v>253</v>
      </c>
      <c r="F3049" t="s">
        <v>235</v>
      </c>
      <c r="G3049" t="s">
        <v>219</v>
      </c>
      <c r="H3049">
        <f>VLOOKUP(C3049,'TB Apr 24'!$B$13:$BC$103,54,0)</f>
        <v>0</v>
      </c>
    </row>
    <row r="3050" spans="1:8" x14ac:dyDescent="0.35">
      <c r="A3050" s="77">
        <v>45383</v>
      </c>
      <c r="B3050" s="3" t="s">
        <v>307</v>
      </c>
      <c r="C3050" s="4" t="s">
        <v>308</v>
      </c>
      <c r="D3050" s="4" t="s">
        <v>314</v>
      </c>
      <c r="E3050" s="4" t="s">
        <v>253</v>
      </c>
      <c r="F3050" t="s">
        <v>235</v>
      </c>
      <c r="G3050" t="s">
        <v>219</v>
      </c>
      <c r="H3050">
        <f>VLOOKUP(C3050,'TB Apr 24'!$B$13:$BC$103,54,0)</f>
        <v>0</v>
      </c>
    </row>
    <row r="3051" spans="1:8" x14ac:dyDescent="0.35">
      <c r="A3051" s="77">
        <v>45383</v>
      </c>
      <c r="B3051" s="3" t="s">
        <v>59</v>
      </c>
      <c r="C3051" s="4" t="s">
        <v>60</v>
      </c>
      <c r="D3051" s="4" t="s">
        <v>314</v>
      </c>
      <c r="E3051" s="4" t="s">
        <v>253</v>
      </c>
      <c r="F3051" t="s">
        <v>235</v>
      </c>
      <c r="G3051" t="s">
        <v>219</v>
      </c>
      <c r="H3051">
        <f>VLOOKUP(C3051,'TB Apr 24'!$B$13:$BC$103,54,0)</f>
        <v>-44.75</v>
      </c>
    </row>
    <row r="3052" spans="1:8" x14ac:dyDescent="0.35">
      <c r="A3052" s="77">
        <v>45383</v>
      </c>
      <c r="B3052" s="3" t="s">
        <v>61</v>
      </c>
      <c r="C3052" s="4" t="s">
        <v>62</v>
      </c>
      <c r="D3052" s="4" t="s">
        <v>314</v>
      </c>
      <c r="E3052" s="4" t="s">
        <v>66</v>
      </c>
      <c r="F3052" t="s">
        <v>235</v>
      </c>
      <c r="G3052" t="s">
        <v>219</v>
      </c>
      <c r="H3052">
        <f>VLOOKUP(C3052,'TB Apr 24'!$B$13:$BC$103,54,0)</f>
        <v>-9341.01</v>
      </c>
    </row>
    <row r="3053" spans="1:8" x14ac:dyDescent="0.35">
      <c r="A3053" s="77">
        <v>45383</v>
      </c>
      <c r="B3053" s="3" t="s">
        <v>63</v>
      </c>
      <c r="C3053" s="4" t="s">
        <v>64</v>
      </c>
      <c r="D3053" s="4" t="s">
        <v>314</v>
      </c>
      <c r="E3053" s="4" t="s">
        <v>252</v>
      </c>
      <c r="F3053" t="s">
        <v>235</v>
      </c>
      <c r="G3053" t="s">
        <v>219</v>
      </c>
      <c r="H3053">
        <f>VLOOKUP(C3053,'TB Apr 24'!$B$13:$BC$103,54,0)</f>
        <v>0</v>
      </c>
    </row>
    <row r="3054" spans="1:8" x14ac:dyDescent="0.35">
      <c r="A3054" s="77">
        <v>45383</v>
      </c>
      <c r="B3054" s="3" t="s">
        <v>65</v>
      </c>
      <c r="C3054" s="4" t="s">
        <v>66</v>
      </c>
      <c r="D3054" s="4" t="s">
        <v>314</v>
      </c>
      <c r="E3054" s="4" t="s">
        <v>66</v>
      </c>
      <c r="F3054" t="s">
        <v>235</v>
      </c>
      <c r="G3054" t="s">
        <v>219</v>
      </c>
      <c r="H3054">
        <f>VLOOKUP(C3054,'TB Apr 24'!$B$13:$BC$103,54,0)</f>
        <v>-2745993.54</v>
      </c>
    </row>
    <row r="3055" spans="1:8" x14ac:dyDescent="0.35">
      <c r="A3055" s="77">
        <v>45383</v>
      </c>
      <c r="B3055" s="3" t="s">
        <v>67</v>
      </c>
      <c r="C3055" s="4" t="s">
        <v>68</v>
      </c>
      <c r="D3055" s="4" t="s">
        <v>314</v>
      </c>
      <c r="E3055" s="4" t="s">
        <v>252</v>
      </c>
      <c r="F3055" t="s">
        <v>235</v>
      </c>
      <c r="G3055" t="s">
        <v>219</v>
      </c>
      <c r="H3055">
        <f>VLOOKUP(C3055,'TB Apr 24'!$B$13:$BC$103,54,0)</f>
        <v>-634797.46</v>
      </c>
    </row>
    <row r="3056" spans="1:8" x14ac:dyDescent="0.35">
      <c r="A3056" s="77">
        <v>45383</v>
      </c>
      <c r="B3056" s="3" t="s">
        <v>69</v>
      </c>
      <c r="C3056" s="4" t="s">
        <v>70</v>
      </c>
      <c r="D3056" s="4" t="s">
        <v>314</v>
      </c>
      <c r="E3056" s="4" t="s">
        <v>70</v>
      </c>
      <c r="F3056" t="s">
        <v>235</v>
      </c>
      <c r="G3056" t="s">
        <v>219</v>
      </c>
      <c r="H3056">
        <f>VLOOKUP(C3056,'TB Apr 24'!$B$13:$BC$103,54,0)</f>
        <v>-248525.79</v>
      </c>
    </row>
    <row r="3057" spans="1:8" x14ac:dyDescent="0.35">
      <c r="A3057" s="77">
        <v>45383</v>
      </c>
      <c r="B3057" s="3" t="s">
        <v>71</v>
      </c>
      <c r="C3057" s="4" t="s">
        <v>72</v>
      </c>
      <c r="D3057" s="4" t="s">
        <v>314</v>
      </c>
      <c r="E3057" s="4" t="s">
        <v>253</v>
      </c>
      <c r="F3057" t="s">
        <v>235</v>
      </c>
      <c r="G3057" t="s">
        <v>219</v>
      </c>
      <c r="H3057">
        <f>VLOOKUP(C3057,'TB Apr 24'!$B$13:$BC$103,54,0)</f>
        <v>0</v>
      </c>
    </row>
    <row r="3058" spans="1:8" x14ac:dyDescent="0.35">
      <c r="A3058" s="77">
        <v>45383</v>
      </c>
      <c r="B3058" s="3" t="s">
        <v>73</v>
      </c>
      <c r="C3058" s="4" t="s">
        <v>74</v>
      </c>
      <c r="D3058" s="4" t="s">
        <v>314</v>
      </c>
      <c r="E3058" s="4" t="s">
        <v>253</v>
      </c>
      <c r="F3058" t="s">
        <v>235</v>
      </c>
      <c r="G3058" t="s">
        <v>219</v>
      </c>
      <c r="H3058">
        <f>VLOOKUP(C3058,'TB Apr 24'!$B$13:$BC$103,54,0)</f>
        <v>0</v>
      </c>
    </row>
    <row r="3059" spans="1:8" x14ac:dyDescent="0.35">
      <c r="A3059" s="77">
        <v>45383</v>
      </c>
      <c r="B3059" s="3" t="s">
        <v>75</v>
      </c>
      <c r="C3059" s="4" t="s">
        <v>76</v>
      </c>
      <c r="D3059" s="4" t="s">
        <v>314</v>
      </c>
      <c r="E3059" s="4" t="s">
        <v>253</v>
      </c>
      <c r="F3059" t="s">
        <v>235</v>
      </c>
      <c r="G3059" t="s">
        <v>219</v>
      </c>
      <c r="H3059">
        <f>VLOOKUP(C3059,'TB Apr 24'!$B$13:$BC$103,54,0)</f>
        <v>0</v>
      </c>
    </row>
    <row r="3060" spans="1:8" x14ac:dyDescent="0.35">
      <c r="A3060" s="77">
        <v>45383</v>
      </c>
      <c r="B3060" s="3" t="s">
        <v>77</v>
      </c>
      <c r="C3060" s="4" t="s">
        <v>78</v>
      </c>
      <c r="D3060" s="4" t="s">
        <v>314</v>
      </c>
      <c r="E3060" s="4" t="s">
        <v>253</v>
      </c>
      <c r="F3060" t="s">
        <v>235</v>
      </c>
      <c r="G3060" t="s">
        <v>219</v>
      </c>
      <c r="H3060">
        <f>VLOOKUP(C3060,'TB Apr 24'!$B$13:$BC$103,54,0)</f>
        <v>-79024.23</v>
      </c>
    </row>
    <row r="3061" spans="1:8" x14ac:dyDescent="0.35">
      <c r="A3061" s="77">
        <v>45383</v>
      </c>
      <c r="B3061" s="3" t="s">
        <v>79</v>
      </c>
      <c r="C3061" s="4" t="s">
        <v>80</v>
      </c>
      <c r="D3061" s="4" t="s">
        <v>314</v>
      </c>
      <c r="E3061" s="4" t="s">
        <v>253</v>
      </c>
      <c r="F3061" t="s">
        <v>235</v>
      </c>
      <c r="G3061" t="s">
        <v>219</v>
      </c>
      <c r="H3061">
        <f>VLOOKUP(C3061,'TB Apr 24'!$B$13:$BC$103,54,0)</f>
        <v>-23259.7</v>
      </c>
    </row>
    <row r="3062" spans="1:8" x14ac:dyDescent="0.35">
      <c r="A3062" s="77">
        <v>45383</v>
      </c>
      <c r="B3062" s="3" t="s">
        <v>81</v>
      </c>
      <c r="C3062" s="4" t="s">
        <v>82</v>
      </c>
      <c r="D3062" s="4" t="s">
        <v>314</v>
      </c>
      <c r="E3062" s="4" t="s">
        <v>319</v>
      </c>
      <c r="F3062" t="s">
        <v>235</v>
      </c>
      <c r="G3062" t="s">
        <v>219</v>
      </c>
      <c r="H3062">
        <f>VLOOKUP(C3062,'TB Apr 24'!$B$13:$BC$103,54,0)</f>
        <v>0</v>
      </c>
    </row>
    <row r="3063" spans="1:8" x14ac:dyDescent="0.35">
      <c r="A3063" s="77">
        <v>45383</v>
      </c>
      <c r="B3063" s="3" t="s">
        <v>83</v>
      </c>
      <c r="C3063" s="4" t="s">
        <v>84</v>
      </c>
      <c r="D3063" s="4" t="s">
        <v>314</v>
      </c>
      <c r="E3063" s="4" t="s">
        <v>319</v>
      </c>
      <c r="F3063" t="s">
        <v>235</v>
      </c>
      <c r="G3063" t="s">
        <v>219</v>
      </c>
      <c r="H3063">
        <f>VLOOKUP(C3063,'TB Apr 24'!$B$13:$BC$103,54,0)</f>
        <v>0</v>
      </c>
    </row>
    <row r="3064" spans="1:8" x14ac:dyDescent="0.35">
      <c r="A3064" s="77">
        <v>45383</v>
      </c>
      <c r="B3064" s="3" t="s">
        <v>85</v>
      </c>
      <c r="C3064" s="4" t="s">
        <v>86</v>
      </c>
      <c r="D3064" s="4" t="s">
        <v>314</v>
      </c>
      <c r="E3064" s="4" t="s">
        <v>291</v>
      </c>
      <c r="F3064" t="s">
        <v>235</v>
      </c>
      <c r="G3064" t="s">
        <v>219</v>
      </c>
      <c r="H3064">
        <f>VLOOKUP(C3064,'TB Apr 24'!$B$13:$BC$103,54,0)</f>
        <v>0</v>
      </c>
    </row>
    <row r="3065" spans="1:8" x14ac:dyDescent="0.35">
      <c r="A3065" s="77">
        <v>45383</v>
      </c>
      <c r="B3065" s="3" t="s">
        <v>88</v>
      </c>
      <c r="C3065" s="4" t="s">
        <v>89</v>
      </c>
      <c r="D3065" s="4" t="s">
        <v>314</v>
      </c>
      <c r="E3065" s="4" t="s">
        <v>300</v>
      </c>
      <c r="F3065" t="s">
        <v>235</v>
      </c>
      <c r="G3065" t="s">
        <v>219</v>
      </c>
      <c r="H3065">
        <f>VLOOKUP(C3065,'TB Apr 24'!$B$13:$BC$103,54,0)</f>
        <v>0</v>
      </c>
    </row>
    <row r="3066" spans="1:8" x14ac:dyDescent="0.35">
      <c r="A3066" s="77">
        <v>45383</v>
      </c>
      <c r="B3066" s="3" t="s">
        <v>90</v>
      </c>
      <c r="C3066" s="4" t="s">
        <v>91</v>
      </c>
      <c r="D3066" s="4" t="s">
        <v>314</v>
      </c>
      <c r="E3066" s="4" t="s">
        <v>300</v>
      </c>
      <c r="F3066" t="s">
        <v>235</v>
      </c>
      <c r="G3066" t="s">
        <v>219</v>
      </c>
      <c r="H3066">
        <f>VLOOKUP(C3066,'TB Apr 24'!$B$13:$BC$103,54,0)</f>
        <v>4470</v>
      </c>
    </row>
    <row r="3067" spans="1:8" x14ac:dyDescent="0.35">
      <c r="A3067" s="77">
        <v>45383</v>
      </c>
      <c r="B3067" s="3" t="s">
        <v>92</v>
      </c>
      <c r="C3067" s="4" t="s">
        <v>93</v>
      </c>
      <c r="D3067" s="4" t="s">
        <v>314</v>
      </c>
      <c r="E3067" s="4" t="s">
        <v>300</v>
      </c>
      <c r="F3067" t="s">
        <v>235</v>
      </c>
      <c r="G3067" t="s">
        <v>219</v>
      </c>
      <c r="H3067">
        <f>VLOOKUP(C3067,'TB Apr 24'!$B$13:$BC$103,54,0)</f>
        <v>0</v>
      </c>
    </row>
    <row r="3068" spans="1:8" x14ac:dyDescent="0.35">
      <c r="A3068" s="77">
        <v>45383</v>
      </c>
      <c r="B3068" s="3" t="s">
        <v>94</v>
      </c>
      <c r="C3068" s="4" t="s">
        <v>95</v>
      </c>
      <c r="D3068" s="4" t="s">
        <v>314</v>
      </c>
      <c r="E3068" s="4" t="s">
        <v>289</v>
      </c>
      <c r="F3068" t="s">
        <v>235</v>
      </c>
      <c r="G3068" t="s">
        <v>219</v>
      </c>
      <c r="H3068">
        <f>VLOOKUP(C3068,'TB Apr 24'!$B$13:$BC$103,54,0)</f>
        <v>1135476.2</v>
      </c>
    </row>
    <row r="3069" spans="1:8" x14ac:dyDescent="0.35">
      <c r="A3069" s="77">
        <v>45383</v>
      </c>
      <c r="B3069" s="3" t="s">
        <v>96</v>
      </c>
      <c r="C3069" s="4" t="s">
        <v>97</v>
      </c>
      <c r="D3069" s="4" t="s">
        <v>314</v>
      </c>
      <c r="E3069" s="4" t="s">
        <v>289</v>
      </c>
      <c r="F3069" t="s">
        <v>235</v>
      </c>
      <c r="G3069" t="s">
        <v>219</v>
      </c>
      <c r="H3069">
        <f>VLOOKUP(C3069,'TB Apr 24'!$B$13:$BC$103,54,0)</f>
        <v>0</v>
      </c>
    </row>
    <row r="3070" spans="1:8" x14ac:dyDescent="0.35">
      <c r="A3070" s="77">
        <v>45383</v>
      </c>
      <c r="B3070" s="3" t="s">
        <v>309</v>
      </c>
      <c r="C3070" s="4" t="s">
        <v>310</v>
      </c>
      <c r="D3070" s="4" t="s">
        <v>314</v>
      </c>
      <c r="E3070" s="4" t="s">
        <v>289</v>
      </c>
      <c r="F3070" t="s">
        <v>235</v>
      </c>
      <c r="G3070" t="s">
        <v>219</v>
      </c>
      <c r="H3070">
        <f>VLOOKUP(C3070,'TB Apr 24'!$B$13:$BC$103,54,0)</f>
        <v>150</v>
      </c>
    </row>
    <row r="3071" spans="1:8" x14ac:dyDescent="0.35">
      <c r="A3071" s="77">
        <v>45383</v>
      </c>
      <c r="B3071" s="3" t="s">
        <v>98</v>
      </c>
      <c r="C3071" s="4" t="s">
        <v>99</v>
      </c>
      <c r="D3071" s="4" t="s">
        <v>314</v>
      </c>
      <c r="E3071" s="4" t="s">
        <v>289</v>
      </c>
      <c r="F3071" t="s">
        <v>235</v>
      </c>
      <c r="G3071" t="s">
        <v>219</v>
      </c>
      <c r="H3071">
        <f>VLOOKUP(C3071,'TB Apr 24'!$B$13:$BC$103,54,0)</f>
        <v>0</v>
      </c>
    </row>
    <row r="3072" spans="1:8" x14ac:dyDescent="0.35">
      <c r="A3072" s="77">
        <v>45383</v>
      </c>
      <c r="B3072" s="3" t="s">
        <v>100</v>
      </c>
      <c r="C3072" s="4" t="s">
        <v>101</v>
      </c>
      <c r="D3072" s="4" t="s">
        <v>314</v>
      </c>
      <c r="E3072" s="4" t="s">
        <v>291</v>
      </c>
      <c r="F3072" t="s">
        <v>235</v>
      </c>
      <c r="G3072" t="s">
        <v>219</v>
      </c>
      <c r="H3072">
        <f>VLOOKUP(C3072,'TB Apr 24'!$B$13:$BC$103,54,0)</f>
        <v>0</v>
      </c>
    </row>
    <row r="3073" spans="1:8" x14ac:dyDescent="0.35">
      <c r="A3073" s="77">
        <v>45383</v>
      </c>
      <c r="B3073" s="3" t="s">
        <v>102</v>
      </c>
      <c r="C3073" s="4" t="s">
        <v>103</v>
      </c>
      <c r="D3073" s="4" t="s">
        <v>314</v>
      </c>
      <c r="E3073" s="4" t="s">
        <v>291</v>
      </c>
      <c r="F3073" t="s">
        <v>235</v>
      </c>
      <c r="G3073" t="s">
        <v>219</v>
      </c>
      <c r="H3073">
        <f>VLOOKUP(C3073,'TB Apr 24'!$B$13:$BC$103,54,0)</f>
        <v>0</v>
      </c>
    </row>
    <row r="3074" spans="1:8" x14ac:dyDescent="0.35">
      <c r="A3074" s="77">
        <v>45383</v>
      </c>
      <c r="B3074" s="3" t="s">
        <v>104</v>
      </c>
      <c r="C3074" s="4" t="s">
        <v>105</v>
      </c>
      <c r="D3074" s="4" t="s">
        <v>314</v>
      </c>
      <c r="E3074" s="4" t="s">
        <v>291</v>
      </c>
      <c r="F3074" t="s">
        <v>235</v>
      </c>
      <c r="G3074" t="s">
        <v>219</v>
      </c>
      <c r="H3074">
        <f>VLOOKUP(C3074,'TB Apr 24'!$B$13:$BC$103,54,0)</f>
        <v>0</v>
      </c>
    </row>
    <row r="3075" spans="1:8" x14ac:dyDescent="0.35">
      <c r="A3075" s="77">
        <v>45383</v>
      </c>
      <c r="B3075" s="3" t="s">
        <v>106</v>
      </c>
      <c r="C3075" s="4" t="s">
        <v>107</v>
      </c>
      <c r="D3075" s="4" t="s">
        <v>314</v>
      </c>
      <c r="E3075" s="4" t="s">
        <v>321</v>
      </c>
      <c r="F3075" t="s">
        <v>235</v>
      </c>
      <c r="G3075" t="s">
        <v>219</v>
      </c>
      <c r="H3075">
        <f>VLOOKUP(C3075,'TB Apr 24'!$B$13:$BC$103,54,0)</f>
        <v>0</v>
      </c>
    </row>
    <row r="3076" spans="1:8" x14ac:dyDescent="0.35">
      <c r="A3076" s="77">
        <v>45383</v>
      </c>
      <c r="B3076" s="3" t="s">
        <v>108</v>
      </c>
      <c r="C3076" s="4" t="s">
        <v>109</v>
      </c>
      <c r="D3076" s="4" t="s">
        <v>314</v>
      </c>
      <c r="E3076" s="4" t="s">
        <v>321</v>
      </c>
      <c r="F3076" t="s">
        <v>235</v>
      </c>
      <c r="G3076" t="s">
        <v>219</v>
      </c>
      <c r="H3076">
        <f>VLOOKUP(C3076,'TB Apr 24'!$B$13:$BC$103,54,0)</f>
        <v>0</v>
      </c>
    </row>
    <row r="3077" spans="1:8" x14ac:dyDescent="0.35">
      <c r="A3077" s="77">
        <v>45383</v>
      </c>
      <c r="B3077" s="3" t="s">
        <v>110</v>
      </c>
      <c r="C3077" s="4" t="s">
        <v>111</v>
      </c>
      <c r="D3077" s="4" t="s">
        <v>314</v>
      </c>
      <c r="E3077" s="4" t="s">
        <v>320</v>
      </c>
      <c r="F3077" t="s">
        <v>235</v>
      </c>
      <c r="G3077" t="s">
        <v>219</v>
      </c>
      <c r="H3077">
        <f>VLOOKUP(C3077,'TB Apr 24'!$B$13:$BC$103,54,0)</f>
        <v>0</v>
      </c>
    </row>
    <row r="3078" spans="1:8" x14ac:dyDescent="0.35">
      <c r="A3078" s="77">
        <v>45383</v>
      </c>
      <c r="B3078" s="3" t="s">
        <v>112</v>
      </c>
      <c r="C3078" s="4" t="s">
        <v>113</v>
      </c>
      <c r="D3078" s="4" t="s">
        <v>314</v>
      </c>
      <c r="E3078" s="4" t="s">
        <v>321</v>
      </c>
      <c r="F3078" t="s">
        <v>235</v>
      </c>
      <c r="G3078" t="s">
        <v>219</v>
      </c>
      <c r="H3078">
        <f>VLOOKUP(C3078,'TB Apr 24'!$B$13:$BC$103,54,0)</f>
        <v>0</v>
      </c>
    </row>
    <row r="3079" spans="1:8" x14ac:dyDescent="0.35">
      <c r="A3079" s="77">
        <v>45383</v>
      </c>
      <c r="B3079" s="3" t="s">
        <v>311</v>
      </c>
      <c r="C3079" s="4" t="s">
        <v>312</v>
      </c>
      <c r="D3079" s="4" t="s">
        <v>314</v>
      </c>
      <c r="E3079" s="4" t="s">
        <v>288</v>
      </c>
      <c r="F3079" t="s">
        <v>235</v>
      </c>
      <c r="G3079" t="s">
        <v>219</v>
      </c>
      <c r="H3079">
        <f>VLOOKUP(C3079,'TB Apr 24'!$B$13:$BC$103,54,0)</f>
        <v>0</v>
      </c>
    </row>
    <row r="3080" spans="1:8" x14ac:dyDescent="0.35">
      <c r="A3080" s="77">
        <v>45383</v>
      </c>
      <c r="B3080" s="3" t="s">
        <v>114</v>
      </c>
      <c r="C3080" s="4" t="s">
        <v>115</v>
      </c>
      <c r="D3080" s="4" t="s">
        <v>314</v>
      </c>
      <c r="E3080" s="4" t="s">
        <v>294</v>
      </c>
      <c r="F3080" t="s">
        <v>235</v>
      </c>
      <c r="G3080" t="s">
        <v>219</v>
      </c>
      <c r="H3080">
        <f>VLOOKUP(C3080,'TB Apr 24'!$B$13:$BC$103,54,0)</f>
        <v>10000</v>
      </c>
    </row>
    <row r="3081" spans="1:8" x14ac:dyDescent="0.35">
      <c r="A3081" s="77">
        <v>45383</v>
      </c>
      <c r="B3081" s="3" t="s">
        <v>116</v>
      </c>
      <c r="C3081" s="4" t="s">
        <v>117</v>
      </c>
      <c r="D3081" s="4" t="s">
        <v>314</v>
      </c>
      <c r="E3081" s="4" t="s">
        <v>296</v>
      </c>
      <c r="F3081" t="s">
        <v>235</v>
      </c>
      <c r="G3081" t="s">
        <v>219</v>
      </c>
      <c r="H3081">
        <f>VLOOKUP(C3081,'TB Apr 24'!$B$13:$BC$103,54,0)</f>
        <v>0</v>
      </c>
    </row>
    <row r="3082" spans="1:8" x14ac:dyDescent="0.35">
      <c r="A3082" s="77">
        <v>45383</v>
      </c>
      <c r="B3082" s="3" t="s">
        <v>118</v>
      </c>
      <c r="C3082" s="4" t="s">
        <v>119</v>
      </c>
      <c r="D3082" s="4" t="s">
        <v>314</v>
      </c>
      <c r="E3082" s="4" t="s">
        <v>296</v>
      </c>
      <c r="F3082" t="s">
        <v>235</v>
      </c>
      <c r="G3082" t="s">
        <v>219</v>
      </c>
      <c r="H3082">
        <f>VLOOKUP(C3082,'TB Apr 24'!$B$13:$BC$103,54,0)</f>
        <v>25250</v>
      </c>
    </row>
    <row r="3083" spans="1:8" x14ac:dyDescent="0.35">
      <c r="A3083" s="77">
        <v>45383</v>
      </c>
      <c r="B3083" s="3" t="s">
        <v>120</v>
      </c>
      <c r="C3083" s="4" t="s">
        <v>121</v>
      </c>
      <c r="D3083" s="4" t="s">
        <v>314</v>
      </c>
      <c r="E3083" s="4" t="s">
        <v>322</v>
      </c>
      <c r="F3083" t="s">
        <v>235</v>
      </c>
      <c r="G3083" t="s">
        <v>219</v>
      </c>
      <c r="H3083">
        <f>VLOOKUP(C3083,'TB Apr 24'!$B$13:$BC$103,54,0)</f>
        <v>0</v>
      </c>
    </row>
    <row r="3084" spans="1:8" x14ac:dyDescent="0.35">
      <c r="A3084" s="77">
        <v>45383</v>
      </c>
      <c r="B3084" s="3" t="s">
        <v>122</v>
      </c>
      <c r="C3084" s="4" t="s">
        <v>123</v>
      </c>
      <c r="D3084" s="4" t="s">
        <v>314</v>
      </c>
      <c r="E3084" s="4" t="s">
        <v>322</v>
      </c>
      <c r="F3084" t="s">
        <v>235</v>
      </c>
      <c r="G3084" t="s">
        <v>219</v>
      </c>
      <c r="H3084">
        <f>VLOOKUP(C3084,'TB Apr 24'!$B$13:$BC$103,54,0)</f>
        <v>0</v>
      </c>
    </row>
    <row r="3085" spans="1:8" x14ac:dyDescent="0.35">
      <c r="A3085" s="77">
        <v>45383</v>
      </c>
      <c r="B3085" s="3" t="s">
        <v>124</v>
      </c>
      <c r="C3085" s="4" t="s">
        <v>125</v>
      </c>
      <c r="D3085" s="4" t="s">
        <v>314</v>
      </c>
      <c r="E3085" s="4" t="s">
        <v>322</v>
      </c>
      <c r="F3085" t="s">
        <v>235</v>
      </c>
      <c r="G3085" t="s">
        <v>219</v>
      </c>
      <c r="H3085">
        <f>VLOOKUP(C3085,'TB Apr 24'!$B$13:$BC$103,54,0)</f>
        <v>0</v>
      </c>
    </row>
    <row r="3086" spans="1:8" x14ac:dyDescent="0.35">
      <c r="A3086" s="77">
        <v>45383</v>
      </c>
      <c r="B3086" s="3" t="s">
        <v>126</v>
      </c>
      <c r="C3086" s="4" t="s">
        <v>127</v>
      </c>
      <c r="D3086" s="4" t="s">
        <v>314</v>
      </c>
      <c r="E3086" s="4" t="s">
        <v>291</v>
      </c>
      <c r="F3086" t="s">
        <v>235</v>
      </c>
      <c r="G3086" t="s">
        <v>219</v>
      </c>
      <c r="H3086">
        <f>VLOOKUP(C3086,'TB Apr 24'!$B$13:$BC$103,54,0)</f>
        <v>0</v>
      </c>
    </row>
    <row r="3087" spans="1:8" x14ac:dyDescent="0.35">
      <c r="A3087" s="77">
        <v>45383</v>
      </c>
      <c r="B3087" s="3" t="s">
        <v>128</v>
      </c>
      <c r="C3087" s="4" t="s">
        <v>129</v>
      </c>
      <c r="D3087" s="4" t="s">
        <v>314</v>
      </c>
      <c r="E3087" s="4" t="s">
        <v>322</v>
      </c>
      <c r="F3087" t="s">
        <v>235</v>
      </c>
      <c r="G3087" t="s">
        <v>219</v>
      </c>
      <c r="H3087">
        <f>VLOOKUP(C3087,'TB Apr 24'!$B$13:$BC$103,54,0)</f>
        <v>34853</v>
      </c>
    </row>
    <row r="3088" spans="1:8" x14ac:dyDescent="0.35">
      <c r="A3088" s="77">
        <v>45383</v>
      </c>
      <c r="B3088" s="3" t="s">
        <v>130</v>
      </c>
      <c r="C3088" s="4" t="s">
        <v>131</v>
      </c>
      <c r="D3088" s="4" t="s">
        <v>314</v>
      </c>
      <c r="E3088" s="4" t="s">
        <v>322</v>
      </c>
      <c r="F3088" t="s">
        <v>235</v>
      </c>
      <c r="G3088" t="s">
        <v>219</v>
      </c>
      <c r="H3088">
        <f>VLOOKUP(C3088,'TB Apr 24'!$B$13:$BC$103,54,0)</f>
        <v>4843</v>
      </c>
    </row>
    <row r="3089" spans="1:8" x14ac:dyDescent="0.35">
      <c r="A3089" s="77">
        <v>45383</v>
      </c>
      <c r="B3089" s="3" t="s">
        <v>132</v>
      </c>
      <c r="C3089" s="4" t="s">
        <v>133</v>
      </c>
      <c r="D3089" s="4" t="s">
        <v>314</v>
      </c>
      <c r="E3089" s="4" t="s">
        <v>320</v>
      </c>
      <c r="F3089" t="s">
        <v>235</v>
      </c>
      <c r="G3089" t="s">
        <v>219</v>
      </c>
      <c r="H3089">
        <f>VLOOKUP(C3089,'TB Apr 24'!$B$13:$BC$103,54,0)</f>
        <v>85261</v>
      </c>
    </row>
    <row r="3090" spans="1:8" x14ac:dyDescent="0.35">
      <c r="A3090" s="77">
        <v>45383</v>
      </c>
      <c r="B3090" s="3" t="s">
        <v>134</v>
      </c>
      <c r="C3090" s="4" t="s">
        <v>135</v>
      </c>
      <c r="D3090" s="4" t="s">
        <v>314</v>
      </c>
      <c r="E3090" s="4" t="s">
        <v>299</v>
      </c>
      <c r="F3090" t="s">
        <v>235</v>
      </c>
      <c r="G3090" t="s">
        <v>219</v>
      </c>
      <c r="H3090">
        <f>VLOOKUP(C3090,'TB Apr 24'!$B$13:$BC$103,54,0)</f>
        <v>1590</v>
      </c>
    </row>
    <row r="3091" spans="1:8" x14ac:dyDescent="0.35">
      <c r="A3091" s="77">
        <v>45383</v>
      </c>
      <c r="B3091" s="3" t="s">
        <v>136</v>
      </c>
      <c r="C3091" s="4" t="s">
        <v>137</v>
      </c>
      <c r="D3091" s="4" t="s">
        <v>314</v>
      </c>
      <c r="E3091" s="4" t="s">
        <v>322</v>
      </c>
      <c r="F3091" t="s">
        <v>235</v>
      </c>
      <c r="G3091" t="s">
        <v>219</v>
      </c>
      <c r="H3091">
        <f>VLOOKUP(C3091,'TB Apr 24'!$B$13:$BC$103,54,0)</f>
        <v>0</v>
      </c>
    </row>
    <row r="3092" spans="1:8" x14ac:dyDescent="0.35">
      <c r="A3092" s="77">
        <v>45383</v>
      </c>
      <c r="B3092" s="3" t="s">
        <v>138</v>
      </c>
      <c r="C3092" s="4" t="s">
        <v>139</v>
      </c>
      <c r="D3092" s="4" t="s">
        <v>314</v>
      </c>
      <c r="E3092" s="4" t="s">
        <v>294</v>
      </c>
      <c r="F3092" t="s">
        <v>235</v>
      </c>
      <c r="G3092" t="s">
        <v>219</v>
      </c>
      <c r="H3092">
        <f>VLOOKUP(C3092,'TB Apr 24'!$B$13:$BC$103,54,0)</f>
        <v>8544</v>
      </c>
    </row>
    <row r="3093" spans="1:8" x14ac:dyDescent="0.35">
      <c r="A3093" s="77">
        <v>45383</v>
      </c>
      <c r="B3093" s="3" t="s">
        <v>140</v>
      </c>
      <c r="C3093" s="4" t="s">
        <v>141</v>
      </c>
      <c r="D3093" s="4" t="s">
        <v>314</v>
      </c>
      <c r="E3093" s="4" t="s">
        <v>268</v>
      </c>
      <c r="F3093" t="s">
        <v>235</v>
      </c>
      <c r="G3093" t="s">
        <v>219</v>
      </c>
      <c r="H3093">
        <f>VLOOKUP(C3093,'TB Apr 24'!$B$13:$BC$103,54,0)</f>
        <v>411508.51280000003</v>
      </c>
    </row>
    <row r="3094" spans="1:8" x14ac:dyDescent="0.35">
      <c r="A3094" s="77">
        <v>45383</v>
      </c>
      <c r="B3094" s="3" t="s">
        <v>142</v>
      </c>
      <c r="C3094" s="4" t="s">
        <v>143</v>
      </c>
      <c r="D3094" s="4" t="s">
        <v>314</v>
      </c>
      <c r="E3094" s="4" t="s">
        <v>269</v>
      </c>
      <c r="F3094" t="s">
        <v>235</v>
      </c>
      <c r="G3094" t="s">
        <v>219</v>
      </c>
      <c r="H3094">
        <f>VLOOKUP(C3094,'TB Apr 24'!$B$13:$BC$103,54,0)</f>
        <v>111797</v>
      </c>
    </row>
    <row r="3095" spans="1:8" x14ac:dyDescent="0.35">
      <c r="A3095" s="77">
        <v>45383</v>
      </c>
      <c r="B3095" s="3" t="s">
        <v>144</v>
      </c>
      <c r="C3095" s="4" t="s">
        <v>145</v>
      </c>
      <c r="D3095" s="4" t="s">
        <v>314</v>
      </c>
      <c r="E3095" s="4" t="s">
        <v>288</v>
      </c>
      <c r="F3095" t="s">
        <v>235</v>
      </c>
      <c r="G3095" t="s">
        <v>219</v>
      </c>
      <c r="H3095">
        <f>VLOOKUP(C3095,'TB Apr 24'!$B$13:$BC$103,54,0)</f>
        <v>58236</v>
      </c>
    </row>
    <row r="3096" spans="1:8" x14ac:dyDescent="0.35">
      <c r="A3096" s="77">
        <v>45383</v>
      </c>
      <c r="B3096" s="3" t="s">
        <v>146</v>
      </c>
      <c r="C3096" s="4" t="s">
        <v>147</v>
      </c>
      <c r="D3096" s="4" t="s">
        <v>314</v>
      </c>
      <c r="E3096" s="4" t="s">
        <v>288</v>
      </c>
      <c r="F3096" t="s">
        <v>235</v>
      </c>
      <c r="G3096" t="s">
        <v>219</v>
      </c>
      <c r="H3096">
        <f>VLOOKUP(C3096,'TB Apr 24'!$B$13:$BC$103,54,0)</f>
        <v>5346</v>
      </c>
    </row>
    <row r="3097" spans="1:8" x14ac:dyDescent="0.35">
      <c r="A3097" s="77">
        <v>45383</v>
      </c>
      <c r="B3097" s="3" t="s">
        <v>148</v>
      </c>
      <c r="C3097" s="4" t="s">
        <v>149</v>
      </c>
      <c r="D3097" s="4" t="s">
        <v>314</v>
      </c>
      <c r="E3097" s="4" t="s">
        <v>287</v>
      </c>
      <c r="F3097" t="s">
        <v>235</v>
      </c>
      <c r="G3097" t="s">
        <v>219</v>
      </c>
      <c r="H3097">
        <f>VLOOKUP(C3097,'TB Apr 24'!$B$13:$BC$103,54,0)</f>
        <v>108766.5</v>
      </c>
    </row>
    <row r="3098" spans="1:8" x14ac:dyDescent="0.35">
      <c r="A3098" s="77">
        <v>45383</v>
      </c>
      <c r="B3098" s="3" t="s">
        <v>150</v>
      </c>
      <c r="C3098" s="4" t="s">
        <v>87</v>
      </c>
      <c r="D3098" s="4" t="s">
        <v>314</v>
      </c>
      <c r="E3098" s="4" t="s">
        <v>288</v>
      </c>
      <c r="F3098" t="s">
        <v>235</v>
      </c>
      <c r="G3098" t="s">
        <v>219</v>
      </c>
      <c r="H3098">
        <f>VLOOKUP(C3098,'TB Apr 24'!$B$13:$BC$103,54,0)</f>
        <v>76282</v>
      </c>
    </row>
    <row r="3099" spans="1:8" x14ac:dyDescent="0.35">
      <c r="A3099" s="77">
        <v>45383</v>
      </c>
      <c r="B3099" s="3" t="s">
        <v>151</v>
      </c>
      <c r="C3099" s="4" t="s">
        <v>152</v>
      </c>
      <c r="D3099" s="4" t="s">
        <v>314</v>
      </c>
      <c r="E3099" s="4" t="s">
        <v>288</v>
      </c>
      <c r="F3099" t="s">
        <v>235</v>
      </c>
      <c r="G3099" t="s">
        <v>219</v>
      </c>
      <c r="H3099">
        <f>VLOOKUP(C3099,'TB Apr 24'!$B$13:$BC$103,54,0)</f>
        <v>8963</v>
      </c>
    </row>
    <row r="3100" spans="1:8" x14ac:dyDescent="0.35">
      <c r="A3100" s="77">
        <v>45383</v>
      </c>
      <c r="B3100" s="3" t="s">
        <v>153</v>
      </c>
      <c r="C3100" s="4" t="s">
        <v>154</v>
      </c>
      <c r="D3100" s="4" t="s">
        <v>314</v>
      </c>
      <c r="E3100" s="4" t="s">
        <v>288</v>
      </c>
      <c r="F3100" t="s">
        <v>235</v>
      </c>
      <c r="G3100" t="s">
        <v>219</v>
      </c>
      <c r="H3100">
        <f>VLOOKUP(C3100,'TB Apr 24'!$B$13:$BC$103,54,0)</f>
        <v>61777</v>
      </c>
    </row>
    <row r="3101" spans="1:8" x14ac:dyDescent="0.35">
      <c r="A3101" s="77">
        <v>45383</v>
      </c>
      <c r="B3101" s="3" t="s">
        <v>155</v>
      </c>
      <c r="C3101" s="4" t="s">
        <v>156</v>
      </c>
      <c r="D3101" s="4" t="s">
        <v>314</v>
      </c>
      <c r="E3101" s="4" t="s">
        <v>288</v>
      </c>
      <c r="F3101" t="s">
        <v>235</v>
      </c>
      <c r="G3101" t="s">
        <v>219</v>
      </c>
      <c r="H3101">
        <f>VLOOKUP(C3101,'TB Apr 24'!$B$13:$BC$103,54,0)</f>
        <v>616</v>
      </c>
    </row>
    <row r="3102" spans="1:8" x14ac:dyDescent="0.35">
      <c r="A3102" s="77">
        <v>45383</v>
      </c>
      <c r="B3102" s="3" t="s">
        <v>157</v>
      </c>
      <c r="C3102" s="4" t="s">
        <v>158</v>
      </c>
      <c r="D3102" s="4" t="s">
        <v>314</v>
      </c>
      <c r="E3102" s="4" t="s">
        <v>292</v>
      </c>
      <c r="F3102" t="s">
        <v>235</v>
      </c>
      <c r="G3102" t="s">
        <v>219</v>
      </c>
      <c r="H3102">
        <f>VLOOKUP(C3102,'TB Apr 24'!$B$13:$BC$103,54,0)</f>
        <v>0</v>
      </c>
    </row>
    <row r="3103" spans="1:8" x14ac:dyDescent="0.35">
      <c r="A3103" s="77">
        <v>45383</v>
      </c>
      <c r="B3103" s="3" t="s">
        <v>159</v>
      </c>
      <c r="C3103" s="4" t="s">
        <v>160</v>
      </c>
      <c r="D3103" s="4" t="s">
        <v>314</v>
      </c>
      <c r="E3103" s="4" t="s">
        <v>323</v>
      </c>
      <c r="F3103" t="s">
        <v>235</v>
      </c>
      <c r="G3103" t="s">
        <v>219</v>
      </c>
      <c r="H3103">
        <f>VLOOKUP(C3103,'TB Apr 24'!$B$13:$BC$103,54,0)</f>
        <v>0</v>
      </c>
    </row>
    <row r="3104" spans="1:8" x14ac:dyDescent="0.35">
      <c r="A3104" s="77">
        <v>45383</v>
      </c>
      <c r="B3104" s="3" t="s">
        <v>161</v>
      </c>
      <c r="C3104" s="4" t="s">
        <v>162</v>
      </c>
      <c r="D3104" s="4" t="s">
        <v>314</v>
      </c>
      <c r="E3104" s="4" t="s">
        <v>323</v>
      </c>
      <c r="F3104" t="s">
        <v>235</v>
      </c>
      <c r="G3104" t="s">
        <v>219</v>
      </c>
      <c r="H3104">
        <f>VLOOKUP(C3104,'TB Apr 24'!$B$13:$BC$103,54,0)</f>
        <v>24310</v>
      </c>
    </row>
    <row r="3105" spans="1:8" x14ac:dyDescent="0.35">
      <c r="A3105" s="77">
        <v>45383</v>
      </c>
      <c r="B3105" s="3" t="s">
        <v>163</v>
      </c>
      <c r="C3105" s="4" t="s">
        <v>164</v>
      </c>
      <c r="D3105" s="4" t="s">
        <v>314</v>
      </c>
      <c r="E3105" s="4" t="s">
        <v>319</v>
      </c>
      <c r="F3105" t="s">
        <v>235</v>
      </c>
      <c r="G3105" t="s">
        <v>219</v>
      </c>
      <c r="H3105">
        <f>VLOOKUP(C3105,'TB Apr 24'!$B$13:$BC$103,54,0)</f>
        <v>0</v>
      </c>
    </row>
    <row r="3106" spans="1:8" x14ac:dyDescent="0.35">
      <c r="A3106" s="77">
        <v>45383</v>
      </c>
      <c r="B3106" s="3" t="s">
        <v>165</v>
      </c>
      <c r="C3106" s="4" t="s">
        <v>166</v>
      </c>
      <c r="D3106" s="4" t="s">
        <v>314</v>
      </c>
      <c r="E3106" s="4" t="s">
        <v>304</v>
      </c>
      <c r="F3106" t="s">
        <v>235</v>
      </c>
      <c r="G3106" t="s">
        <v>219</v>
      </c>
      <c r="H3106">
        <f>VLOOKUP(C3106,'TB Apr 24'!$B$13:$BC$103,54,0)</f>
        <v>137691</v>
      </c>
    </row>
    <row r="3107" spans="1:8" x14ac:dyDescent="0.35">
      <c r="A3107" s="77">
        <v>45383</v>
      </c>
      <c r="B3107" s="3" t="s">
        <v>167</v>
      </c>
      <c r="C3107" s="4" t="s">
        <v>168</v>
      </c>
      <c r="D3107" s="4" t="s">
        <v>314</v>
      </c>
      <c r="E3107" s="4" t="s">
        <v>322</v>
      </c>
      <c r="F3107" t="s">
        <v>235</v>
      </c>
      <c r="G3107" t="s">
        <v>219</v>
      </c>
      <c r="H3107">
        <f>VLOOKUP(C3107,'TB Apr 24'!$B$13:$BC$103,54,0)</f>
        <v>0</v>
      </c>
    </row>
    <row r="3108" spans="1:8" x14ac:dyDescent="0.35">
      <c r="A3108" s="77">
        <v>45383</v>
      </c>
      <c r="B3108" s="3" t="s">
        <v>169</v>
      </c>
      <c r="C3108" s="4" t="s">
        <v>170</v>
      </c>
      <c r="D3108" s="4" t="s">
        <v>314</v>
      </c>
      <c r="E3108" s="4" t="s">
        <v>304</v>
      </c>
      <c r="F3108" t="s">
        <v>235</v>
      </c>
      <c r="G3108" t="s">
        <v>219</v>
      </c>
      <c r="H3108">
        <f>VLOOKUP(C3108,'TB Apr 24'!$B$13:$BC$103,54,0)</f>
        <v>80288</v>
      </c>
    </row>
    <row r="3109" spans="1:8" x14ac:dyDescent="0.35">
      <c r="A3109" s="77">
        <v>45383</v>
      </c>
      <c r="B3109" s="3" t="s">
        <v>171</v>
      </c>
      <c r="C3109" s="4" t="s">
        <v>172</v>
      </c>
      <c r="D3109" s="4" t="s">
        <v>314</v>
      </c>
      <c r="E3109" s="4" t="s">
        <v>303</v>
      </c>
      <c r="F3109" t="s">
        <v>235</v>
      </c>
      <c r="G3109" t="s">
        <v>219</v>
      </c>
      <c r="H3109">
        <f>VLOOKUP(C3109,'TB Apr 24'!$B$13:$BC$103,54,0)</f>
        <v>0</v>
      </c>
    </row>
    <row r="3110" spans="1:8" x14ac:dyDescent="0.35">
      <c r="A3110" s="77">
        <v>45383</v>
      </c>
      <c r="B3110" s="3" t="s">
        <v>173</v>
      </c>
      <c r="C3110" s="4" t="s">
        <v>174</v>
      </c>
      <c r="D3110" s="4" t="s">
        <v>314</v>
      </c>
      <c r="E3110" s="4" t="s">
        <v>257</v>
      </c>
      <c r="F3110" t="s">
        <v>235</v>
      </c>
      <c r="G3110" t="s">
        <v>219</v>
      </c>
      <c r="H3110">
        <f>VLOOKUP(C3110,'TB Apr 24'!$B$13:$BC$103,54,0)</f>
        <v>0</v>
      </c>
    </row>
    <row r="3111" spans="1:8" x14ac:dyDescent="0.35">
      <c r="A3111" s="77">
        <v>45383</v>
      </c>
      <c r="B3111" s="3" t="s">
        <v>175</v>
      </c>
      <c r="C3111" s="4" t="s">
        <v>176</v>
      </c>
      <c r="D3111" s="4" t="s">
        <v>314</v>
      </c>
      <c r="E3111" s="4" t="s">
        <v>257</v>
      </c>
      <c r="F3111" t="s">
        <v>235</v>
      </c>
      <c r="G3111" t="s">
        <v>219</v>
      </c>
      <c r="H3111">
        <f>VLOOKUP(C3111,'TB Apr 24'!$B$13:$BC$103,54,0)</f>
        <v>0</v>
      </c>
    </row>
    <row r="3112" spans="1:8" x14ac:dyDescent="0.35">
      <c r="A3112" s="77">
        <v>45383</v>
      </c>
      <c r="B3112" s="3" t="s">
        <v>177</v>
      </c>
      <c r="C3112" s="4" t="s">
        <v>178</v>
      </c>
      <c r="D3112" s="4" t="s">
        <v>314</v>
      </c>
      <c r="E3112" s="4" t="s">
        <v>257</v>
      </c>
      <c r="F3112" t="s">
        <v>235</v>
      </c>
      <c r="G3112" t="s">
        <v>219</v>
      </c>
      <c r="H3112">
        <f>VLOOKUP(C3112,'TB Apr 24'!$B$13:$BC$103,54,0)</f>
        <v>0</v>
      </c>
    </row>
    <row r="3113" spans="1:8" x14ac:dyDescent="0.35">
      <c r="A3113" s="77">
        <v>45383</v>
      </c>
      <c r="B3113" s="3" t="s">
        <v>179</v>
      </c>
      <c r="C3113" s="4" t="s">
        <v>180</v>
      </c>
      <c r="D3113" s="4" t="s">
        <v>314</v>
      </c>
      <c r="E3113" s="4" t="s">
        <v>322</v>
      </c>
      <c r="F3113" t="s">
        <v>235</v>
      </c>
      <c r="G3113" t="s">
        <v>219</v>
      </c>
      <c r="H3113">
        <f>VLOOKUP(C3113,'TB Apr 24'!$B$13:$BC$103,54,0)</f>
        <v>0</v>
      </c>
    </row>
    <row r="3114" spans="1:8" x14ac:dyDescent="0.35">
      <c r="A3114" s="77">
        <v>45383</v>
      </c>
      <c r="B3114" s="3" t="s">
        <v>181</v>
      </c>
      <c r="C3114" s="4" t="s">
        <v>182</v>
      </c>
      <c r="D3114" s="4" t="s">
        <v>314</v>
      </c>
      <c r="E3114" s="4" t="s">
        <v>290</v>
      </c>
      <c r="F3114" t="s">
        <v>235</v>
      </c>
      <c r="G3114" t="s">
        <v>219</v>
      </c>
      <c r="H3114">
        <f>VLOOKUP(C3114,'TB Apr 24'!$B$13:$BC$103,54,0)</f>
        <v>0</v>
      </c>
    </row>
    <row r="3115" spans="1:8" x14ac:dyDescent="0.35">
      <c r="A3115" s="77">
        <v>45383</v>
      </c>
      <c r="B3115" s="3" t="s">
        <v>183</v>
      </c>
      <c r="C3115" s="4" t="s">
        <v>184</v>
      </c>
      <c r="D3115" s="4" t="s">
        <v>314</v>
      </c>
      <c r="E3115" s="4" t="s">
        <v>290</v>
      </c>
      <c r="F3115" t="s">
        <v>235</v>
      </c>
      <c r="G3115" t="s">
        <v>219</v>
      </c>
      <c r="H3115">
        <f>VLOOKUP(C3115,'TB Apr 24'!$B$13:$BC$103,54,0)</f>
        <v>0</v>
      </c>
    </row>
    <row r="3116" spans="1:8" x14ac:dyDescent="0.35">
      <c r="A3116" s="77">
        <v>45383</v>
      </c>
      <c r="B3116" s="3" t="s">
        <v>185</v>
      </c>
      <c r="C3116" s="4" t="s">
        <v>186</v>
      </c>
      <c r="D3116" s="4" t="s">
        <v>314</v>
      </c>
      <c r="E3116" s="4" t="s">
        <v>290</v>
      </c>
      <c r="F3116" t="s">
        <v>235</v>
      </c>
      <c r="G3116" t="s">
        <v>219</v>
      </c>
      <c r="H3116">
        <f>VLOOKUP(C3116,'TB Apr 24'!$B$13:$BC$103,54,0)</f>
        <v>87833</v>
      </c>
    </row>
    <row r="3117" spans="1:8" x14ac:dyDescent="0.35">
      <c r="A3117" s="77">
        <v>45383</v>
      </c>
      <c r="B3117" s="3" t="s">
        <v>187</v>
      </c>
      <c r="C3117" s="4" t="s">
        <v>188</v>
      </c>
      <c r="D3117" s="4" t="s">
        <v>314</v>
      </c>
      <c r="E3117" s="4" t="s">
        <v>291</v>
      </c>
      <c r="F3117" t="s">
        <v>235</v>
      </c>
      <c r="G3117" t="s">
        <v>219</v>
      </c>
      <c r="H3117">
        <f>VLOOKUP(C3117,'TB Apr 24'!$B$13:$BC$103,54,0)</f>
        <v>77482.100000000006</v>
      </c>
    </row>
    <row r="3118" spans="1:8" x14ac:dyDescent="0.35">
      <c r="A3118" s="77">
        <v>45383</v>
      </c>
      <c r="B3118" s="3" t="s">
        <v>189</v>
      </c>
      <c r="C3118" s="4" t="s">
        <v>190</v>
      </c>
      <c r="D3118" s="4" t="s">
        <v>314</v>
      </c>
      <c r="E3118" s="4" t="s">
        <v>254</v>
      </c>
      <c r="F3118" t="s">
        <v>235</v>
      </c>
      <c r="G3118" t="s">
        <v>219</v>
      </c>
      <c r="H3118">
        <f>VLOOKUP(C3118,'TB Apr 24'!$B$13:$BC$103,54,0)</f>
        <v>0</v>
      </c>
    </row>
    <row r="3119" spans="1:8" x14ac:dyDescent="0.35">
      <c r="A3119" s="77">
        <v>45383</v>
      </c>
      <c r="B3119" s="3" t="s">
        <v>191</v>
      </c>
      <c r="C3119" s="4" t="s">
        <v>192</v>
      </c>
      <c r="D3119" s="4" t="s">
        <v>314</v>
      </c>
      <c r="E3119" s="4" t="s">
        <v>254</v>
      </c>
      <c r="F3119" t="s">
        <v>235</v>
      </c>
      <c r="G3119" t="s">
        <v>219</v>
      </c>
      <c r="H3119">
        <f>VLOOKUP(C3119,'TB Apr 24'!$B$13:$BC$103,54,0)</f>
        <v>0</v>
      </c>
    </row>
    <row r="3120" spans="1:8" x14ac:dyDescent="0.35">
      <c r="A3120" s="77">
        <v>45383</v>
      </c>
      <c r="B3120" s="3" t="s">
        <v>193</v>
      </c>
      <c r="C3120" s="4" t="s">
        <v>194</v>
      </c>
      <c r="D3120" s="4" t="s">
        <v>314</v>
      </c>
      <c r="E3120" s="4" t="s">
        <v>254</v>
      </c>
      <c r="F3120" t="s">
        <v>235</v>
      </c>
      <c r="G3120" t="s">
        <v>219</v>
      </c>
      <c r="H3120">
        <f>VLOOKUP(C3120,'TB Apr 24'!$B$13:$BC$103,54,0)</f>
        <v>1029310.1349999992</v>
      </c>
    </row>
    <row r="3121" spans="1:8" x14ac:dyDescent="0.35">
      <c r="A3121" s="77">
        <v>45383</v>
      </c>
      <c r="B3121" s="3" t="s">
        <v>195</v>
      </c>
      <c r="C3121" s="4" t="s">
        <v>196</v>
      </c>
      <c r="D3121" s="4" t="s">
        <v>314</v>
      </c>
      <c r="E3121" s="4" t="s">
        <v>255</v>
      </c>
      <c r="F3121" t="s">
        <v>235</v>
      </c>
      <c r="G3121" t="s">
        <v>219</v>
      </c>
      <c r="H3121">
        <f>VLOOKUP(C3121,'TB Apr 24'!$B$13:$BC$103,54,0)</f>
        <v>0</v>
      </c>
    </row>
    <row r="3122" spans="1:8" x14ac:dyDescent="0.35">
      <c r="A3122" s="77">
        <v>45383</v>
      </c>
      <c r="B3122" s="3" t="s">
        <v>197</v>
      </c>
      <c r="C3122" s="4" t="s">
        <v>198</v>
      </c>
      <c r="D3122" s="4" t="s">
        <v>314</v>
      </c>
      <c r="E3122" s="4" t="s">
        <v>255</v>
      </c>
      <c r="F3122" t="s">
        <v>235</v>
      </c>
      <c r="G3122" t="s">
        <v>219</v>
      </c>
      <c r="H3122">
        <f>VLOOKUP(C3122,'TB Apr 24'!$B$13:$BC$103,54,0)</f>
        <v>0</v>
      </c>
    </row>
    <row r="3123" spans="1:8" x14ac:dyDescent="0.35">
      <c r="A3123" s="77">
        <v>45383</v>
      </c>
      <c r="B3123" s="3" t="s">
        <v>199</v>
      </c>
      <c r="C3123" s="4" t="s">
        <v>200</v>
      </c>
      <c r="D3123" s="4" t="s">
        <v>314</v>
      </c>
      <c r="E3123" s="4" t="s">
        <v>254</v>
      </c>
      <c r="F3123" t="s">
        <v>235</v>
      </c>
      <c r="G3123" t="s">
        <v>219</v>
      </c>
      <c r="H3123">
        <f>VLOOKUP(C3123,'TB Apr 24'!$B$13:$BC$103,54,0)</f>
        <v>0</v>
      </c>
    </row>
    <row r="3124" spans="1:8" x14ac:dyDescent="0.35">
      <c r="A3124" s="77">
        <v>45383</v>
      </c>
      <c r="B3124" s="3" t="s">
        <v>201</v>
      </c>
      <c r="C3124" s="4" t="s">
        <v>202</v>
      </c>
      <c r="D3124" s="4" t="s">
        <v>314</v>
      </c>
      <c r="E3124" s="4" t="s">
        <v>254</v>
      </c>
      <c r="F3124" t="s">
        <v>235</v>
      </c>
      <c r="G3124" t="s">
        <v>219</v>
      </c>
      <c r="H3124">
        <f>VLOOKUP(C3124,'TB Apr 24'!$B$13:$BC$103,54,0)</f>
        <v>0</v>
      </c>
    </row>
    <row r="3125" spans="1:8" x14ac:dyDescent="0.35">
      <c r="A3125" s="77">
        <v>45383</v>
      </c>
      <c r="B3125" s="3" t="s">
        <v>203</v>
      </c>
      <c r="C3125" s="4" t="s">
        <v>204</v>
      </c>
      <c r="D3125" s="4" t="s">
        <v>314</v>
      </c>
      <c r="E3125" s="4" t="s">
        <v>256</v>
      </c>
      <c r="F3125" t="s">
        <v>235</v>
      </c>
      <c r="G3125" t="s">
        <v>219</v>
      </c>
      <c r="H3125">
        <f>VLOOKUP(C3125,'TB Apr 24'!$B$13:$BC$103,54,0)</f>
        <v>91915.723761304864</v>
      </c>
    </row>
    <row r="3126" spans="1:8" x14ac:dyDescent="0.35">
      <c r="A3126" s="77">
        <v>45383</v>
      </c>
      <c r="B3126" s="3" t="s">
        <v>205</v>
      </c>
      <c r="C3126" s="6" t="s">
        <v>206</v>
      </c>
      <c r="D3126" s="4" t="s">
        <v>314</v>
      </c>
      <c r="E3126" s="6" t="s">
        <v>322</v>
      </c>
      <c r="F3126" s="79" t="s">
        <v>235</v>
      </c>
      <c r="G3126" s="79" t="s">
        <v>219</v>
      </c>
      <c r="H3126" s="79">
        <f>VLOOKUP(C3126,'TB Apr 24'!$B$13:$BC$103,54,0)</f>
        <v>0</v>
      </c>
    </row>
    <row r="3127" spans="1:8" x14ac:dyDescent="0.35">
      <c r="A3127" s="77">
        <v>45383</v>
      </c>
      <c r="B3127" s="3" t="s">
        <v>57</v>
      </c>
      <c r="C3127" s="4" t="s">
        <v>58</v>
      </c>
      <c r="D3127" s="4" t="s">
        <v>314</v>
      </c>
      <c r="E3127" s="4" t="s">
        <v>253</v>
      </c>
      <c r="F3127" t="s">
        <v>235</v>
      </c>
      <c r="G3127" t="s">
        <v>220</v>
      </c>
      <c r="H3127">
        <f>VLOOKUP(C3127,'TB Apr 24'!$B$13:$BD$103,55,0)</f>
        <v>0</v>
      </c>
    </row>
    <row r="3128" spans="1:8" x14ac:dyDescent="0.35">
      <c r="A3128" s="77">
        <v>45383</v>
      </c>
      <c r="B3128" s="3" t="s">
        <v>307</v>
      </c>
      <c r="C3128" s="4" t="s">
        <v>308</v>
      </c>
      <c r="D3128" s="4" t="s">
        <v>314</v>
      </c>
      <c r="E3128" s="4" t="s">
        <v>253</v>
      </c>
      <c r="F3128" t="s">
        <v>235</v>
      </c>
      <c r="G3128" t="s">
        <v>220</v>
      </c>
      <c r="H3128">
        <f>VLOOKUP(C3128,'TB Apr 24'!$B$13:$BD$103,55,0)</f>
        <v>0</v>
      </c>
    </row>
    <row r="3129" spans="1:8" x14ac:dyDescent="0.35">
      <c r="A3129" s="77">
        <v>45383</v>
      </c>
      <c r="B3129" s="3" t="s">
        <v>59</v>
      </c>
      <c r="C3129" s="4" t="s">
        <v>60</v>
      </c>
      <c r="D3129" s="4" t="s">
        <v>314</v>
      </c>
      <c r="E3129" s="4" t="s">
        <v>253</v>
      </c>
      <c r="F3129" t="s">
        <v>235</v>
      </c>
      <c r="G3129" t="s">
        <v>220</v>
      </c>
      <c r="H3129">
        <f>VLOOKUP(C3129,'TB Apr 24'!$B$13:$BD$103,55,0)</f>
        <v>16.760000000000002</v>
      </c>
    </row>
    <row r="3130" spans="1:8" x14ac:dyDescent="0.35">
      <c r="A3130" s="77">
        <v>45383</v>
      </c>
      <c r="B3130" s="3" t="s">
        <v>61</v>
      </c>
      <c r="C3130" s="4" t="s">
        <v>62</v>
      </c>
      <c r="D3130" s="4" t="s">
        <v>314</v>
      </c>
      <c r="E3130" s="4" t="s">
        <v>66</v>
      </c>
      <c r="F3130" t="s">
        <v>235</v>
      </c>
      <c r="G3130" t="s">
        <v>220</v>
      </c>
      <c r="H3130">
        <f>VLOOKUP(C3130,'TB Apr 24'!$B$13:$BD$103,55,0)</f>
        <v>-8027.04</v>
      </c>
    </row>
    <row r="3131" spans="1:8" x14ac:dyDescent="0.35">
      <c r="A3131" s="77">
        <v>45383</v>
      </c>
      <c r="B3131" s="3" t="s">
        <v>63</v>
      </c>
      <c r="C3131" s="4" t="s">
        <v>64</v>
      </c>
      <c r="D3131" s="4" t="s">
        <v>314</v>
      </c>
      <c r="E3131" s="4" t="s">
        <v>252</v>
      </c>
      <c r="F3131" t="s">
        <v>235</v>
      </c>
      <c r="G3131" t="s">
        <v>220</v>
      </c>
      <c r="H3131">
        <f>VLOOKUP(C3131,'TB Apr 24'!$B$13:$BD$103,55,0)</f>
        <v>0</v>
      </c>
    </row>
    <row r="3132" spans="1:8" x14ac:dyDescent="0.35">
      <c r="A3132" s="77">
        <v>45383</v>
      </c>
      <c r="B3132" s="3" t="s">
        <v>65</v>
      </c>
      <c r="C3132" s="4" t="s">
        <v>66</v>
      </c>
      <c r="D3132" s="4" t="s">
        <v>314</v>
      </c>
      <c r="E3132" s="4" t="s">
        <v>66</v>
      </c>
      <c r="F3132" t="s">
        <v>235</v>
      </c>
      <c r="G3132" t="s">
        <v>220</v>
      </c>
      <c r="H3132">
        <f>VLOOKUP(C3132,'TB Apr 24'!$B$13:$BD$103,55,0)</f>
        <v>-457407.72</v>
      </c>
    </row>
    <row r="3133" spans="1:8" x14ac:dyDescent="0.35">
      <c r="A3133" s="77">
        <v>45383</v>
      </c>
      <c r="B3133" s="3" t="s">
        <v>67</v>
      </c>
      <c r="C3133" s="4" t="s">
        <v>68</v>
      </c>
      <c r="D3133" s="4" t="s">
        <v>314</v>
      </c>
      <c r="E3133" s="4" t="s">
        <v>252</v>
      </c>
      <c r="F3133" t="s">
        <v>235</v>
      </c>
      <c r="G3133" t="s">
        <v>220</v>
      </c>
      <c r="H3133">
        <f>VLOOKUP(C3133,'TB Apr 24'!$B$13:$BD$103,55,0)</f>
        <v>-72961.16</v>
      </c>
    </row>
    <row r="3134" spans="1:8" x14ac:dyDescent="0.35">
      <c r="A3134" s="77">
        <v>45383</v>
      </c>
      <c r="B3134" s="3" t="s">
        <v>69</v>
      </c>
      <c r="C3134" s="4" t="s">
        <v>70</v>
      </c>
      <c r="D3134" s="4" t="s">
        <v>314</v>
      </c>
      <c r="E3134" s="4" t="s">
        <v>70</v>
      </c>
      <c r="F3134" t="s">
        <v>235</v>
      </c>
      <c r="G3134" t="s">
        <v>220</v>
      </c>
      <c r="H3134">
        <f>VLOOKUP(C3134,'TB Apr 24'!$B$13:$BD$103,55,0)</f>
        <v>-30038.49</v>
      </c>
    </row>
    <row r="3135" spans="1:8" x14ac:dyDescent="0.35">
      <c r="A3135" s="77">
        <v>45383</v>
      </c>
      <c r="B3135" s="3" t="s">
        <v>71</v>
      </c>
      <c r="C3135" s="4" t="s">
        <v>72</v>
      </c>
      <c r="D3135" s="4" t="s">
        <v>314</v>
      </c>
      <c r="E3135" s="4" t="s">
        <v>253</v>
      </c>
      <c r="F3135" t="s">
        <v>235</v>
      </c>
      <c r="G3135" t="s">
        <v>220</v>
      </c>
      <c r="H3135">
        <f>VLOOKUP(C3135,'TB Apr 24'!$B$13:$BD$103,55,0)</f>
        <v>0</v>
      </c>
    </row>
    <row r="3136" spans="1:8" x14ac:dyDescent="0.35">
      <c r="A3136" s="77">
        <v>45383</v>
      </c>
      <c r="B3136" s="3" t="s">
        <v>73</v>
      </c>
      <c r="C3136" s="4" t="s">
        <v>74</v>
      </c>
      <c r="D3136" s="4" t="s">
        <v>314</v>
      </c>
      <c r="E3136" s="4" t="s">
        <v>253</v>
      </c>
      <c r="F3136" t="s">
        <v>235</v>
      </c>
      <c r="G3136" t="s">
        <v>220</v>
      </c>
      <c r="H3136">
        <f>VLOOKUP(C3136,'TB Apr 24'!$B$13:$BD$103,55,0)</f>
        <v>-446.45</v>
      </c>
    </row>
    <row r="3137" spans="1:8" x14ac:dyDescent="0.35">
      <c r="A3137" s="77">
        <v>45383</v>
      </c>
      <c r="B3137" s="3" t="s">
        <v>75</v>
      </c>
      <c r="C3137" s="4" t="s">
        <v>76</v>
      </c>
      <c r="D3137" s="4" t="s">
        <v>314</v>
      </c>
      <c r="E3137" s="4" t="s">
        <v>253</v>
      </c>
      <c r="F3137" t="s">
        <v>235</v>
      </c>
      <c r="G3137" t="s">
        <v>220</v>
      </c>
      <c r="H3137">
        <f>VLOOKUP(C3137,'TB Apr 24'!$B$13:$BD$103,55,0)</f>
        <v>0</v>
      </c>
    </row>
    <row r="3138" spans="1:8" x14ac:dyDescent="0.35">
      <c r="A3138" s="77">
        <v>45383</v>
      </c>
      <c r="B3138" s="3" t="s">
        <v>77</v>
      </c>
      <c r="C3138" s="4" t="s">
        <v>78</v>
      </c>
      <c r="D3138" s="4" t="s">
        <v>314</v>
      </c>
      <c r="E3138" s="4" t="s">
        <v>253</v>
      </c>
      <c r="F3138" t="s">
        <v>235</v>
      </c>
      <c r="G3138" t="s">
        <v>220</v>
      </c>
      <c r="H3138">
        <f>VLOOKUP(C3138,'TB Apr 24'!$B$13:$BD$103,55,0)</f>
        <v>-11964.38</v>
      </c>
    </row>
    <row r="3139" spans="1:8" x14ac:dyDescent="0.35">
      <c r="A3139" s="77">
        <v>45383</v>
      </c>
      <c r="B3139" s="3" t="s">
        <v>79</v>
      </c>
      <c r="C3139" s="4" t="s">
        <v>80</v>
      </c>
      <c r="D3139" s="4" t="s">
        <v>314</v>
      </c>
      <c r="E3139" s="4" t="s">
        <v>253</v>
      </c>
      <c r="F3139" t="s">
        <v>235</v>
      </c>
      <c r="G3139" t="s">
        <v>220</v>
      </c>
      <c r="H3139">
        <f>VLOOKUP(C3139,'TB Apr 24'!$B$13:$BD$103,55,0)</f>
        <v>-2247.1799999999998</v>
      </c>
    </row>
    <row r="3140" spans="1:8" x14ac:dyDescent="0.35">
      <c r="A3140" s="77">
        <v>45383</v>
      </c>
      <c r="B3140" s="3" t="s">
        <v>81</v>
      </c>
      <c r="C3140" s="4" t="s">
        <v>82</v>
      </c>
      <c r="D3140" s="4" t="s">
        <v>314</v>
      </c>
      <c r="E3140" s="4" t="s">
        <v>319</v>
      </c>
      <c r="F3140" t="s">
        <v>235</v>
      </c>
      <c r="G3140" t="s">
        <v>220</v>
      </c>
      <c r="H3140">
        <f>VLOOKUP(C3140,'TB Apr 24'!$B$13:$BD$103,55,0)</f>
        <v>0</v>
      </c>
    </row>
    <row r="3141" spans="1:8" x14ac:dyDescent="0.35">
      <c r="A3141" s="77">
        <v>45383</v>
      </c>
      <c r="B3141" s="3" t="s">
        <v>83</v>
      </c>
      <c r="C3141" s="4" t="s">
        <v>84</v>
      </c>
      <c r="D3141" s="4" t="s">
        <v>314</v>
      </c>
      <c r="E3141" s="4" t="s">
        <v>319</v>
      </c>
      <c r="F3141" t="s">
        <v>235</v>
      </c>
      <c r="G3141" t="s">
        <v>220</v>
      </c>
      <c r="H3141">
        <f>VLOOKUP(C3141,'TB Apr 24'!$B$13:$BD$103,55,0)</f>
        <v>0</v>
      </c>
    </row>
    <row r="3142" spans="1:8" x14ac:dyDescent="0.35">
      <c r="A3142" s="77">
        <v>45383</v>
      </c>
      <c r="B3142" s="3" t="s">
        <v>85</v>
      </c>
      <c r="C3142" s="4" t="s">
        <v>86</v>
      </c>
      <c r="D3142" s="4" t="s">
        <v>314</v>
      </c>
      <c r="E3142" s="4" t="s">
        <v>291</v>
      </c>
      <c r="F3142" t="s">
        <v>235</v>
      </c>
      <c r="G3142" t="s">
        <v>220</v>
      </c>
      <c r="H3142">
        <f>VLOOKUP(C3142,'TB Apr 24'!$B$13:$BD$103,55,0)</f>
        <v>0</v>
      </c>
    </row>
    <row r="3143" spans="1:8" x14ac:dyDescent="0.35">
      <c r="A3143" s="77">
        <v>45383</v>
      </c>
      <c r="B3143" s="3" t="s">
        <v>88</v>
      </c>
      <c r="C3143" s="4" t="s">
        <v>89</v>
      </c>
      <c r="D3143" s="4" t="s">
        <v>314</v>
      </c>
      <c r="E3143" s="4" t="s">
        <v>300</v>
      </c>
      <c r="F3143" t="s">
        <v>235</v>
      </c>
      <c r="G3143" t="s">
        <v>220</v>
      </c>
      <c r="H3143">
        <f>VLOOKUP(C3143,'TB Apr 24'!$B$13:$BD$103,55,0)</f>
        <v>0</v>
      </c>
    </row>
    <row r="3144" spans="1:8" x14ac:dyDescent="0.35">
      <c r="A3144" s="77">
        <v>45383</v>
      </c>
      <c r="B3144" s="3" t="s">
        <v>90</v>
      </c>
      <c r="C3144" s="4" t="s">
        <v>91</v>
      </c>
      <c r="D3144" s="4" t="s">
        <v>314</v>
      </c>
      <c r="E3144" s="4" t="s">
        <v>300</v>
      </c>
      <c r="F3144" t="s">
        <v>235</v>
      </c>
      <c r="G3144" t="s">
        <v>220</v>
      </c>
      <c r="H3144">
        <f>VLOOKUP(C3144,'TB Apr 24'!$B$13:$BD$103,55,0)</f>
        <v>800</v>
      </c>
    </row>
    <row r="3145" spans="1:8" x14ac:dyDescent="0.35">
      <c r="A3145" s="77">
        <v>45383</v>
      </c>
      <c r="B3145" s="3" t="s">
        <v>92</v>
      </c>
      <c r="C3145" s="4" t="s">
        <v>93</v>
      </c>
      <c r="D3145" s="4" t="s">
        <v>314</v>
      </c>
      <c r="E3145" s="4" t="s">
        <v>300</v>
      </c>
      <c r="F3145" t="s">
        <v>235</v>
      </c>
      <c r="G3145" t="s">
        <v>220</v>
      </c>
      <c r="H3145">
        <f>VLOOKUP(C3145,'TB Apr 24'!$B$13:$BD$103,55,0)</f>
        <v>0</v>
      </c>
    </row>
    <row r="3146" spans="1:8" x14ac:dyDescent="0.35">
      <c r="A3146" s="77">
        <v>45383</v>
      </c>
      <c r="B3146" s="3" t="s">
        <v>94</v>
      </c>
      <c r="C3146" s="4" t="s">
        <v>95</v>
      </c>
      <c r="D3146" s="4" t="s">
        <v>314</v>
      </c>
      <c r="E3146" s="4" t="s">
        <v>289</v>
      </c>
      <c r="F3146" t="s">
        <v>235</v>
      </c>
      <c r="G3146" t="s">
        <v>220</v>
      </c>
      <c r="H3146">
        <f>VLOOKUP(C3146,'TB Apr 24'!$B$13:$BD$103,55,0)</f>
        <v>521162.2</v>
      </c>
    </row>
    <row r="3147" spans="1:8" x14ac:dyDescent="0.35">
      <c r="A3147" s="77">
        <v>45383</v>
      </c>
      <c r="B3147" s="3" t="s">
        <v>96</v>
      </c>
      <c r="C3147" s="4" t="s">
        <v>97</v>
      </c>
      <c r="D3147" s="4" t="s">
        <v>314</v>
      </c>
      <c r="E3147" s="4" t="s">
        <v>289</v>
      </c>
      <c r="F3147" t="s">
        <v>235</v>
      </c>
      <c r="G3147" t="s">
        <v>220</v>
      </c>
      <c r="H3147">
        <f>VLOOKUP(C3147,'TB Apr 24'!$B$13:$BD$103,55,0)</f>
        <v>0</v>
      </c>
    </row>
    <row r="3148" spans="1:8" x14ac:dyDescent="0.35">
      <c r="A3148" s="77">
        <v>45383</v>
      </c>
      <c r="B3148" s="3" t="s">
        <v>309</v>
      </c>
      <c r="C3148" s="4" t="s">
        <v>310</v>
      </c>
      <c r="D3148" s="4" t="s">
        <v>314</v>
      </c>
      <c r="E3148" s="4" t="s">
        <v>289</v>
      </c>
      <c r="F3148" t="s">
        <v>235</v>
      </c>
      <c r="G3148" t="s">
        <v>220</v>
      </c>
      <c r="H3148">
        <f>VLOOKUP(C3148,'TB Apr 24'!$B$13:$BD$103,55,0)</f>
        <v>0</v>
      </c>
    </row>
    <row r="3149" spans="1:8" x14ac:dyDescent="0.35">
      <c r="A3149" s="77">
        <v>45383</v>
      </c>
      <c r="B3149" s="3" t="s">
        <v>98</v>
      </c>
      <c r="C3149" s="4" t="s">
        <v>99</v>
      </c>
      <c r="D3149" s="4" t="s">
        <v>314</v>
      </c>
      <c r="E3149" s="4" t="s">
        <v>289</v>
      </c>
      <c r="F3149" t="s">
        <v>235</v>
      </c>
      <c r="G3149" t="s">
        <v>220</v>
      </c>
      <c r="H3149">
        <f>VLOOKUP(C3149,'TB Apr 24'!$B$13:$BD$103,55,0)</f>
        <v>0</v>
      </c>
    </row>
    <row r="3150" spans="1:8" x14ac:dyDescent="0.35">
      <c r="A3150" s="77">
        <v>45383</v>
      </c>
      <c r="B3150" s="3" t="s">
        <v>100</v>
      </c>
      <c r="C3150" s="4" t="s">
        <v>101</v>
      </c>
      <c r="D3150" s="4" t="s">
        <v>314</v>
      </c>
      <c r="E3150" s="4" t="s">
        <v>291</v>
      </c>
      <c r="F3150" t="s">
        <v>235</v>
      </c>
      <c r="G3150" t="s">
        <v>220</v>
      </c>
      <c r="H3150">
        <f>VLOOKUP(C3150,'TB Apr 24'!$B$13:$BD$103,55,0)</f>
        <v>0</v>
      </c>
    </row>
    <row r="3151" spans="1:8" x14ac:dyDescent="0.35">
      <c r="A3151" s="77">
        <v>45383</v>
      </c>
      <c r="B3151" s="3" t="s">
        <v>102</v>
      </c>
      <c r="C3151" s="4" t="s">
        <v>103</v>
      </c>
      <c r="D3151" s="4" t="s">
        <v>314</v>
      </c>
      <c r="E3151" s="4" t="s">
        <v>291</v>
      </c>
      <c r="F3151" t="s">
        <v>235</v>
      </c>
      <c r="G3151" t="s">
        <v>220</v>
      </c>
      <c r="H3151">
        <f>VLOOKUP(C3151,'TB Apr 24'!$B$13:$BD$103,55,0)</f>
        <v>0</v>
      </c>
    </row>
    <row r="3152" spans="1:8" x14ac:dyDescent="0.35">
      <c r="A3152" s="77">
        <v>45383</v>
      </c>
      <c r="B3152" s="3" t="s">
        <v>104</v>
      </c>
      <c r="C3152" s="4" t="s">
        <v>105</v>
      </c>
      <c r="D3152" s="4" t="s">
        <v>314</v>
      </c>
      <c r="E3152" s="4" t="s">
        <v>291</v>
      </c>
      <c r="F3152" t="s">
        <v>235</v>
      </c>
      <c r="G3152" t="s">
        <v>220</v>
      </c>
      <c r="H3152">
        <f>VLOOKUP(C3152,'TB Apr 24'!$B$13:$BD$103,55,0)</f>
        <v>0</v>
      </c>
    </row>
    <row r="3153" spans="1:8" x14ac:dyDescent="0.35">
      <c r="A3153" s="77">
        <v>45383</v>
      </c>
      <c r="B3153" s="3" t="s">
        <v>106</v>
      </c>
      <c r="C3153" s="4" t="s">
        <v>107</v>
      </c>
      <c r="D3153" s="4" t="s">
        <v>314</v>
      </c>
      <c r="E3153" s="4" t="s">
        <v>321</v>
      </c>
      <c r="F3153" t="s">
        <v>235</v>
      </c>
      <c r="G3153" t="s">
        <v>220</v>
      </c>
      <c r="H3153">
        <f>VLOOKUP(C3153,'TB Apr 24'!$B$13:$BD$103,55,0)</f>
        <v>0</v>
      </c>
    </row>
    <row r="3154" spans="1:8" x14ac:dyDescent="0.35">
      <c r="A3154" s="77">
        <v>45383</v>
      </c>
      <c r="B3154" s="3" t="s">
        <v>108</v>
      </c>
      <c r="C3154" s="4" t="s">
        <v>109</v>
      </c>
      <c r="D3154" s="4" t="s">
        <v>314</v>
      </c>
      <c r="E3154" s="4" t="s">
        <v>321</v>
      </c>
      <c r="F3154" t="s">
        <v>235</v>
      </c>
      <c r="G3154" t="s">
        <v>220</v>
      </c>
      <c r="H3154">
        <f>VLOOKUP(C3154,'TB Apr 24'!$B$13:$BD$103,55,0)</f>
        <v>0</v>
      </c>
    </row>
    <row r="3155" spans="1:8" x14ac:dyDescent="0.35">
      <c r="A3155" s="77">
        <v>45383</v>
      </c>
      <c r="B3155" s="3" t="s">
        <v>110</v>
      </c>
      <c r="C3155" s="4" t="s">
        <v>111</v>
      </c>
      <c r="D3155" s="4" t="s">
        <v>314</v>
      </c>
      <c r="E3155" s="4" t="s">
        <v>320</v>
      </c>
      <c r="F3155" t="s">
        <v>235</v>
      </c>
      <c r="G3155" t="s">
        <v>220</v>
      </c>
      <c r="H3155">
        <f>VLOOKUP(C3155,'TB Apr 24'!$B$13:$BD$103,55,0)</f>
        <v>1050</v>
      </c>
    </row>
    <row r="3156" spans="1:8" x14ac:dyDescent="0.35">
      <c r="A3156" s="77">
        <v>45383</v>
      </c>
      <c r="B3156" s="3" t="s">
        <v>112</v>
      </c>
      <c r="C3156" s="4" t="s">
        <v>113</v>
      </c>
      <c r="D3156" s="4" t="s">
        <v>314</v>
      </c>
      <c r="E3156" s="4" t="s">
        <v>321</v>
      </c>
      <c r="F3156" t="s">
        <v>235</v>
      </c>
      <c r="G3156" t="s">
        <v>220</v>
      </c>
      <c r="H3156">
        <f>VLOOKUP(C3156,'TB Apr 24'!$B$13:$BD$103,55,0)</f>
        <v>0</v>
      </c>
    </row>
    <row r="3157" spans="1:8" x14ac:dyDescent="0.35">
      <c r="A3157" s="77">
        <v>45383</v>
      </c>
      <c r="B3157" s="3" t="s">
        <v>311</v>
      </c>
      <c r="C3157" s="4" t="s">
        <v>312</v>
      </c>
      <c r="D3157" s="4" t="s">
        <v>314</v>
      </c>
      <c r="E3157" s="4" t="s">
        <v>288</v>
      </c>
      <c r="F3157" t="s">
        <v>235</v>
      </c>
      <c r="G3157" t="s">
        <v>220</v>
      </c>
      <c r="H3157">
        <f>VLOOKUP(C3157,'TB Apr 24'!$B$13:$BD$103,55,0)</f>
        <v>0</v>
      </c>
    </row>
    <row r="3158" spans="1:8" x14ac:dyDescent="0.35">
      <c r="A3158" s="77">
        <v>45383</v>
      </c>
      <c r="B3158" s="3" t="s">
        <v>114</v>
      </c>
      <c r="C3158" s="4" t="s">
        <v>115</v>
      </c>
      <c r="D3158" s="4" t="s">
        <v>314</v>
      </c>
      <c r="E3158" s="4" t="s">
        <v>294</v>
      </c>
      <c r="F3158" t="s">
        <v>235</v>
      </c>
      <c r="G3158" t="s">
        <v>220</v>
      </c>
      <c r="H3158">
        <f>VLOOKUP(C3158,'TB Apr 24'!$B$13:$BD$103,55,0)</f>
        <v>0</v>
      </c>
    </row>
    <row r="3159" spans="1:8" x14ac:dyDescent="0.35">
      <c r="A3159" s="77">
        <v>45383</v>
      </c>
      <c r="B3159" s="3" t="s">
        <v>116</v>
      </c>
      <c r="C3159" s="4" t="s">
        <v>117</v>
      </c>
      <c r="D3159" s="4" t="s">
        <v>314</v>
      </c>
      <c r="E3159" s="4" t="s">
        <v>296</v>
      </c>
      <c r="F3159" t="s">
        <v>235</v>
      </c>
      <c r="G3159" t="s">
        <v>220</v>
      </c>
      <c r="H3159">
        <f>VLOOKUP(C3159,'TB Apr 24'!$B$13:$BD$103,55,0)</f>
        <v>0</v>
      </c>
    </row>
    <row r="3160" spans="1:8" x14ac:dyDescent="0.35">
      <c r="A3160" s="77">
        <v>45383</v>
      </c>
      <c r="B3160" s="3" t="s">
        <v>118</v>
      </c>
      <c r="C3160" s="4" t="s">
        <v>119</v>
      </c>
      <c r="D3160" s="4" t="s">
        <v>314</v>
      </c>
      <c r="E3160" s="4" t="s">
        <v>296</v>
      </c>
      <c r="F3160" t="s">
        <v>235</v>
      </c>
      <c r="G3160" t="s">
        <v>220</v>
      </c>
      <c r="H3160">
        <f>VLOOKUP(C3160,'TB Apr 24'!$B$13:$BD$103,55,0)</f>
        <v>25250</v>
      </c>
    </row>
    <row r="3161" spans="1:8" x14ac:dyDescent="0.35">
      <c r="A3161" s="77">
        <v>45383</v>
      </c>
      <c r="B3161" s="3" t="s">
        <v>120</v>
      </c>
      <c r="C3161" s="4" t="s">
        <v>121</v>
      </c>
      <c r="D3161" s="4" t="s">
        <v>314</v>
      </c>
      <c r="E3161" s="4" t="s">
        <v>322</v>
      </c>
      <c r="F3161" t="s">
        <v>235</v>
      </c>
      <c r="G3161" t="s">
        <v>220</v>
      </c>
      <c r="H3161">
        <f>VLOOKUP(C3161,'TB Apr 24'!$B$13:$BD$103,55,0)</f>
        <v>0</v>
      </c>
    </row>
    <row r="3162" spans="1:8" x14ac:dyDescent="0.35">
      <c r="A3162" s="77">
        <v>45383</v>
      </c>
      <c r="B3162" s="3" t="s">
        <v>122</v>
      </c>
      <c r="C3162" s="4" t="s">
        <v>123</v>
      </c>
      <c r="D3162" s="4" t="s">
        <v>314</v>
      </c>
      <c r="E3162" s="4" t="s">
        <v>322</v>
      </c>
      <c r="F3162" t="s">
        <v>235</v>
      </c>
      <c r="G3162" t="s">
        <v>220</v>
      </c>
      <c r="H3162">
        <f>VLOOKUP(C3162,'TB Apr 24'!$B$13:$BD$103,55,0)</f>
        <v>0</v>
      </c>
    </row>
    <row r="3163" spans="1:8" x14ac:dyDescent="0.35">
      <c r="A3163" s="77">
        <v>45383</v>
      </c>
      <c r="B3163" s="3" t="s">
        <v>124</v>
      </c>
      <c r="C3163" s="4" t="s">
        <v>125</v>
      </c>
      <c r="D3163" s="4" t="s">
        <v>314</v>
      </c>
      <c r="E3163" s="4" t="s">
        <v>322</v>
      </c>
      <c r="F3163" t="s">
        <v>235</v>
      </c>
      <c r="G3163" t="s">
        <v>220</v>
      </c>
      <c r="H3163">
        <f>VLOOKUP(C3163,'TB Apr 24'!$B$13:$BD$103,55,0)</f>
        <v>0</v>
      </c>
    </row>
    <row r="3164" spans="1:8" x14ac:dyDescent="0.35">
      <c r="A3164" s="77">
        <v>45383</v>
      </c>
      <c r="B3164" s="3" t="s">
        <v>126</v>
      </c>
      <c r="C3164" s="4" t="s">
        <v>127</v>
      </c>
      <c r="D3164" s="4" t="s">
        <v>314</v>
      </c>
      <c r="E3164" s="4" t="s">
        <v>291</v>
      </c>
      <c r="F3164" t="s">
        <v>235</v>
      </c>
      <c r="G3164" t="s">
        <v>220</v>
      </c>
      <c r="H3164">
        <f>VLOOKUP(C3164,'TB Apr 24'!$B$13:$BD$103,55,0)</f>
        <v>0</v>
      </c>
    </row>
    <row r="3165" spans="1:8" x14ac:dyDescent="0.35">
      <c r="A3165" s="77">
        <v>45383</v>
      </c>
      <c r="B3165" s="3" t="s">
        <v>128</v>
      </c>
      <c r="C3165" s="4" t="s">
        <v>129</v>
      </c>
      <c r="D3165" s="4" t="s">
        <v>314</v>
      </c>
      <c r="E3165" s="4" t="s">
        <v>322</v>
      </c>
      <c r="F3165" t="s">
        <v>235</v>
      </c>
      <c r="G3165" t="s">
        <v>220</v>
      </c>
      <c r="H3165">
        <f>VLOOKUP(C3165,'TB Apr 24'!$B$13:$BD$103,55,0)</f>
        <v>8179</v>
      </c>
    </row>
    <row r="3166" spans="1:8" x14ac:dyDescent="0.35">
      <c r="A3166" s="77">
        <v>45383</v>
      </c>
      <c r="B3166" s="3" t="s">
        <v>130</v>
      </c>
      <c r="C3166" s="4" t="s">
        <v>131</v>
      </c>
      <c r="D3166" s="4" t="s">
        <v>314</v>
      </c>
      <c r="E3166" s="4" t="s">
        <v>322</v>
      </c>
      <c r="F3166" t="s">
        <v>235</v>
      </c>
      <c r="G3166" t="s">
        <v>220</v>
      </c>
      <c r="H3166">
        <f>VLOOKUP(C3166,'TB Apr 24'!$B$13:$BD$103,55,0)</f>
        <v>0</v>
      </c>
    </row>
    <row r="3167" spans="1:8" x14ac:dyDescent="0.35">
      <c r="A3167" s="77">
        <v>45383</v>
      </c>
      <c r="B3167" s="3" t="s">
        <v>132</v>
      </c>
      <c r="C3167" s="4" t="s">
        <v>133</v>
      </c>
      <c r="D3167" s="4" t="s">
        <v>314</v>
      </c>
      <c r="E3167" s="4" t="s">
        <v>320</v>
      </c>
      <c r="F3167" t="s">
        <v>235</v>
      </c>
      <c r="G3167" t="s">
        <v>220</v>
      </c>
      <c r="H3167">
        <f>VLOOKUP(C3167,'TB Apr 24'!$B$13:$BD$103,55,0)</f>
        <v>9188</v>
      </c>
    </row>
    <row r="3168" spans="1:8" x14ac:dyDescent="0.35">
      <c r="A3168" s="77">
        <v>45383</v>
      </c>
      <c r="B3168" s="3" t="s">
        <v>134</v>
      </c>
      <c r="C3168" s="4" t="s">
        <v>135</v>
      </c>
      <c r="D3168" s="4" t="s">
        <v>314</v>
      </c>
      <c r="E3168" s="4" t="s">
        <v>299</v>
      </c>
      <c r="F3168" t="s">
        <v>235</v>
      </c>
      <c r="G3168" t="s">
        <v>220</v>
      </c>
      <c r="H3168">
        <f>VLOOKUP(C3168,'TB Apr 24'!$B$13:$BD$103,55,0)</f>
        <v>1094</v>
      </c>
    </row>
    <row r="3169" spans="1:8" x14ac:dyDescent="0.35">
      <c r="A3169" s="77">
        <v>45383</v>
      </c>
      <c r="B3169" s="3" t="s">
        <v>136</v>
      </c>
      <c r="C3169" s="4" t="s">
        <v>137</v>
      </c>
      <c r="D3169" s="4" t="s">
        <v>314</v>
      </c>
      <c r="E3169" s="4" t="s">
        <v>322</v>
      </c>
      <c r="F3169" t="s">
        <v>235</v>
      </c>
      <c r="G3169" t="s">
        <v>220</v>
      </c>
      <c r="H3169">
        <f>VLOOKUP(C3169,'TB Apr 24'!$B$13:$BD$103,55,0)</f>
        <v>0</v>
      </c>
    </row>
    <row r="3170" spans="1:8" x14ac:dyDescent="0.35">
      <c r="A3170" s="77">
        <v>45383</v>
      </c>
      <c r="B3170" s="3" t="s">
        <v>138</v>
      </c>
      <c r="C3170" s="4" t="s">
        <v>139</v>
      </c>
      <c r="D3170" s="4" t="s">
        <v>314</v>
      </c>
      <c r="E3170" s="4" t="s">
        <v>294</v>
      </c>
      <c r="F3170" t="s">
        <v>235</v>
      </c>
      <c r="G3170" t="s">
        <v>220</v>
      </c>
      <c r="H3170">
        <f>VLOOKUP(C3170,'TB Apr 24'!$B$13:$BD$103,55,0)</f>
        <v>4142.3999999999996</v>
      </c>
    </row>
    <row r="3171" spans="1:8" x14ac:dyDescent="0.35">
      <c r="A3171" s="77">
        <v>45383</v>
      </c>
      <c r="B3171" s="3" t="s">
        <v>140</v>
      </c>
      <c r="C3171" s="4" t="s">
        <v>141</v>
      </c>
      <c r="D3171" s="4" t="s">
        <v>314</v>
      </c>
      <c r="E3171" s="4" t="s">
        <v>268</v>
      </c>
      <c r="F3171" t="s">
        <v>235</v>
      </c>
      <c r="G3171" t="s">
        <v>220</v>
      </c>
      <c r="H3171">
        <f>VLOOKUP(C3171,'TB Apr 24'!$B$13:$BD$103,55,0)</f>
        <v>64138.322599999992</v>
      </c>
    </row>
    <row r="3172" spans="1:8" x14ac:dyDescent="0.35">
      <c r="A3172" s="77">
        <v>45383</v>
      </c>
      <c r="B3172" s="3" t="s">
        <v>142</v>
      </c>
      <c r="C3172" s="4" t="s">
        <v>143</v>
      </c>
      <c r="D3172" s="4" t="s">
        <v>314</v>
      </c>
      <c r="E3172" s="4" t="s">
        <v>269</v>
      </c>
      <c r="F3172" t="s">
        <v>235</v>
      </c>
      <c r="G3172" t="s">
        <v>220</v>
      </c>
      <c r="H3172">
        <f>VLOOKUP(C3172,'TB Apr 24'!$B$13:$BD$103,55,0)</f>
        <v>111797</v>
      </c>
    </row>
    <row r="3173" spans="1:8" x14ac:dyDescent="0.35">
      <c r="A3173" s="77">
        <v>45383</v>
      </c>
      <c r="B3173" s="3" t="s">
        <v>144</v>
      </c>
      <c r="C3173" s="4" t="s">
        <v>145</v>
      </c>
      <c r="D3173" s="4" t="s">
        <v>314</v>
      </c>
      <c r="E3173" s="4" t="s">
        <v>288</v>
      </c>
      <c r="F3173" t="s">
        <v>235</v>
      </c>
      <c r="G3173" t="s">
        <v>220</v>
      </c>
      <c r="H3173">
        <f>VLOOKUP(C3173,'TB Apr 24'!$B$13:$BD$103,55,0)</f>
        <v>58236</v>
      </c>
    </row>
    <row r="3174" spans="1:8" x14ac:dyDescent="0.35">
      <c r="A3174" s="77">
        <v>45383</v>
      </c>
      <c r="B3174" s="3" t="s">
        <v>146</v>
      </c>
      <c r="C3174" s="4" t="s">
        <v>147</v>
      </c>
      <c r="D3174" s="4" t="s">
        <v>314</v>
      </c>
      <c r="E3174" s="4" t="s">
        <v>288</v>
      </c>
      <c r="F3174" t="s">
        <v>235</v>
      </c>
      <c r="G3174" t="s">
        <v>220</v>
      </c>
      <c r="H3174">
        <f>VLOOKUP(C3174,'TB Apr 24'!$B$13:$BD$103,55,0)</f>
        <v>5346</v>
      </c>
    </row>
    <row r="3175" spans="1:8" x14ac:dyDescent="0.35">
      <c r="A3175" s="77">
        <v>45383</v>
      </c>
      <c r="B3175" s="3" t="s">
        <v>148</v>
      </c>
      <c r="C3175" s="4" t="s">
        <v>149</v>
      </c>
      <c r="D3175" s="4" t="s">
        <v>314</v>
      </c>
      <c r="E3175" s="4" t="s">
        <v>287</v>
      </c>
      <c r="F3175" t="s">
        <v>235</v>
      </c>
      <c r="G3175" t="s">
        <v>220</v>
      </c>
      <c r="H3175">
        <f>VLOOKUP(C3175,'TB Apr 24'!$B$13:$BD$103,55,0)</f>
        <v>108766.5</v>
      </c>
    </row>
    <row r="3176" spans="1:8" x14ac:dyDescent="0.35">
      <c r="A3176" s="77">
        <v>45383</v>
      </c>
      <c r="B3176" s="3" t="s">
        <v>150</v>
      </c>
      <c r="C3176" s="4" t="s">
        <v>87</v>
      </c>
      <c r="D3176" s="4" t="s">
        <v>314</v>
      </c>
      <c r="E3176" s="4" t="s">
        <v>288</v>
      </c>
      <c r="F3176" t="s">
        <v>235</v>
      </c>
      <c r="G3176" t="s">
        <v>220</v>
      </c>
      <c r="H3176">
        <f>VLOOKUP(C3176,'TB Apr 24'!$B$13:$BD$103,55,0)</f>
        <v>76282</v>
      </c>
    </row>
    <row r="3177" spans="1:8" x14ac:dyDescent="0.35">
      <c r="A3177" s="77">
        <v>45383</v>
      </c>
      <c r="B3177" s="3" t="s">
        <v>151</v>
      </c>
      <c r="C3177" s="4" t="s">
        <v>152</v>
      </c>
      <c r="D3177" s="4" t="s">
        <v>314</v>
      </c>
      <c r="E3177" s="4" t="s">
        <v>288</v>
      </c>
      <c r="F3177" t="s">
        <v>235</v>
      </c>
      <c r="G3177" t="s">
        <v>220</v>
      </c>
      <c r="H3177">
        <f>VLOOKUP(C3177,'TB Apr 24'!$B$13:$BD$103,55,0)</f>
        <v>8963</v>
      </c>
    </row>
    <row r="3178" spans="1:8" x14ac:dyDescent="0.35">
      <c r="A3178" s="77">
        <v>45383</v>
      </c>
      <c r="B3178" s="3" t="s">
        <v>153</v>
      </c>
      <c r="C3178" s="4" t="s">
        <v>154</v>
      </c>
      <c r="D3178" s="4" t="s">
        <v>314</v>
      </c>
      <c r="E3178" s="4" t="s">
        <v>288</v>
      </c>
      <c r="F3178" t="s">
        <v>235</v>
      </c>
      <c r="G3178" t="s">
        <v>220</v>
      </c>
      <c r="H3178">
        <f>VLOOKUP(C3178,'TB Apr 24'!$B$13:$BD$103,55,0)</f>
        <v>61777</v>
      </c>
    </row>
    <row r="3179" spans="1:8" x14ac:dyDescent="0.35">
      <c r="A3179" s="77">
        <v>45383</v>
      </c>
      <c r="B3179" s="3" t="s">
        <v>155</v>
      </c>
      <c r="C3179" s="4" t="s">
        <v>156</v>
      </c>
      <c r="D3179" s="4" t="s">
        <v>314</v>
      </c>
      <c r="E3179" s="4" t="s">
        <v>288</v>
      </c>
      <c r="F3179" t="s">
        <v>235</v>
      </c>
      <c r="G3179" t="s">
        <v>220</v>
      </c>
      <c r="H3179">
        <f>VLOOKUP(C3179,'TB Apr 24'!$B$13:$BD$103,55,0)</f>
        <v>616</v>
      </c>
    </row>
    <row r="3180" spans="1:8" x14ac:dyDescent="0.35">
      <c r="A3180" s="77">
        <v>45383</v>
      </c>
      <c r="B3180" s="3" t="s">
        <v>157</v>
      </c>
      <c r="C3180" s="4" t="s">
        <v>158</v>
      </c>
      <c r="D3180" s="4" t="s">
        <v>314</v>
      </c>
      <c r="E3180" s="4" t="s">
        <v>292</v>
      </c>
      <c r="F3180" t="s">
        <v>235</v>
      </c>
      <c r="G3180" t="s">
        <v>220</v>
      </c>
      <c r="H3180">
        <f>VLOOKUP(C3180,'TB Apr 24'!$B$13:$BD$103,55,0)</f>
        <v>0</v>
      </c>
    </row>
    <row r="3181" spans="1:8" x14ac:dyDescent="0.35">
      <c r="A3181" s="77">
        <v>45383</v>
      </c>
      <c r="B3181" s="3" t="s">
        <v>159</v>
      </c>
      <c r="C3181" s="4" t="s">
        <v>160</v>
      </c>
      <c r="D3181" s="4" t="s">
        <v>314</v>
      </c>
      <c r="E3181" s="4" t="s">
        <v>323</v>
      </c>
      <c r="F3181" t="s">
        <v>235</v>
      </c>
      <c r="G3181" t="s">
        <v>220</v>
      </c>
      <c r="H3181">
        <f>VLOOKUP(C3181,'TB Apr 24'!$B$13:$BD$103,55,0)</f>
        <v>0</v>
      </c>
    </row>
    <row r="3182" spans="1:8" x14ac:dyDescent="0.35">
      <c r="A3182" s="77">
        <v>45383</v>
      </c>
      <c r="B3182" s="3" t="s">
        <v>161</v>
      </c>
      <c r="C3182" s="4" t="s">
        <v>162</v>
      </c>
      <c r="D3182" s="4" t="s">
        <v>314</v>
      </c>
      <c r="E3182" s="4" t="s">
        <v>323</v>
      </c>
      <c r="F3182" t="s">
        <v>235</v>
      </c>
      <c r="G3182" t="s">
        <v>220</v>
      </c>
      <c r="H3182">
        <f>VLOOKUP(C3182,'TB Apr 24'!$B$13:$BD$103,55,0)</f>
        <v>0</v>
      </c>
    </row>
    <row r="3183" spans="1:8" x14ac:dyDescent="0.35">
      <c r="A3183" s="77">
        <v>45383</v>
      </c>
      <c r="B3183" s="3" t="s">
        <v>163</v>
      </c>
      <c r="C3183" s="4" t="s">
        <v>164</v>
      </c>
      <c r="D3183" s="4" t="s">
        <v>314</v>
      </c>
      <c r="E3183" s="4" t="s">
        <v>319</v>
      </c>
      <c r="F3183" t="s">
        <v>235</v>
      </c>
      <c r="G3183" t="s">
        <v>220</v>
      </c>
      <c r="H3183">
        <f>VLOOKUP(C3183,'TB Apr 24'!$B$13:$BD$103,55,0)</f>
        <v>0</v>
      </c>
    </row>
    <row r="3184" spans="1:8" x14ac:dyDescent="0.35">
      <c r="A3184" s="77">
        <v>45383</v>
      </c>
      <c r="B3184" s="3" t="s">
        <v>165</v>
      </c>
      <c r="C3184" s="4" t="s">
        <v>166</v>
      </c>
      <c r="D3184" s="4" t="s">
        <v>314</v>
      </c>
      <c r="E3184" s="4" t="s">
        <v>304</v>
      </c>
      <c r="F3184" t="s">
        <v>235</v>
      </c>
      <c r="G3184" t="s">
        <v>220</v>
      </c>
      <c r="H3184">
        <f>VLOOKUP(C3184,'TB Apr 24'!$B$13:$BD$103,55,0)</f>
        <v>81547</v>
      </c>
    </row>
    <row r="3185" spans="1:8" x14ac:dyDescent="0.35">
      <c r="A3185" s="77">
        <v>45383</v>
      </c>
      <c r="B3185" s="3" t="s">
        <v>167</v>
      </c>
      <c r="C3185" s="4" t="s">
        <v>168</v>
      </c>
      <c r="D3185" s="4" t="s">
        <v>314</v>
      </c>
      <c r="E3185" s="4" t="s">
        <v>322</v>
      </c>
      <c r="F3185" t="s">
        <v>235</v>
      </c>
      <c r="G3185" t="s">
        <v>220</v>
      </c>
      <c r="H3185">
        <f>VLOOKUP(C3185,'TB Apr 24'!$B$13:$BD$103,55,0)</f>
        <v>0</v>
      </c>
    </row>
    <row r="3186" spans="1:8" x14ac:dyDescent="0.35">
      <c r="A3186" s="77">
        <v>45383</v>
      </c>
      <c r="B3186" s="3" t="s">
        <v>169</v>
      </c>
      <c r="C3186" s="4" t="s">
        <v>170</v>
      </c>
      <c r="D3186" s="4" t="s">
        <v>314</v>
      </c>
      <c r="E3186" s="4" t="s">
        <v>304</v>
      </c>
      <c r="F3186" t="s">
        <v>235</v>
      </c>
      <c r="G3186" t="s">
        <v>220</v>
      </c>
      <c r="H3186">
        <f>VLOOKUP(C3186,'TB Apr 24'!$B$13:$BD$103,55,0)</f>
        <v>106082</v>
      </c>
    </row>
    <row r="3187" spans="1:8" x14ac:dyDescent="0.35">
      <c r="A3187" s="77">
        <v>45383</v>
      </c>
      <c r="B3187" s="3" t="s">
        <v>171</v>
      </c>
      <c r="C3187" s="4" t="s">
        <v>172</v>
      </c>
      <c r="D3187" s="4" t="s">
        <v>314</v>
      </c>
      <c r="E3187" s="4" t="s">
        <v>303</v>
      </c>
      <c r="F3187" t="s">
        <v>235</v>
      </c>
      <c r="G3187" t="s">
        <v>220</v>
      </c>
      <c r="H3187">
        <f>VLOOKUP(C3187,'TB Apr 24'!$B$13:$BD$103,55,0)</f>
        <v>0</v>
      </c>
    </row>
    <row r="3188" spans="1:8" x14ac:dyDescent="0.35">
      <c r="A3188" s="77">
        <v>45383</v>
      </c>
      <c r="B3188" s="3" t="s">
        <v>173</v>
      </c>
      <c r="C3188" s="4" t="s">
        <v>174</v>
      </c>
      <c r="D3188" s="4" t="s">
        <v>314</v>
      </c>
      <c r="E3188" s="4" t="s">
        <v>257</v>
      </c>
      <c r="F3188" t="s">
        <v>235</v>
      </c>
      <c r="G3188" t="s">
        <v>220</v>
      </c>
      <c r="H3188">
        <f>VLOOKUP(C3188,'TB Apr 24'!$B$13:$BD$103,55,0)</f>
        <v>0</v>
      </c>
    </row>
    <row r="3189" spans="1:8" x14ac:dyDescent="0.35">
      <c r="A3189" s="77">
        <v>45383</v>
      </c>
      <c r="B3189" s="3" t="s">
        <v>175</v>
      </c>
      <c r="C3189" s="4" t="s">
        <v>176</v>
      </c>
      <c r="D3189" s="4" t="s">
        <v>314</v>
      </c>
      <c r="E3189" s="4" t="s">
        <v>257</v>
      </c>
      <c r="F3189" t="s">
        <v>235</v>
      </c>
      <c r="G3189" t="s">
        <v>220</v>
      </c>
      <c r="H3189">
        <f>VLOOKUP(C3189,'TB Apr 24'!$B$13:$BD$103,55,0)</f>
        <v>0</v>
      </c>
    </row>
    <row r="3190" spans="1:8" x14ac:dyDescent="0.35">
      <c r="A3190" s="77">
        <v>45383</v>
      </c>
      <c r="B3190" s="3" t="s">
        <v>177</v>
      </c>
      <c r="C3190" s="4" t="s">
        <v>178</v>
      </c>
      <c r="D3190" s="4" t="s">
        <v>314</v>
      </c>
      <c r="E3190" s="4" t="s">
        <v>257</v>
      </c>
      <c r="F3190" t="s">
        <v>235</v>
      </c>
      <c r="G3190" t="s">
        <v>220</v>
      </c>
      <c r="H3190">
        <f>VLOOKUP(C3190,'TB Apr 24'!$B$13:$BD$103,55,0)</f>
        <v>0</v>
      </c>
    </row>
    <row r="3191" spans="1:8" x14ac:dyDescent="0.35">
      <c r="A3191" s="77">
        <v>45383</v>
      </c>
      <c r="B3191" s="3" t="s">
        <v>179</v>
      </c>
      <c r="C3191" s="4" t="s">
        <v>180</v>
      </c>
      <c r="D3191" s="4" t="s">
        <v>314</v>
      </c>
      <c r="E3191" s="4" t="s">
        <v>322</v>
      </c>
      <c r="F3191" t="s">
        <v>235</v>
      </c>
      <c r="G3191" t="s">
        <v>220</v>
      </c>
      <c r="H3191">
        <f>VLOOKUP(C3191,'TB Apr 24'!$B$13:$BD$103,55,0)</f>
        <v>0</v>
      </c>
    </row>
    <row r="3192" spans="1:8" x14ac:dyDescent="0.35">
      <c r="A3192" s="77">
        <v>45383</v>
      </c>
      <c r="B3192" s="3" t="s">
        <v>181</v>
      </c>
      <c r="C3192" s="4" t="s">
        <v>182</v>
      </c>
      <c r="D3192" s="4" t="s">
        <v>314</v>
      </c>
      <c r="E3192" s="4" t="s">
        <v>290</v>
      </c>
      <c r="F3192" t="s">
        <v>235</v>
      </c>
      <c r="G3192" t="s">
        <v>220</v>
      </c>
      <c r="H3192">
        <f>VLOOKUP(C3192,'TB Apr 24'!$B$13:$BD$103,55,0)</f>
        <v>0</v>
      </c>
    </row>
    <row r="3193" spans="1:8" x14ac:dyDescent="0.35">
      <c r="A3193" s="77">
        <v>45383</v>
      </c>
      <c r="B3193" s="3" t="s">
        <v>183</v>
      </c>
      <c r="C3193" s="4" t="s">
        <v>184</v>
      </c>
      <c r="D3193" s="4" t="s">
        <v>314</v>
      </c>
      <c r="E3193" s="4" t="s">
        <v>290</v>
      </c>
      <c r="F3193" t="s">
        <v>235</v>
      </c>
      <c r="G3193" t="s">
        <v>220</v>
      </c>
      <c r="H3193">
        <f>VLOOKUP(C3193,'TB Apr 24'!$B$13:$BD$103,55,0)</f>
        <v>0</v>
      </c>
    </row>
    <row r="3194" spans="1:8" x14ac:dyDescent="0.35">
      <c r="A3194" s="77">
        <v>45383</v>
      </c>
      <c r="B3194" s="3" t="s">
        <v>185</v>
      </c>
      <c r="C3194" s="4" t="s">
        <v>186</v>
      </c>
      <c r="D3194" s="4" t="s">
        <v>314</v>
      </c>
      <c r="E3194" s="4" t="s">
        <v>290</v>
      </c>
      <c r="F3194" t="s">
        <v>235</v>
      </c>
      <c r="G3194" t="s">
        <v>220</v>
      </c>
      <c r="H3194">
        <f>VLOOKUP(C3194,'TB Apr 24'!$B$13:$BD$103,55,0)</f>
        <v>33000</v>
      </c>
    </row>
    <row r="3195" spans="1:8" x14ac:dyDescent="0.35">
      <c r="A3195" s="77">
        <v>45383</v>
      </c>
      <c r="B3195" s="3" t="s">
        <v>187</v>
      </c>
      <c r="C3195" s="4" t="s">
        <v>188</v>
      </c>
      <c r="D3195" s="4" t="s">
        <v>314</v>
      </c>
      <c r="E3195" s="4" t="s">
        <v>291</v>
      </c>
      <c r="F3195" t="s">
        <v>235</v>
      </c>
      <c r="G3195" t="s">
        <v>220</v>
      </c>
      <c r="H3195">
        <f>VLOOKUP(C3195,'TB Apr 24'!$B$13:$BD$103,55,0)</f>
        <v>42129.226000000002</v>
      </c>
    </row>
    <row r="3196" spans="1:8" x14ac:dyDescent="0.35">
      <c r="A3196" s="77">
        <v>45383</v>
      </c>
      <c r="B3196" s="3" t="s">
        <v>189</v>
      </c>
      <c r="C3196" s="4" t="s">
        <v>190</v>
      </c>
      <c r="D3196" s="4" t="s">
        <v>314</v>
      </c>
      <c r="E3196" s="4" t="s">
        <v>254</v>
      </c>
      <c r="F3196" t="s">
        <v>235</v>
      </c>
      <c r="G3196" t="s">
        <v>220</v>
      </c>
      <c r="H3196">
        <f>VLOOKUP(C3196,'TB Apr 24'!$B$13:$BD$103,55,0)</f>
        <v>0</v>
      </c>
    </row>
    <row r="3197" spans="1:8" x14ac:dyDescent="0.35">
      <c r="A3197" s="77">
        <v>45383</v>
      </c>
      <c r="B3197" s="3" t="s">
        <v>191</v>
      </c>
      <c r="C3197" s="4" t="s">
        <v>192</v>
      </c>
      <c r="D3197" s="4" t="s">
        <v>314</v>
      </c>
      <c r="E3197" s="4" t="s">
        <v>254</v>
      </c>
      <c r="F3197" t="s">
        <v>235</v>
      </c>
      <c r="G3197" t="s">
        <v>220</v>
      </c>
      <c r="H3197">
        <f>VLOOKUP(C3197,'TB Apr 24'!$B$13:$BD$103,55,0)</f>
        <v>0</v>
      </c>
    </row>
    <row r="3198" spans="1:8" x14ac:dyDescent="0.35">
      <c r="A3198" s="77">
        <v>45383</v>
      </c>
      <c r="B3198" s="3" t="s">
        <v>193</v>
      </c>
      <c r="C3198" s="4" t="s">
        <v>194</v>
      </c>
      <c r="D3198" s="4" t="s">
        <v>314</v>
      </c>
      <c r="E3198" s="4" t="s">
        <v>254</v>
      </c>
      <c r="F3198" t="s">
        <v>235</v>
      </c>
      <c r="G3198" t="s">
        <v>220</v>
      </c>
      <c r="H3198">
        <f>VLOOKUP(C3198,'TB Apr 24'!$B$13:$BD$103,55,0)</f>
        <v>164896.25111067755</v>
      </c>
    </row>
    <row r="3199" spans="1:8" x14ac:dyDescent="0.35">
      <c r="A3199" s="77">
        <v>45383</v>
      </c>
      <c r="B3199" s="3" t="s">
        <v>195</v>
      </c>
      <c r="C3199" s="4" t="s">
        <v>196</v>
      </c>
      <c r="D3199" s="4" t="s">
        <v>314</v>
      </c>
      <c r="E3199" s="4" t="s">
        <v>255</v>
      </c>
      <c r="F3199" t="s">
        <v>235</v>
      </c>
      <c r="G3199" t="s">
        <v>220</v>
      </c>
      <c r="H3199">
        <f>VLOOKUP(C3199,'TB Apr 24'!$B$13:$BD$103,55,0)</f>
        <v>0</v>
      </c>
    </row>
    <row r="3200" spans="1:8" x14ac:dyDescent="0.35">
      <c r="A3200" s="77">
        <v>45383</v>
      </c>
      <c r="B3200" s="3" t="s">
        <v>197</v>
      </c>
      <c r="C3200" s="4" t="s">
        <v>198</v>
      </c>
      <c r="D3200" s="4" t="s">
        <v>314</v>
      </c>
      <c r="E3200" s="4" t="s">
        <v>255</v>
      </c>
      <c r="F3200" t="s">
        <v>235</v>
      </c>
      <c r="G3200" t="s">
        <v>220</v>
      </c>
      <c r="H3200">
        <f>VLOOKUP(C3200,'TB Apr 24'!$B$13:$BD$103,55,0)</f>
        <v>0</v>
      </c>
    </row>
    <row r="3201" spans="1:8" x14ac:dyDescent="0.35">
      <c r="A3201" s="77">
        <v>45383</v>
      </c>
      <c r="B3201" s="3" t="s">
        <v>199</v>
      </c>
      <c r="C3201" s="4" t="s">
        <v>200</v>
      </c>
      <c r="D3201" s="4" t="s">
        <v>314</v>
      </c>
      <c r="E3201" s="4" t="s">
        <v>254</v>
      </c>
      <c r="F3201" t="s">
        <v>235</v>
      </c>
      <c r="G3201" t="s">
        <v>220</v>
      </c>
      <c r="H3201">
        <f>VLOOKUP(C3201,'TB Apr 24'!$B$13:$BD$103,55,0)</f>
        <v>0</v>
      </c>
    </row>
    <row r="3202" spans="1:8" x14ac:dyDescent="0.35">
      <c r="A3202" s="77">
        <v>45383</v>
      </c>
      <c r="B3202" s="3" t="s">
        <v>201</v>
      </c>
      <c r="C3202" s="4" t="s">
        <v>202</v>
      </c>
      <c r="D3202" s="4" t="s">
        <v>314</v>
      </c>
      <c r="E3202" s="4" t="s">
        <v>254</v>
      </c>
      <c r="F3202" t="s">
        <v>235</v>
      </c>
      <c r="G3202" t="s">
        <v>220</v>
      </c>
      <c r="H3202">
        <f>VLOOKUP(C3202,'TB Apr 24'!$B$13:$BD$103,55,0)</f>
        <v>0</v>
      </c>
    </row>
    <row r="3203" spans="1:8" x14ac:dyDescent="0.35">
      <c r="A3203" s="77">
        <v>45383</v>
      </c>
      <c r="B3203" s="3" t="s">
        <v>203</v>
      </c>
      <c r="C3203" s="4" t="s">
        <v>204</v>
      </c>
      <c r="D3203" s="4" t="s">
        <v>314</v>
      </c>
      <c r="E3203" s="4" t="s">
        <v>256</v>
      </c>
      <c r="F3203" t="s">
        <v>235</v>
      </c>
      <c r="G3203" t="s">
        <v>220</v>
      </c>
      <c r="H3203">
        <f>VLOOKUP(C3203,'TB Apr 24'!$B$13:$BD$103,55,0)</f>
        <v>10263.625829999964</v>
      </c>
    </row>
    <row r="3204" spans="1:8" x14ac:dyDescent="0.35">
      <c r="A3204" s="77">
        <v>45383</v>
      </c>
      <c r="B3204" s="3" t="s">
        <v>205</v>
      </c>
      <c r="C3204" s="6" t="s">
        <v>206</v>
      </c>
      <c r="D3204" s="4" t="s">
        <v>314</v>
      </c>
      <c r="E3204" s="6" t="s">
        <v>322</v>
      </c>
      <c r="F3204" s="79" t="s">
        <v>235</v>
      </c>
      <c r="G3204" s="79" t="s">
        <v>220</v>
      </c>
      <c r="H3204" s="79">
        <f>VLOOKUP(C3204,'TB Apr 24'!$B$13:$BD$103,55,0)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83"/>
  <sheetViews>
    <sheetView topLeftCell="A237" workbookViewId="0">
      <selection activeCell="D247" sqref="D247"/>
    </sheetView>
  </sheetViews>
  <sheetFormatPr defaultColWidth="9.1796875" defaultRowHeight="12.5" x14ac:dyDescent="0.25"/>
  <cols>
    <col min="1" max="1" width="11.453125" style="410" customWidth="1"/>
    <col min="2" max="2" width="37.1796875" style="410" customWidth="1"/>
    <col min="3" max="6" width="17.1796875" style="410" customWidth="1"/>
    <col min="7" max="16384" width="9.1796875" style="410"/>
  </cols>
  <sheetData>
    <row r="1" spans="1:6" ht="15" customHeight="1" x14ac:dyDescent="0.25">
      <c r="A1" s="773" t="s">
        <v>0</v>
      </c>
      <c r="B1" s="773"/>
      <c r="C1" s="773"/>
      <c r="D1" s="773"/>
      <c r="E1" s="773"/>
      <c r="F1" s="773"/>
    </row>
    <row r="2" spans="1:6" ht="15" customHeight="1" x14ac:dyDescent="0.25">
      <c r="A2" s="773" t="s">
        <v>1</v>
      </c>
      <c r="B2" s="773"/>
      <c r="C2" s="773"/>
      <c r="D2" s="773"/>
      <c r="E2" s="773"/>
      <c r="F2" s="773"/>
    </row>
    <row r="3" spans="1:6" ht="15.75" customHeight="1" x14ac:dyDescent="0.25">
      <c r="A3" s="774" t="s">
        <v>574</v>
      </c>
      <c r="B3" s="774"/>
      <c r="C3" s="774"/>
      <c r="D3" s="774"/>
      <c r="E3" s="774"/>
      <c r="F3" s="774"/>
    </row>
    <row r="4" spans="1:6" ht="15" customHeight="1" x14ac:dyDescent="0.25">
      <c r="A4" s="773" t="s">
        <v>306</v>
      </c>
      <c r="B4" s="773"/>
      <c r="C4" s="773"/>
      <c r="D4" s="773"/>
      <c r="E4" s="773"/>
      <c r="F4" s="773"/>
    </row>
    <row r="5" spans="1:6" ht="15" customHeight="1" x14ac:dyDescent="0.25">
      <c r="A5" s="773" t="s">
        <v>3</v>
      </c>
      <c r="B5" s="773"/>
      <c r="C5" s="773"/>
      <c r="D5" s="773"/>
      <c r="E5" s="773"/>
      <c r="F5" s="773"/>
    </row>
    <row r="6" spans="1:6" ht="15" customHeight="1" x14ac:dyDescent="0.25">
      <c r="A6" s="411"/>
      <c r="B6" s="412"/>
      <c r="C6" s="411" t="s">
        <v>575</v>
      </c>
      <c r="D6" s="411"/>
      <c r="E6" s="411"/>
      <c r="F6" s="411" t="s">
        <v>576</v>
      </c>
    </row>
    <row r="7" spans="1:6" ht="15" customHeight="1" x14ac:dyDescent="0.25">
      <c r="A7" s="413"/>
      <c r="B7" s="414"/>
      <c r="C7" s="413" t="s">
        <v>577</v>
      </c>
      <c r="D7" s="413" t="s">
        <v>578</v>
      </c>
      <c r="E7" s="413" t="s">
        <v>579</v>
      </c>
      <c r="F7" s="413" t="s">
        <v>577</v>
      </c>
    </row>
    <row r="8" spans="1:6" ht="15" hidden="1" customHeight="1" x14ac:dyDescent="0.25">
      <c r="A8" s="415" t="s">
        <v>580</v>
      </c>
      <c r="B8" s="416" t="s">
        <v>581</v>
      </c>
      <c r="C8" s="417">
        <v>-43871200</v>
      </c>
      <c r="D8" s="417">
        <v>0</v>
      </c>
      <c r="E8" s="417">
        <v>0</v>
      </c>
      <c r="F8" s="417">
        <v>-43871200</v>
      </c>
    </row>
    <row r="9" spans="1:6" ht="15" hidden="1" customHeight="1" x14ac:dyDescent="0.25">
      <c r="A9" s="418" t="s">
        <v>582</v>
      </c>
      <c r="B9" s="419" t="s">
        <v>583</v>
      </c>
      <c r="C9" s="420">
        <v>-111475</v>
      </c>
      <c r="D9" s="420">
        <v>0</v>
      </c>
      <c r="E9" s="420">
        <v>0</v>
      </c>
      <c r="F9" s="420">
        <v>-111475</v>
      </c>
    </row>
    <row r="10" spans="1:6" ht="15" hidden="1" customHeight="1" x14ac:dyDescent="0.25">
      <c r="A10" s="418" t="s">
        <v>584</v>
      </c>
      <c r="B10" s="419" t="s">
        <v>585</v>
      </c>
      <c r="C10" s="420">
        <v>-71500</v>
      </c>
      <c r="D10" s="420">
        <v>0</v>
      </c>
      <c r="E10" s="420">
        <v>0</v>
      </c>
      <c r="F10" s="420">
        <v>-71500</v>
      </c>
    </row>
    <row r="11" spans="1:6" ht="15" hidden="1" customHeight="1" x14ac:dyDescent="0.25">
      <c r="A11" s="418" t="s">
        <v>586</v>
      </c>
      <c r="B11" s="419" t="s">
        <v>587</v>
      </c>
      <c r="C11" s="420">
        <v>-79234851.5</v>
      </c>
      <c r="D11" s="420">
        <v>0</v>
      </c>
      <c r="E11" s="420">
        <v>0</v>
      </c>
      <c r="F11" s="420">
        <v>-79234851.5</v>
      </c>
    </row>
    <row r="12" spans="1:6" ht="15" hidden="1" customHeight="1" x14ac:dyDescent="0.25">
      <c r="A12" s="418" t="s">
        <v>588</v>
      </c>
      <c r="B12" s="419" t="s">
        <v>589</v>
      </c>
      <c r="C12" s="421">
        <v>518257655.17000002</v>
      </c>
      <c r="D12" s="421">
        <v>0</v>
      </c>
      <c r="E12" s="421">
        <v>0</v>
      </c>
      <c r="F12" s="421">
        <v>518257655.17000002</v>
      </c>
    </row>
    <row r="13" spans="1:6" ht="15" hidden="1" customHeight="1" x14ac:dyDescent="0.25">
      <c r="A13" s="418" t="s">
        <v>590</v>
      </c>
      <c r="B13" s="419" t="s">
        <v>591</v>
      </c>
      <c r="C13" s="422">
        <v>1333922</v>
      </c>
      <c r="D13" s="422">
        <v>0</v>
      </c>
      <c r="E13" s="422">
        <v>0</v>
      </c>
      <c r="F13" s="422">
        <v>1333922</v>
      </c>
    </row>
    <row r="14" spans="1:6" ht="15" hidden="1" customHeight="1" x14ac:dyDescent="0.25">
      <c r="A14" s="418" t="s">
        <v>592</v>
      </c>
      <c r="B14" s="419" t="s">
        <v>593</v>
      </c>
      <c r="C14" s="417">
        <v>-850716235.27999997</v>
      </c>
      <c r="D14" s="417">
        <v>0</v>
      </c>
      <c r="E14" s="417">
        <v>51375.42</v>
      </c>
      <c r="F14" s="417">
        <v>-850767610.70000005</v>
      </c>
    </row>
    <row r="15" spans="1:6" ht="15" hidden="1" customHeight="1" x14ac:dyDescent="0.25">
      <c r="A15" s="418" t="s">
        <v>594</v>
      </c>
      <c r="B15" s="419" t="s">
        <v>595</v>
      </c>
      <c r="C15" s="420">
        <v>-33037235</v>
      </c>
      <c r="D15" s="420">
        <v>0</v>
      </c>
      <c r="E15" s="420">
        <v>0</v>
      </c>
      <c r="F15" s="420">
        <v>-33037235</v>
      </c>
    </row>
    <row r="16" spans="1:6" ht="15" hidden="1" customHeight="1" x14ac:dyDescent="0.25">
      <c r="A16" s="418" t="s">
        <v>596</v>
      </c>
      <c r="B16" s="419" t="s">
        <v>597</v>
      </c>
      <c r="C16" s="420">
        <v>-1166911611</v>
      </c>
      <c r="D16" s="420">
        <v>0</v>
      </c>
      <c r="E16" s="420">
        <v>0</v>
      </c>
      <c r="F16" s="420">
        <v>-1166911611</v>
      </c>
    </row>
    <row r="17" spans="1:6" ht="15" hidden="1" customHeight="1" x14ac:dyDescent="0.25">
      <c r="A17" s="418" t="s">
        <v>598</v>
      </c>
      <c r="B17" s="419" t="s">
        <v>599</v>
      </c>
      <c r="C17" s="420">
        <v>-9625000</v>
      </c>
      <c r="D17" s="420">
        <v>0</v>
      </c>
      <c r="E17" s="420">
        <v>0</v>
      </c>
      <c r="F17" s="420">
        <v>-9625000</v>
      </c>
    </row>
    <row r="18" spans="1:6" ht="15" hidden="1" customHeight="1" x14ac:dyDescent="0.25">
      <c r="A18" s="418" t="s">
        <v>600</v>
      </c>
      <c r="B18" s="419" t="s">
        <v>601</v>
      </c>
      <c r="C18" s="420">
        <v>-43159877.469999999</v>
      </c>
      <c r="D18" s="420">
        <v>32718480.469999999</v>
      </c>
      <c r="E18" s="420">
        <v>0</v>
      </c>
      <c r="F18" s="420">
        <v>-10441397</v>
      </c>
    </row>
    <row r="19" spans="1:6" ht="15" hidden="1" customHeight="1" x14ac:dyDescent="0.25">
      <c r="A19" s="418" t="s">
        <v>602</v>
      </c>
      <c r="B19" s="419" t="s">
        <v>603</v>
      </c>
      <c r="C19" s="420">
        <v>-892</v>
      </c>
      <c r="D19" s="420">
        <v>892</v>
      </c>
      <c r="E19" s="420">
        <v>0</v>
      </c>
      <c r="F19" s="420">
        <v>0</v>
      </c>
    </row>
    <row r="20" spans="1:6" ht="15" hidden="1" customHeight="1" x14ac:dyDescent="0.25">
      <c r="A20" s="418" t="s">
        <v>604</v>
      </c>
      <c r="B20" s="419" t="s">
        <v>605</v>
      </c>
      <c r="C20" s="420">
        <v>-57031967.450000003</v>
      </c>
      <c r="D20" s="420">
        <v>0</v>
      </c>
      <c r="E20" s="420">
        <v>14524049.029999999</v>
      </c>
      <c r="F20" s="420">
        <v>-71556016.480000004</v>
      </c>
    </row>
    <row r="21" spans="1:6" ht="15" hidden="1" customHeight="1" x14ac:dyDescent="0.25">
      <c r="A21" s="418" t="s">
        <v>606</v>
      </c>
      <c r="B21" s="419" t="s">
        <v>607</v>
      </c>
      <c r="C21" s="420">
        <v>-8488</v>
      </c>
      <c r="D21" s="420">
        <v>0</v>
      </c>
      <c r="E21" s="420">
        <v>1852490</v>
      </c>
      <c r="F21" s="420">
        <v>-1860978</v>
      </c>
    </row>
    <row r="22" spans="1:6" ht="15" hidden="1" customHeight="1" x14ac:dyDescent="0.25">
      <c r="A22" s="418" t="s">
        <v>608</v>
      </c>
      <c r="B22" s="419" t="s">
        <v>609</v>
      </c>
      <c r="C22" s="420">
        <v>-15426</v>
      </c>
      <c r="D22" s="420">
        <v>15426</v>
      </c>
      <c r="E22" s="420">
        <v>0</v>
      </c>
      <c r="F22" s="420">
        <v>0</v>
      </c>
    </row>
    <row r="23" spans="1:6" ht="15" hidden="1" customHeight="1" x14ac:dyDescent="0.25">
      <c r="A23" s="418" t="s">
        <v>610</v>
      </c>
      <c r="B23" s="419" t="s">
        <v>611</v>
      </c>
      <c r="C23" s="420">
        <v>1473678</v>
      </c>
      <c r="D23" s="420">
        <v>0</v>
      </c>
      <c r="E23" s="420">
        <v>106000</v>
      </c>
      <c r="F23" s="420">
        <v>1367678</v>
      </c>
    </row>
    <row r="24" spans="1:6" ht="15" hidden="1" customHeight="1" x14ac:dyDescent="0.25">
      <c r="A24" s="418" t="s">
        <v>612</v>
      </c>
      <c r="B24" s="419" t="s">
        <v>613</v>
      </c>
      <c r="C24" s="420">
        <v>-868328</v>
      </c>
      <c r="D24" s="420">
        <v>0</v>
      </c>
      <c r="E24" s="420">
        <v>0</v>
      </c>
      <c r="F24" s="420">
        <v>-868328</v>
      </c>
    </row>
    <row r="25" spans="1:6" ht="15" hidden="1" customHeight="1" x14ac:dyDescent="0.25">
      <c r="A25" s="418" t="s">
        <v>614</v>
      </c>
      <c r="B25" s="419" t="s">
        <v>615</v>
      </c>
      <c r="C25" s="420">
        <v>-12500</v>
      </c>
      <c r="D25" s="420">
        <v>0</v>
      </c>
      <c r="E25" s="420">
        <v>0</v>
      </c>
      <c r="F25" s="420">
        <v>-12500</v>
      </c>
    </row>
    <row r="26" spans="1:6" ht="15" hidden="1" customHeight="1" x14ac:dyDescent="0.25">
      <c r="A26" s="418" t="s">
        <v>616</v>
      </c>
      <c r="B26" s="419" t="s">
        <v>617</v>
      </c>
      <c r="C26" s="420">
        <v>-733558.29</v>
      </c>
      <c r="D26" s="420">
        <v>39115</v>
      </c>
      <c r="E26" s="420">
        <v>0</v>
      </c>
      <c r="F26" s="420">
        <v>-694443.29</v>
      </c>
    </row>
    <row r="27" spans="1:6" ht="15" hidden="1" customHeight="1" x14ac:dyDescent="0.25">
      <c r="A27" s="418" t="s">
        <v>618</v>
      </c>
      <c r="B27" s="419" t="s">
        <v>619</v>
      </c>
      <c r="C27" s="420">
        <v>2449</v>
      </c>
      <c r="D27" s="420">
        <v>0</v>
      </c>
      <c r="E27" s="420">
        <v>0</v>
      </c>
      <c r="F27" s="420">
        <v>2449</v>
      </c>
    </row>
    <row r="28" spans="1:6" ht="15" hidden="1" customHeight="1" x14ac:dyDescent="0.25">
      <c r="A28" s="418" t="s">
        <v>620</v>
      </c>
      <c r="B28" s="419" t="s">
        <v>621</v>
      </c>
      <c r="C28" s="420">
        <v>6917</v>
      </c>
      <c r="D28" s="420">
        <v>0</v>
      </c>
      <c r="E28" s="420">
        <v>0</v>
      </c>
      <c r="F28" s="420">
        <v>6917</v>
      </c>
    </row>
    <row r="29" spans="1:6" ht="15" hidden="1" customHeight="1" x14ac:dyDescent="0.25">
      <c r="A29" s="418" t="s">
        <v>622</v>
      </c>
      <c r="B29" s="419" t="s">
        <v>623</v>
      </c>
      <c r="C29" s="420">
        <v>87</v>
      </c>
      <c r="D29" s="420">
        <v>0</v>
      </c>
      <c r="E29" s="420">
        <v>0</v>
      </c>
      <c r="F29" s="420">
        <v>87</v>
      </c>
    </row>
    <row r="30" spans="1:6" ht="15" hidden="1" customHeight="1" x14ac:dyDescent="0.25">
      <c r="A30" s="418" t="s">
        <v>624</v>
      </c>
      <c r="B30" s="419" t="s">
        <v>625</v>
      </c>
      <c r="C30" s="420">
        <v>205</v>
      </c>
      <c r="D30" s="420">
        <v>0</v>
      </c>
      <c r="E30" s="420">
        <v>0</v>
      </c>
      <c r="F30" s="420">
        <v>205</v>
      </c>
    </row>
    <row r="31" spans="1:6" ht="15" hidden="1" customHeight="1" x14ac:dyDescent="0.25">
      <c r="A31" s="418" t="s">
        <v>626</v>
      </c>
      <c r="B31" s="419" t="s">
        <v>627</v>
      </c>
      <c r="C31" s="420">
        <v>0</v>
      </c>
      <c r="D31" s="420">
        <v>0</v>
      </c>
      <c r="E31" s="420">
        <v>0</v>
      </c>
      <c r="F31" s="420">
        <v>0</v>
      </c>
    </row>
    <row r="32" spans="1:6" ht="15" hidden="1" customHeight="1" x14ac:dyDescent="0.25">
      <c r="A32" s="418" t="s">
        <v>628</v>
      </c>
      <c r="B32" s="419" t="s">
        <v>629</v>
      </c>
      <c r="C32" s="420">
        <v>-175</v>
      </c>
      <c r="D32" s="420">
        <v>0</v>
      </c>
      <c r="E32" s="420">
        <v>1500</v>
      </c>
      <c r="F32" s="420">
        <v>-1675</v>
      </c>
    </row>
    <row r="33" spans="1:6" ht="15" hidden="1" customHeight="1" x14ac:dyDescent="0.25">
      <c r="A33" s="418" t="s">
        <v>630</v>
      </c>
      <c r="B33" s="419" t="s">
        <v>631</v>
      </c>
      <c r="C33" s="420">
        <v>-261838.77</v>
      </c>
      <c r="D33" s="420">
        <v>0</v>
      </c>
      <c r="E33" s="420">
        <v>232687</v>
      </c>
      <c r="F33" s="420">
        <v>-494525.77</v>
      </c>
    </row>
    <row r="34" spans="1:6" ht="15" hidden="1" customHeight="1" x14ac:dyDescent="0.25">
      <c r="A34" s="418" t="s">
        <v>632</v>
      </c>
      <c r="B34" s="419" t="s">
        <v>633</v>
      </c>
      <c r="C34" s="420">
        <v>-221220.69</v>
      </c>
      <c r="D34" s="420">
        <v>0</v>
      </c>
      <c r="E34" s="420">
        <v>72408</v>
      </c>
      <c r="F34" s="420">
        <v>-293628.69</v>
      </c>
    </row>
    <row r="35" spans="1:6" ht="15" hidden="1" customHeight="1" x14ac:dyDescent="0.25">
      <c r="A35" s="418" t="s">
        <v>634</v>
      </c>
      <c r="B35" s="419" t="s">
        <v>635</v>
      </c>
      <c r="C35" s="420">
        <v>-105420</v>
      </c>
      <c r="D35" s="420">
        <v>0</v>
      </c>
      <c r="E35" s="420">
        <v>0</v>
      </c>
      <c r="F35" s="420">
        <v>-105420</v>
      </c>
    </row>
    <row r="36" spans="1:6" ht="15" hidden="1" customHeight="1" x14ac:dyDescent="0.25">
      <c r="A36" s="418" t="s">
        <v>636</v>
      </c>
      <c r="B36" s="419" t="s">
        <v>637</v>
      </c>
      <c r="C36" s="420">
        <v>-373048</v>
      </c>
      <c r="D36" s="420">
        <v>0</v>
      </c>
      <c r="E36" s="420">
        <v>107692</v>
      </c>
      <c r="F36" s="420">
        <v>-480740</v>
      </c>
    </row>
    <row r="37" spans="1:6" ht="15" hidden="1" customHeight="1" x14ac:dyDescent="0.25">
      <c r="A37" s="418" t="s">
        <v>638</v>
      </c>
      <c r="B37" s="419" t="s">
        <v>639</v>
      </c>
      <c r="C37" s="420">
        <v>-960713</v>
      </c>
      <c r="D37" s="420">
        <v>0</v>
      </c>
      <c r="E37" s="420">
        <v>157338</v>
      </c>
      <c r="F37" s="420">
        <v>-1118051</v>
      </c>
    </row>
    <row r="38" spans="1:6" ht="15" hidden="1" customHeight="1" x14ac:dyDescent="0.25">
      <c r="A38" s="418" t="s">
        <v>640</v>
      </c>
      <c r="B38" s="419" t="s">
        <v>641</v>
      </c>
      <c r="C38" s="420">
        <v>-2122206.7799999998</v>
      </c>
      <c r="D38" s="420">
        <v>172012</v>
      </c>
      <c r="E38" s="420">
        <v>0</v>
      </c>
      <c r="F38" s="420">
        <v>-1950194.78</v>
      </c>
    </row>
    <row r="39" spans="1:6" ht="15" hidden="1" customHeight="1" x14ac:dyDescent="0.25">
      <c r="A39" s="418" t="s">
        <v>642</v>
      </c>
      <c r="B39" s="419" t="s">
        <v>643</v>
      </c>
      <c r="C39" s="420">
        <v>-724875</v>
      </c>
      <c r="D39" s="420">
        <v>0</v>
      </c>
      <c r="E39" s="420">
        <v>260952</v>
      </c>
      <c r="F39" s="420">
        <v>-985827</v>
      </c>
    </row>
    <row r="40" spans="1:6" ht="15" hidden="1" customHeight="1" x14ac:dyDescent="0.25">
      <c r="A40" s="418" t="s">
        <v>644</v>
      </c>
      <c r="B40" s="419" t="s">
        <v>645</v>
      </c>
      <c r="C40" s="420">
        <v>-360</v>
      </c>
      <c r="D40" s="420">
        <v>0</v>
      </c>
      <c r="E40" s="420">
        <v>0</v>
      </c>
      <c r="F40" s="420">
        <v>-360</v>
      </c>
    </row>
    <row r="41" spans="1:6" ht="15" hidden="1" customHeight="1" x14ac:dyDescent="0.25">
      <c r="A41" s="418" t="s">
        <v>646</v>
      </c>
      <c r="B41" s="419" t="s">
        <v>647</v>
      </c>
      <c r="C41" s="420">
        <v>0</v>
      </c>
      <c r="D41" s="420">
        <v>0</v>
      </c>
      <c r="E41" s="420">
        <v>0</v>
      </c>
      <c r="F41" s="420">
        <v>0</v>
      </c>
    </row>
    <row r="42" spans="1:6" ht="15" hidden="1" customHeight="1" x14ac:dyDescent="0.25">
      <c r="A42" s="418" t="s">
        <v>648</v>
      </c>
      <c r="B42" s="419" t="s">
        <v>649</v>
      </c>
      <c r="C42" s="420">
        <v>-37500</v>
      </c>
      <c r="D42" s="420">
        <v>0</v>
      </c>
      <c r="E42" s="420">
        <v>0</v>
      </c>
      <c r="F42" s="420">
        <v>-37500</v>
      </c>
    </row>
    <row r="43" spans="1:6" ht="15" hidden="1" customHeight="1" x14ac:dyDescent="0.25">
      <c r="A43" s="418" t="s">
        <v>650</v>
      </c>
      <c r="B43" s="419" t="s">
        <v>651</v>
      </c>
      <c r="C43" s="420">
        <v>-324387</v>
      </c>
      <c r="D43" s="420">
        <v>0</v>
      </c>
      <c r="E43" s="420">
        <v>839303</v>
      </c>
      <c r="F43" s="420">
        <v>-1163690</v>
      </c>
    </row>
    <row r="44" spans="1:6" ht="15" hidden="1" customHeight="1" x14ac:dyDescent="0.25">
      <c r="A44" s="418" t="s">
        <v>652</v>
      </c>
      <c r="B44" s="419" t="s">
        <v>653</v>
      </c>
      <c r="C44" s="420">
        <v>-721</v>
      </c>
      <c r="D44" s="420">
        <v>0</v>
      </c>
      <c r="E44" s="420">
        <v>0</v>
      </c>
      <c r="F44" s="420">
        <v>-721</v>
      </c>
    </row>
    <row r="45" spans="1:6" ht="15" hidden="1" customHeight="1" x14ac:dyDescent="0.25">
      <c r="A45" s="418" t="s">
        <v>654</v>
      </c>
      <c r="B45" s="419" t="s">
        <v>655</v>
      </c>
      <c r="C45" s="420">
        <v>-5368</v>
      </c>
      <c r="D45" s="420">
        <v>0</v>
      </c>
      <c r="E45" s="420">
        <v>820</v>
      </c>
      <c r="F45" s="420">
        <v>-6188</v>
      </c>
    </row>
    <row r="46" spans="1:6" ht="15" hidden="1" customHeight="1" x14ac:dyDescent="0.25">
      <c r="A46" s="418" t="s">
        <v>656</v>
      </c>
      <c r="B46" s="419" t="s">
        <v>657</v>
      </c>
      <c r="C46" s="420">
        <v>-2067545</v>
      </c>
      <c r="D46" s="420">
        <v>0</v>
      </c>
      <c r="E46" s="420">
        <v>111528</v>
      </c>
      <c r="F46" s="420">
        <v>-2179073</v>
      </c>
    </row>
    <row r="47" spans="1:6" ht="15" hidden="1" customHeight="1" x14ac:dyDescent="0.25">
      <c r="A47" s="418" t="s">
        <v>658</v>
      </c>
      <c r="B47" s="419" t="s">
        <v>659</v>
      </c>
      <c r="C47" s="420">
        <v>-2020334</v>
      </c>
      <c r="D47" s="420">
        <v>0</v>
      </c>
      <c r="E47" s="420">
        <v>74866</v>
      </c>
      <c r="F47" s="420">
        <v>-2095200</v>
      </c>
    </row>
    <row r="48" spans="1:6" ht="15" hidden="1" customHeight="1" x14ac:dyDescent="0.25">
      <c r="A48" s="418" t="s">
        <v>660</v>
      </c>
      <c r="B48" s="419" t="s">
        <v>661</v>
      </c>
      <c r="C48" s="420">
        <v>-80603</v>
      </c>
      <c r="D48" s="420">
        <v>0</v>
      </c>
      <c r="E48" s="420">
        <v>5310</v>
      </c>
      <c r="F48" s="420">
        <v>-85913</v>
      </c>
    </row>
    <row r="49" spans="1:6" ht="15" hidden="1" customHeight="1" x14ac:dyDescent="0.25">
      <c r="A49" s="418" t="s">
        <v>662</v>
      </c>
      <c r="B49" s="419" t="s">
        <v>663</v>
      </c>
      <c r="C49" s="420">
        <v>-337819</v>
      </c>
      <c r="D49" s="420">
        <v>0</v>
      </c>
      <c r="E49" s="420">
        <v>34596</v>
      </c>
      <c r="F49" s="420">
        <v>-372415</v>
      </c>
    </row>
    <row r="50" spans="1:6" ht="15" hidden="1" customHeight="1" x14ac:dyDescent="0.25">
      <c r="A50" s="418" t="s">
        <v>664</v>
      </c>
      <c r="B50" s="419" t="s">
        <v>665</v>
      </c>
      <c r="C50" s="420">
        <v>-22672</v>
      </c>
      <c r="D50" s="420">
        <v>0</v>
      </c>
      <c r="E50" s="420">
        <v>0</v>
      </c>
      <c r="F50" s="420">
        <v>-22672</v>
      </c>
    </row>
    <row r="51" spans="1:6" ht="15" hidden="1" customHeight="1" x14ac:dyDescent="0.25">
      <c r="A51" s="418" t="s">
        <v>666</v>
      </c>
      <c r="B51" s="419" t="s">
        <v>667</v>
      </c>
      <c r="C51" s="420">
        <v>-11294</v>
      </c>
      <c r="D51" s="420">
        <v>0</v>
      </c>
      <c r="E51" s="420">
        <v>0</v>
      </c>
      <c r="F51" s="420">
        <v>-11294</v>
      </c>
    </row>
    <row r="52" spans="1:6" ht="15" hidden="1" customHeight="1" x14ac:dyDescent="0.25">
      <c r="A52" s="418" t="s">
        <v>668</v>
      </c>
      <c r="B52" s="419" t="s">
        <v>669</v>
      </c>
      <c r="C52" s="420">
        <v>-80896</v>
      </c>
      <c r="D52" s="420">
        <v>0</v>
      </c>
      <c r="E52" s="420">
        <v>2998</v>
      </c>
      <c r="F52" s="420">
        <v>-83894</v>
      </c>
    </row>
    <row r="53" spans="1:6" ht="15" hidden="1" customHeight="1" x14ac:dyDescent="0.25">
      <c r="A53" s="418" t="s">
        <v>670</v>
      </c>
      <c r="B53" s="419" t="s">
        <v>671</v>
      </c>
      <c r="C53" s="420">
        <v>-305238.2</v>
      </c>
      <c r="D53" s="420">
        <v>0</v>
      </c>
      <c r="E53" s="420">
        <v>147300</v>
      </c>
      <c r="F53" s="420">
        <v>-452538.2</v>
      </c>
    </row>
    <row r="54" spans="1:6" ht="15" hidden="1" customHeight="1" x14ac:dyDescent="0.25">
      <c r="A54" s="418" t="s">
        <v>672</v>
      </c>
      <c r="B54" s="419" t="s">
        <v>673</v>
      </c>
      <c r="C54" s="420">
        <v>-1477975</v>
      </c>
      <c r="D54" s="420">
        <v>0</v>
      </c>
      <c r="E54" s="420">
        <v>61291</v>
      </c>
      <c r="F54" s="420">
        <v>-1539266</v>
      </c>
    </row>
    <row r="55" spans="1:6" ht="15" hidden="1" customHeight="1" x14ac:dyDescent="0.25">
      <c r="A55" s="418" t="s">
        <v>674</v>
      </c>
      <c r="B55" s="419" t="s">
        <v>675</v>
      </c>
      <c r="C55" s="420">
        <v>-1477699</v>
      </c>
      <c r="D55" s="420">
        <v>0</v>
      </c>
      <c r="E55" s="420">
        <v>61291</v>
      </c>
      <c r="F55" s="420">
        <v>-1538990</v>
      </c>
    </row>
    <row r="56" spans="1:6" ht="15" hidden="1" customHeight="1" x14ac:dyDescent="0.25">
      <c r="A56" s="418" t="s">
        <v>676</v>
      </c>
      <c r="B56" s="419" t="s">
        <v>677</v>
      </c>
      <c r="C56" s="420">
        <v>-454.5</v>
      </c>
      <c r="D56" s="420">
        <v>0</v>
      </c>
      <c r="E56" s="420">
        <v>8928</v>
      </c>
      <c r="F56" s="420">
        <v>-9382.5</v>
      </c>
    </row>
    <row r="57" spans="1:6" ht="15" hidden="1" customHeight="1" x14ac:dyDescent="0.25">
      <c r="A57" s="418" t="s">
        <v>678</v>
      </c>
      <c r="B57" s="419" t="s">
        <v>679</v>
      </c>
      <c r="C57" s="420">
        <v>-433.5</v>
      </c>
      <c r="D57" s="420">
        <v>0</v>
      </c>
      <c r="E57" s="420">
        <v>8928</v>
      </c>
      <c r="F57" s="420">
        <v>-9361.5</v>
      </c>
    </row>
    <row r="58" spans="1:6" ht="15" hidden="1" customHeight="1" x14ac:dyDescent="0.25">
      <c r="A58" s="418" t="s">
        <v>680</v>
      </c>
      <c r="B58" s="419" t="s">
        <v>681</v>
      </c>
      <c r="C58" s="420">
        <v>-76064.990000000005</v>
      </c>
      <c r="D58" s="420">
        <v>0</v>
      </c>
      <c r="E58" s="420">
        <v>26394.240000000002</v>
      </c>
      <c r="F58" s="420">
        <v>-102459.23</v>
      </c>
    </row>
    <row r="59" spans="1:6" ht="15" hidden="1" customHeight="1" x14ac:dyDescent="0.25">
      <c r="A59" s="418" t="s">
        <v>682</v>
      </c>
      <c r="B59" s="419" t="s">
        <v>683</v>
      </c>
      <c r="C59" s="420">
        <v>-2321494.66</v>
      </c>
      <c r="D59" s="420">
        <v>0</v>
      </c>
      <c r="E59" s="420">
        <v>0</v>
      </c>
      <c r="F59" s="420">
        <v>-2321494.66</v>
      </c>
    </row>
    <row r="60" spans="1:6" ht="15" hidden="1" customHeight="1" x14ac:dyDescent="0.25">
      <c r="A60" s="418" t="s">
        <v>684</v>
      </c>
      <c r="B60" s="419" t="s">
        <v>685</v>
      </c>
      <c r="C60" s="421">
        <v>-566782</v>
      </c>
      <c r="D60" s="421">
        <v>96450</v>
      </c>
      <c r="E60" s="421">
        <v>0</v>
      </c>
      <c r="F60" s="421">
        <v>-470332</v>
      </c>
    </row>
    <row r="61" spans="1:6" ht="15" hidden="1" customHeight="1" x14ac:dyDescent="0.25">
      <c r="A61" s="418" t="s">
        <v>686</v>
      </c>
      <c r="B61" s="419" t="s">
        <v>687</v>
      </c>
      <c r="C61" s="417">
        <v>-10500000</v>
      </c>
      <c r="D61" s="417">
        <v>12951</v>
      </c>
      <c r="E61" s="417">
        <v>0</v>
      </c>
      <c r="F61" s="417">
        <v>-10487049</v>
      </c>
    </row>
    <row r="62" spans="1:6" ht="15" hidden="1" customHeight="1" x14ac:dyDescent="0.25">
      <c r="A62" s="418" t="s">
        <v>688</v>
      </c>
      <c r="B62" s="419" t="s">
        <v>689</v>
      </c>
      <c r="C62" s="421">
        <v>-12489.22</v>
      </c>
      <c r="D62" s="421">
        <v>0</v>
      </c>
      <c r="E62" s="421">
        <v>31</v>
      </c>
      <c r="F62" s="421">
        <v>-12520.22</v>
      </c>
    </row>
    <row r="63" spans="1:6" ht="15" hidden="1" customHeight="1" x14ac:dyDescent="0.25">
      <c r="A63" s="418" t="s">
        <v>690</v>
      </c>
      <c r="B63" s="419" t="s">
        <v>691</v>
      </c>
      <c r="C63" s="417">
        <v>-4965771.5599999996</v>
      </c>
      <c r="D63" s="417">
        <v>0</v>
      </c>
      <c r="E63" s="417">
        <v>141850.10999999999</v>
      </c>
      <c r="F63" s="417">
        <v>-5107621.67</v>
      </c>
    </row>
    <row r="64" spans="1:6" ht="15" hidden="1" customHeight="1" x14ac:dyDescent="0.25">
      <c r="A64" s="418" t="s">
        <v>692</v>
      </c>
      <c r="B64" s="419" t="s">
        <v>693</v>
      </c>
      <c r="C64" s="420">
        <v>-5060843</v>
      </c>
      <c r="D64" s="420">
        <v>0</v>
      </c>
      <c r="E64" s="420">
        <v>0</v>
      </c>
      <c r="F64" s="420">
        <v>-5060843</v>
      </c>
    </row>
    <row r="65" spans="1:6" ht="15" hidden="1" customHeight="1" x14ac:dyDescent="0.25">
      <c r="A65" s="418" t="s">
        <v>694</v>
      </c>
      <c r="B65" s="419" t="s">
        <v>695</v>
      </c>
      <c r="C65" s="421">
        <v>-9345682</v>
      </c>
      <c r="D65" s="421">
        <v>0</v>
      </c>
      <c r="E65" s="421">
        <v>0</v>
      </c>
      <c r="F65" s="421">
        <v>-9345682</v>
      </c>
    </row>
    <row r="66" spans="1:6" ht="15" hidden="1" customHeight="1" x14ac:dyDescent="0.25">
      <c r="A66" s="418" t="s">
        <v>443</v>
      </c>
      <c r="B66" s="419" t="s">
        <v>444</v>
      </c>
      <c r="C66" s="417">
        <v>-67351021.739999995</v>
      </c>
      <c r="D66" s="417">
        <v>18217447</v>
      </c>
      <c r="E66" s="417">
        <v>0</v>
      </c>
      <c r="F66" s="417">
        <v>-49133574.740000002</v>
      </c>
    </row>
    <row r="67" spans="1:6" ht="15" hidden="1" customHeight="1" x14ac:dyDescent="0.25">
      <c r="A67" s="418" t="s">
        <v>696</v>
      </c>
      <c r="B67" s="419" t="s">
        <v>697</v>
      </c>
      <c r="C67" s="420">
        <v>-158660938.19999999</v>
      </c>
      <c r="D67" s="420">
        <v>0</v>
      </c>
      <c r="E67" s="420">
        <v>0</v>
      </c>
      <c r="F67" s="420">
        <v>-158660938.19999999</v>
      </c>
    </row>
    <row r="68" spans="1:6" ht="15" hidden="1" customHeight="1" x14ac:dyDescent="0.25">
      <c r="A68" s="418" t="s">
        <v>698</v>
      </c>
      <c r="B68" s="419" t="s">
        <v>699</v>
      </c>
      <c r="C68" s="420">
        <v>188999259.63999999</v>
      </c>
      <c r="D68" s="420">
        <v>0</v>
      </c>
      <c r="E68" s="420">
        <v>0</v>
      </c>
      <c r="F68" s="420">
        <v>188999259.63999999</v>
      </c>
    </row>
    <row r="69" spans="1:6" ht="15" hidden="1" customHeight="1" x14ac:dyDescent="0.25">
      <c r="A69" s="418" t="s">
        <v>700</v>
      </c>
      <c r="B69" s="419" t="s">
        <v>701</v>
      </c>
      <c r="C69" s="421">
        <v>5872998</v>
      </c>
      <c r="D69" s="421">
        <v>0</v>
      </c>
      <c r="E69" s="421">
        <v>0</v>
      </c>
      <c r="F69" s="421">
        <v>5872998</v>
      </c>
    </row>
    <row r="70" spans="1:6" ht="15" hidden="1" customHeight="1" x14ac:dyDescent="0.25">
      <c r="A70" s="418" t="s">
        <v>702</v>
      </c>
      <c r="B70" s="419" t="s">
        <v>703</v>
      </c>
      <c r="C70" s="422">
        <v>0</v>
      </c>
      <c r="D70" s="422">
        <v>0</v>
      </c>
      <c r="E70" s="422">
        <v>0</v>
      </c>
      <c r="F70" s="422">
        <v>0</v>
      </c>
    </row>
    <row r="71" spans="1:6" ht="15" hidden="1" customHeight="1" x14ac:dyDescent="0.25">
      <c r="A71" s="418" t="s">
        <v>704</v>
      </c>
      <c r="B71" s="419" t="s">
        <v>705</v>
      </c>
      <c r="C71" s="417">
        <v>0</v>
      </c>
      <c r="D71" s="417">
        <v>0</v>
      </c>
      <c r="E71" s="417">
        <v>0</v>
      </c>
      <c r="F71" s="417">
        <v>0</v>
      </c>
    </row>
    <row r="72" spans="1:6" ht="15" hidden="1" customHeight="1" x14ac:dyDescent="0.25">
      <c r="A72" s="418" t="s">
        <v>706</v>
      </c>
      <c r="B72" s="419" t="s">
        <v>707</v>
      </c>
      <c r="C72" s="420">
        <v>59888874</v>
      </c>
      <c r="D72" s="420">
        <v>27000</v>
      </c>
      <c r="E72" s="420">
        <v>0</v>
      </c>
      <c r="F72" s="420">
        <v>59915874</v>
      </c>
    </row>
    <row r="73" spans="1:6" ht="15" hidden="1" customHeight="1" x14ac:dyDescent="0.25">
      <c r="A73" s="418" t="s">
        <v>708</v>
      </c>
      <c r="B73" s="419" t="s">
        <v>709</v>
      </c>
      <c r="C73" s="420">
        <v>0</v>
      </c>
      <c r="D73" s="420">
        <v>0</v>
      </c>
      <c r="E73" s="420">
        <v>0</v>
      </c>
      <c r="F73" s="420">
        <v>0</v>
      </c>
    </row>
    <row r="74" spans="1:6" ht="15" hidden="1" customHeight="1" x14ac:dyDescent="0.25">
      <c r="A74" s="418" t="s">
        <v>710</v>
      </c>
      <c r="B74" s="419" t="s">
        <v>711</v>
      </c>
      <c r="C74" s="420">
        <v>0</v>
      </c>
      <c r="D74" s="420">
        <v>0</v>
      </c>
      <c r="E74" s="420">
        <v>0</v>
      </c>
      <c r="F74" s="420">
        <v>0</v>
      </c>
    </row>
    <row r="75" spans="1:6" ht="15" hidden="1" customHeight="1" x14ac:dyDescent="0.25">
      <c r="A75" s="418" t="s">
        <v>712</v>
      </c>
      <c r="B75" s="419" t="s">
        <v>713</v>
      </c>
      <c r="C75" s="420">
        <v>148914478</v>
      </c>
      <c r="D75" s="420">
        <v>0</v>
      </c>
      <c r="E75" s="420">
        <v>0</v>
      </c>
      <c r="F75" s="420">
        <v>148914478</v>
      </c>
    </row>
    <row r="76" spans="1:6" ht="15" hidden="1" customHeight="1" x14ac:dyDescent="0.25">
      <c r="A76" s="418" t="s">
        <v>714</v>
      </c>
      <c r="B76" s="419" t="s">
        <v>715</v>
      </c>
      <c r="C76" s="421">
        <v>11253618</v>
      </c>
      <c r="D76" s="421">
        <v>225000</v>
      </c>
      <c r="E76" s="421">
        <v>0</v>
      </c>
      <c r="F76" s="421">
        <v>11478618</v>
      </c>
    </row>
    <row r="77" spans="1:6" ht="15" hidden="1" customHeight="1" x14ac:dyDescent="0.25">
      <c r="A77" s="418" t="s">
        <v>716</v>
      </c>
      <c r="B77" s="419" t="s">
        <v>717</v>
      </c>
      <c r="C77" s="422">
        <v>2588802</v>
      </c>
      <c r="D77" s="422">
        <v>0</v>
      </c>
      <c r="E77" s="422">
        <v>0</v>
      </c>
      <c r="F77" s="422">
        <v>2588802</v>
      </c>
    </row>
    <row r="78" spans="1:6" ht="15" hidden="1" customHeight="1" x14ac:dyDescent="0.25">
      <c r="A78" s="418" t="s">
        <v>718</v>
      </c>
      <c r="B78" s="419" t="s">
        <v>719</v>
      </c>
      <c r="C78" s="422">
        <v>0</v>
      </c>
      <c r="D78" s="422">
        <v>0</v>
      </c>
      <c r="E78" s="422">
        <v>0</v>
      </c>
      <c r="F78" s="422">
        <v>0</v>
      </c>
    </row>
    <row r="79" spans="1:6" ht="15" hidden="1" customHeight="1" x14ac:dyDescent="0.25">
      <c r="A79" s="418" t="s">
        <v>720</v>
      </c>
      <c r="B79" s="419" t="s">
        <v>721</v>
      </c>
      <c r="C79" s="417">
        <v>0</v>
      </c>
      <c r="D79" s="417">
        <v>0</v>
      </c>
      <c r="E79" s="417">
        <v>0</v>
      </c>
      <c r="F79" s="417">
        <v>0</v>
      </c>
    </row>
    <row r="80" spans="1:6" ht="15" hidden="1" customHeight="1" x14ac:dyDescent="0.25">
      <c r="A80" s="418" t="s">
        <v>722</v>
      </c>
      <c r="B80" s="419" t="s">
        <v>723</v>
      </c>
      <c r="C80" s="420">
        <v>-4673988.45</v>
      </c>
      <c r="D80" s="420">
        <v>0</v>
      </c>
      <c r="E80" s="420">
        <v>0</v>
      </c>
      <c r="F80" s="420">
        <v>-4673988.45</v>
      </c>
    </row>
    <row r="81" spans="1:6" ht="15" hidden="1" customHeight="1" x14ac:dyDescent="0.25">
      <c r="A81" s="418" t="s">
        <v>724</v>
      </c>
      <c r="B81" s="419" t="s">
        <v>725</v>
      </c>
      <c r="C81" s="420">
        <v>-27057789.289999999</v>
      </c>
      <c r="D81" s="420">
        <v>0</v>
      </c>
      <c r="E81" s="420">
        <v>0</v>
      </c>
      <c r="F81" s="420">
        <v>-27057789.289999999</v>
      </c>
    </row>
    <row r="82" spans="1:6" ht="15" hidden="1" customHeight="1" x14ac:dyDescent="0.25">
      <c r="A82" s="418" t="s">
        <v>726</v>
      </c>
      <c r="B82" s="419" t="s">
        <v>727</v>
      </c>
      <c r="C82" s="420">
        <v>-127226753.06999999</v>
      </c>
      <c r="D82" s="420">
        <v>0</v>
      </c>
      <c r="E82" s="420">
        <v>0</v>
      </c>
      <c r="F82" s="420">
        <v>-127226753.06999999</v>
      </c>
    </row>
    <row r="83" spans="1:6" ht="15" hidden="1" customHeight="1" x14ac:dyDescent="0.25">
      <c r="A83" s="418" t="s">
        <v>728</v>
      </c>
      <c r="B83" s="419" t="s">
        <v>729</v>
      </c>
      <c r="C83" s="421">
        <v>-9663332.7799999993</v>
      </c>
      <c r="D83" s="421">
        <v>0</v>
      </c>
      <c r="E83" s="421">
        <v>0</v>
      </c>
      <c r="F83" s="421">
        <v>-9663332.7799999993</v>
      </c>
    </row>
    <row r="84" spans="1:6" ht="15" hidden="1" customHeight="1" x14ac:dyDescent="0.25">
      <c r="A84" s="418" t="s">
        <v>730</v>
      </c>
      <c r="B84" s="419" t="s">
        <v>731</v>
      </c>
      <c r="C84" s="422">
        <v>-52005164.329999998</v>
      </c>
      <c r="D84" s="422">
        <v>0</v>
      </c>
      <c r="E84" s="422">
        <v>0</v>
      </c>
      <c r="F84" s="422">
        <v>-52005164.329999998</v>
      </c>
    </row>
    <row r="85" spans="1:6" ht="15" hidden="1" customHeight="1" x14ac:dyDescent="0.25">
      <c r="A85" s="418" t="s">
        <v>732</v>
      </c>
      <c r="B85" s="419" t="s">
        <v>733</v>
      </c>
      <c r="C85" s="422">
        <v>-426130.52</v>
      </c>
      <c r="D85" s="422">
        <v>0</v>
      </c>
      <c r="E85" s="422">
        <v>0</v>
      </c>
      <c r="F85" s="422">
        <v>-426130.52</v>
      </c>
    </row>
    <row r="86" spans="1:6" ht="15" hidden="1" customHeight="1" x14ac:dyDescent="0.25">
      <c r="A86" s="418" t="s">
        <v>734</v>
      </c>
      <c r="B86" s="419" t="s">
        <v>735</v>
      </c>
      <c r="C86" s="422">
        <v>4400</v>
      </c>
      <c r="D86" s="422">
        <v>0</v>
      </c>
      <c r="E86" s="422">
        <v>0</v>
      </c>
      <c r="F86" s="422">
        <v>4400</v>
      </c>
    </row>
    <row r="87" spans="1:6" ht="15" hidden="1" customHeight="1" x14ac:dyDescent="0.25">
      <c r="A87" s="418" t="s">
        <v>736</v>
      </c>
      <c r="B87" s="419" t="s">
        <v>149</v>
      </c>
      <c r="C87" s="422">
        <v>661166</v>
      </c>
      <c r="D87" s="422">
        <v>0</v>
      </c>
      <c r="E87" s="422">
        <v>0</v>
      </c>
      <c r="F87" s="422">
        <v>661166</v>
      </c>
    </row>
    <row r="88" spans="1:6" ht="15" hidden="1" customHeight="1" x14ac:dyDescent="0.25">
      <c r="A88" s="418" t="s">
        <v>737</v>
      </c>
      <c r="B88" s="419" t="s">
        <v>738</v>
      </c>
      <c r="C88" s="422">
        <v>60770</v>
      </c>
      <c r="D88" s="422">
        <v>0</v>
      </c>
      <c r="E88" s="422">
        <v>0</v>
      </c>
      <c r="F88" s="422">
        <v>60770</v>
      </c>
    </row>
    <row r="89" spans="1:6" ht="15" hidden="1" customHeight="1" x14ac:dyDescent="0.25">
      <c r="A89" s="418" t="s">
        <v>739</v>
      </c>
      <c r="B89" s="419" t="s">
        <v>740</v>
      </c>
      <c r="C89" s="422">
        <v>5452427</v>
      </c>
      <c r="D89" s="422">
        <v>0</v>
      </c>
      <c r="E89" s="422">
        <v>0</v>
      </c>
      <c r="F89" s="422">
        <v>5452427</v>
      </c>
    </row>
    <row r="90" spans="1:6" ht="15" hidden="1" customHeight="1" x14ac:dyDescent="0.25">
      <c r="A90" s="418" t="s">
        <v>741</v>
      </c>
      <c r="B90" s="419" t="s">
        <v>742</v>
      </c>
      <c r="C90" s="417">
        <v>0</v>
      </c>
      <c r="D90" s="417">
        <v>0</v>
      </c>
      <c r="E90" s="417">
        <v>0</v>
      </c>
      <c r="F90" s="417">
        <v>0</v>
      </c>
    </row>
    <row r="91" spans="1:6" ht="15" hidden="1" customHeight="1" x14ac:dyDescent="0.25">
      <c r="A91" s="418" t="s">
        <v>743</v>
      </c>
      <c r="B91" s="419" t="s">
        <v>744</v>
      </c>
      <c r="C91" s="421">
        <v>122615638.36</v>
      </c>
      <c r="D91" s="421">
        <v>4937264.5</v>
      </c>
      <c r="E91" s="421">
        <v>0</v>
      </c>
      <c r="F91" s="421">
        <v>127552902.86</v>
      </c>
    </row>
    <row r="92" spans="1:6" ht="15" hidden="1" customHeight="1" x14ac:dyDescent="0.25">
      <c r="A92" s="418" t="s">
        <v>745</v>
      </c>
      <c r="B92" s="419" t="s">
        <v>746</v>
      </c>
      <c r="C92" s="417">
        <v>141600</v>
      </c>
      <c r="D92" s="417">
        <v>0</v>
      </c>
      <c r="E92" s="417">
        <v>0</v>
      </c>
      <c r="F92" s="417">
        <v>141600</v>
      </c>
    </row>
    <row r="93" spans="1:6" ht="15" hidden="1" customHeight="1" x14ac:dyDescent="0.25">
      <c r="A93" s="418" t="s">
        <v>747</v>
      </c>
      <c r="B93" s="419" t="s">
        <v>748</v>
      </c>
      <c r="C93" s="421">
        <v>516402</v>
      </c>
      <c r="D93" s="421">
        <v>0</v>
      </c>
      <c r="E93" s="421">
        <v>0</v>
      </c>
      <c r="F93" s="421">
        <v>516402</v>
      </c>
    </row>
    <row r="94" spans="1:6" ht="15" hidden="1" customHeight="1" x14ac:dyDescent="0.25">
      <c r="A94" s="418" t="s">
        <v>749</v>
      </c>
      <c r="B94" s="419" t="s">
        <v>750</v>
      </c>
      <c r="C94" s="422">
        <v>6286</v>
      </c>
      <c r="D94" s="422">
        <v>0</v>
      </c>
      <c r="E94" s="422">
        <v>0</v>
      </c>
      <c r="F94" s="422">
        <v>6286</v>
      </c>
    </row>
    <row r="95" spans="1:6" ht="15" hidden="1" customHeight="1" x14ac:dyDescent="0.25">
      <c r="A95" s="418" t="s">
        <v>751</v>
      </c>
      <c r="B95" s="419" t="s">
        <v>752</v>
      </c>
      <c r="C95" s="422">
        <v>59171942</v>
      </c>
      <c r="D95" s="422">
        <v>0</v>
      </c>
      <c r="E95" s="422">
        <v>8500000</v>
      </c>
      <c r="F95" s="422">
        <v>50671942</v>
      </c>
    </row>
    <row r="96" spans="1:6" ht="15" hidden="1" customHeight="1" x14ac:dyDescent="0.25">
      <c r="A96" s="418" t="s">
        <v>753</v>
      </c>
      <c r="B96" s="419" t="s">
        <v>754</v>
      </c>
      <c r="C96" s="422">
        <v>318987.68</v>
      </c>
      <c r="D96" s="422">
        <v>0</v>
      </c>
      <c r="E96" s="422">
        <v>0</v>
      </c>
      <c r="F96" s="422">
        <v>318987.68</v>
      </c>
    </row>
    <row r="97" spans="1:6" ht="15" hidden="1" customHeight="1" x14ac:dyDescent="0.25">
      <c r="A97" s="418" t="s">
        <v>755</v>
      </c>
      <c r="B97" s="419" t="s">
        <v>756</v>
      </c>
      <c r="C97" s="417">
        <v>10637459</v>
      </c>
      <c r="D97" s="417">
        <v>0</v>
      </c>
      <c r="E97" s="417">
        <v>10637459</v>
      </c>
      <c r="F97" s="417">
        <v>0</v>
      </c>
    </row>
    <row r="98" spans="1:6" ht="15" hidden="1" customHeight="1" x14ac:dyDescent="0.25">
      <c r="A98" s="418" t="s">
        <v>757</v>
      </c>
      <c r="B98" s="419" t="s">
        <v>758</v>
      </c>
      <c r="C98" s="420">
        <v>60148493</v>
      </c>
      <c r="D98" s="420">
        <v>0</v>
      </c>
      <c r="E98" s="420">
        <v>20000000</v>
      </c>
      <c r="F98" s="420">
        <v>40148493</v>
      </c>
    </row>
    <row r="99" spans="1:6" ht="15" hidden="1" customHeight="1" x14ac:dyDescent="0.25">
      <c r="A99" s="418" t="s">
        <v>759</v>
      </c>
      <c r="B99" s="419" t="s">
        <v>760</v>
      </c>
      <c r="C99" s="420">
        <v>45859861.159999996</v>
      </c>
      <c r="D99" s="420">
        <v>0</v>
      </c>
      <c r="E99" s="420">
        <v>0</v>
      </c>
      <c r="F99" s="420">
        <v>45859861.159999996</v>
      </c>
    </row>
    <row r="100" spans="1:6" ht="15" hidden="1" customHeight="1" x14ac:dyDescent="0.25">
      <c r="A100" s="418" t="s">
        <v>761</v>
      </c>
      <c r="B100" s="419" t="s">
        <v>762</v>
      </c>
      <c r="C100" s="420">
        <v>745782441</v>
      </c>
      <c r="D100" s="420">
        <v>0</v>
      </c>
      <c r="E100" s="420">
        <v>0</v>
      </c>
      <c r="F100" s="420">
        <v>745782441</v>
      </c>
    </row>
    <row r="101" spans="1:6" ht="15" hidden="1" customHeight="1" x14ac:dyDescent="0.25">
      <c r="A101" s="418" t="s">
        <v>763</v>
      </c>
      <c r="B101" s="419" t="s">
        <v>764</v>
      </c>
      <c r="C101" s="420">
        <v>295344723.75</v>
      </c>
      <c r="D101" s="420">
        <v>0</v>
      </c>
      <c r="E101" s="420">
        <v>0</v>
      </c>
      <c r="F101" s="420">
        <v>295344723.75</v>
      </c>
    </row>
    <row r="102" spans="1:6" ht="15" hidden="1" customHeight="1" x14ac:dyDescent="0.25">
      <c r="A102" s="418" t="s">
        <v>765</v>
      </c>
      <c r="B102" s="419" t="s">
        <v>766</v>
      </c>
      <c r="C102" s="420">
        <v>25000000</v>
      </c>
      <c r="D102" s="420">
        <v>0</v>
      </c>
      <c r="E102" s="420">
        <v>0</v>
      </c>
      <c r="F102" s="420">
        <v>25000000</v>
      </c>
    </row>
    <row r="103" spans="1:6" ht="15" hidden="1" customHeight="1" x14ac:dyDescent="0.25">
      <c r="A103" s="418" t="s">
        <v>767</v>
      </c>
      <c r="B103" s="419" t="s">
        <v>768</v>
      </c>
      <c r="C103" s="420">
        <v>10125000</v>
      </c>
      <c r="D103" s="420">
        <v>0</v>
      </c>
      <c r="E103" s="420">
        <v>0</v>
      </c>
      <c r="F103" s="420">
        <v>10125000</v>
      </c>
    </row>
    <row r="104" spans="1:6" ht="15" hidden="1" customHeight="1" x14ac:dyDescent="0.25">
      <c r="A104" s="418" t="s">
        <v>769</v>
      </c>
      <c r="B104" s="419" t="s">
        <v>770</v>
      </c>
      <c r="C104" s="420">
        <v>16500000</v>
      </c>
      <c r="D104" s="420">
        <v>0</v>
      </c>
      <c r="E104" s="420">
        <v>0</v>
      </c>
      <c r="F104" s="420">
        <v>16500000</v>
      </c>
    </row>
    <row r="105" spans="1:6" ht="15" hidden="1" customHeight="1" x14ac:dyDescent="0.25">
      <c r="A105" s="418" t="s">
        <v>771</v>
      </c>
      <c r="B105" s="419" t="s">
        <v>772</v>
      </c>
      <c r="C105" s="420">
        <v>3579172.48</v>
      </c>
      <c r="D105" s="420">
        <v>0</v>
      </c>
      <c r="E105" s="420">
        <v>51353447.590000004</v>
      </c>
      <c r="F105" s="420">
        <v>-47774275.109999999</v>
      </c>
    </row>
    <row r="106" spans="1:6" ht="15" hidden="1" customHeight="1" x14ac:dyDescent="0.25">
      <c r="A106" s="418" t="s">
        <v>773</v>
      </c>
      <c r="B106" s="419" t="s">
        <v>774</v>
      </c>
      <c r="C106" s="420">
        <v>25675005.260000002</v>
      </c>
      <c r="D106" s="420">
        <v>0</v>
      </c>
      <c r="E106" s="420">
        <v>15681243.58</v>
      </c>
      <c r="F106" s="420">
        <v>9993761.6799999997</v>
      </c>
    </row>
    <row r="107" spans="1:6" ht="15" hidden="1" customHeight="1" x14ac:dyDescent="0.25">
      <c r="A107" s="418" t="s">
        <v>775</v>
      </c>
      <c r="B107" s="419" t="s">
        <v>776</v>
      </c>
      <c r="C107" s="420">
        <v>300000</v>
      </c>
      <c r="D107" s="420">
        <v>0</v>
      </c>
      <c r="E107" s="420">
        <v>0</v>
      </c>
      <c r="F107" s="420">
        <v>300000</v>
      </c>
    </row>
    <row r="108" spans="1:6" ht="15" hidden="1" customHeight="1" x14ac:dyDescent="0.25">
      <c r="A108" s="418" t="s">
        <v>777</v>
      </c>
      <c r="B108" s="419" t="s">
        <v>778</v>
      </c>
      <c r="C108" s="420">
        <v>0</v>
      </c>
      <c r="D108" s="420">
        <v>0</v>
      </c>
      <c r="E108" s="420">
        <v>17970410.609999999</v>
      </c>
      <c r="F108" s="420">
        <v>-17970410.609999999</v>
      </c>
    </row>
    <row r="109" spans="1:6" ht="15" hidden="1" customHeight="1" x14ac:dyDescent="0.25">
      <c r="A109" s="418" t="s">
        <v>779</v>
      </c>
      <c r="B109" s="419" t="s">
        <v>780</v>
      </c>
      <c r="C109" s="420">
        <v>3306115.04</v>
      </c>
      <c r="D109" s="420">
        <v>0</v>
      </c>
      <c r="E109" s="420">
        <v>0</v>
      </c>
      <c r="F109" s="420">
        <v>3306115.04</v>
      </c>
    </row>
    <row r="110" spans="1:6" ht="15" hidden="1" customHeight="1" x14ac:dyDescent="0.25">
      <c r="A110" s="418" t="s">
        <v>781</v>
      </c>
      <c r="B110" s="419" t="s">
        <v>782</v>
      </c>
      <c r="C110" s="420">
        <v>735059.85</v>
      </c>
      <c r="D110" s="420">
        <v>0</v>
      </c>
      <c r="E110" s="420">
        <v>0</v>
      </c>
      <c r="F110" s="420">
        <v>735059.85</v>
      </c>
    </row>
    <row r="111" spans="1:6" ht="15" hidden="1" customHeight="1" x14ac:dyDescent="0.25">
      <c r="A111" s="418" t="s">
        <v>783</v>
      </c>
      <c r="B111" s="419" t="s">
        <v>784</v>
      </c>
      <c r="C111" s="420">
        <v>8161255.04</v>
      </c>
      <c r="D111" s="420">
        <v>0</v>
      </c>
      <c r="E111" s="420">
        <v>0</v>
      </c>
      <c r="F111" s="420">
        <v>8161255.04</v>
      </c>
    </row>
    <row r="112" spans="1:6" ht="15" hidden="1" customHeight="1" x14ac:dyDescent="0.25">
      <c r="A112" s="418" t="s">
        <v>785</v>
      </c>
      <c r="B112" s="419" t="s">
        <v>786</v>
      </c>
      <c r="C112" s="420">
        <v>178455.1</v>
      </c>
      <c r="D112" s="420">
        <v>0</v>
      </c>
      <c r="E112" s="420">
        <v>0</v>
      </c>
      <c r="F112" s="420">
        <v>178455.1</v>
      </c>
    </row>
    <row r="113" spans="1:6" ht="15" hidden="1" customHeight="1" x14ac:dyDescent="0.25">
      <c r="A113" s="418" t="s">
        <v>787</v>
      </c>
      <c r="B113" s="419" t="s">
        <v>788</v>
      </c>
      <c r="C113" s="420">
        <v>0.01</v>
      </c>
      <c r="D113" s="420">
        <v>0</v>
      </c>
      <c r="E113" s="420">
        <v>0</v>
      </c>
      <c r="F113" s="420">
        <v>0.01</v>
      </c>
    </row>
    <row r="114" spans="1:6" ht="15" hidden="1" customHeight="1" x14ac:dyDescent="0.25">
      <c r="A114" s="418" t="s">
        <v>789</v>
      </c>
      <c r="B114" s="419" t="s">
        <v>790</v>
      </c>
      <c r="C114" s="420">
        <v>372499.53</v>
      </c>
      <c r="D114" s="420">
        <v>0</v>
      </c>
      <c r="E114" s="420">
        <v>0</v>
      </c>
      <c r="F114" s="420">
        <v>372499.53</v>
      </c>
    </row>
    <row r="115" spans="1:6" ht="15" hidden="1" customHeight="1" x14ac:dyDescent="0.25">
      <c r="A115" s="418" t="s">
        <v>791</v>
      </c>
      <c r="B115" s="419" t="s">
        <v>792</v>
      </c>
      <c r="C115" s="420">
        <v>372499.53</v>
      </c>
      <c r="D115" s="420">
        <v>0</v>
      </c>
      <c r="E115" s="420">
        <v>0</v>
      </c>
      <c r="F115" s="420">
        <v>372499.53</v>
      </c>
    </row>
    <row r="116" spans="1:6" ht="15" hidden="1" customHeight="1" x14ac:dyDescent="0.25">
      <c r="A116" s="418" t="s">
        <v>793</v>
      </c>
      <c r="B116" s="419" t="s">
        <v>794</v>
      </c>
      <c r="C116" s="420">
        <v>373000.37</v>
      </c>
      <c r="D116" s="420">
        <v>0</v>
      </c>
      <c r="E116" s="420">
        <v>0</v>
      </c>
      <c r="F116" s="420">
        <v>373000.37</v>
      </c>
    </row>
    <row r="117" spans="1:6" ht="15" hidden="1" customHeight="1" x14ac:dyDescent="0.25">
      <c r="A117" s="418" t="s">
        <v>795</v>
      </c>
      <c r="B117" s="419" t="s">
        <v>796</v>
      </c>
      <c r="C117" s="420">
        <v>373000</v>
      </c>
      <c r="D117" s="420">
        <v>0</v>
      </c>
      <c r="E117" s="420">
        <v>0</v>
      </c>
      <c r="F117" s="420">
        <v>373000</v>
      </c>
    </row>
    <row r="118" spans="1:6" ht="15" hidden="1" customHeight="1" x14ac:dyDescent="0.25">
      <c r="A118" s="418" t="s">
        <v>797</v>
      </c>
      <c r="B118" s="419" t="s">
        <v>798</v>
      </c>
      <c r="C118" s="420">
        <v>373000</v>
      </c>
      <c r="D118" s="420">
        <v>0</v>
      </c>
      <c r="E118" s="420">
        <v>0</v>
      </c>
      <c r="F118" s="420">
        <v>373000</v>
      </c>
    </row>
    <row r="119" spans="1:6" ht="15" hidden="1" customHeight="1" x14ac:dyDescent="0.25">
      <c r="A119" s="418" t="s">
        <v>799</v>
      </c>
      <c r="B119" s="419" t="s">
        <v>800</v>
      </c>
      <c r="C119" s="420">
        <v>28000000</v>
      </c>
      <c r="D119" s="420">
        <v>0</v>
      </c>
      <c r="E119" s="420">
        <v>0</v>
      </c>
      <c r="F119" s="420">
        <v>28000000</v>
      </c>
    </row>
    <row r="120" spans="1:6" ht="15" hidden="1" customHeight="1" x14ac:dyDescent="0.25">
      <c r="A120" s="418" t="s">
        <v>801</v>
      </c>
      <c r="B120" s="419" t="s">
        <v>802</v>
      </c>
      <c r="C120" s="420">
        <v>278300</v>
      </c>
      <c r="D120" s="420">
        <v>0</v>
      </c>
      <c r="E120" s="420">
        <v>0</v>
      </c>
      <c r="F120" s="420">
        <v>278300</v>
      </c>
    </row>
    <row r="121" spans="1:6" ht="15" hidden="1" customHeight="1" x14ac:dyDescent="0.25">
      <c r="A121" s="418" t="s">
        <v>803</v>
      </c>
      <c r="B121" s="419" t="s">
        <v>804</v>
      </c>
      <c r="C121" s="420">
        <v>454704</v>
      </c>
      <c r="D121" s="420">
        <v>0</v>
      </c>
      <c r="E121" s="420">
        <v>0</v>
      </c>
      <c r="F121" s="420">
        <v>454704</v>
      </c>
    </row>
    <row r="122" spans="1:6" ht="15" hidden="1" customHeight="1" x14ac:dyDescent="0.25">
      <c r="A122" s="418" t="s">
        <v>805</v>
      </c>
      <c r="B122" s="419" t="s">
        <v>806</v>
      </c>
      <c r="C122" s="420">
        <v>965182</v>
      </c>
      <c r="D122" s="420">
        <v>0</v>
      </c>
      <c r="E122" s="420">
        <v>0</v>
      </c>
      <c r="F122" s="420">
        <v>965182</v>
      </c>
    </row>
    <row r="123" spans="1:6" ht="15" hidden="1" customHeight="1" x14ac:dyDescent="0.25">
      <c r="A123" s="418" t="s">
        <v>807</v>
      </c>
      <c r="B123" s="419" t="s">
        <v>808</v>
      </c>
      <c r="C123" s="420">
        <v>482784</v>
      </c>
      <c r="D123" s="420">
        <v>0</v>
      </c>
      <c r="E123" s="420">
        <v>0</v>
      </c>
      <c r="F123" s="420">
        <v>482784</v>
      </c>
    </row>
    <row r="124" spans="1:6" ht="15" hidden="1" customHeight="1" x14ac:dyDescent="0.25">
      <c r="A124" s="418" t="s">
        <v>809</v>
      </c>
      <c r="B124" s="419" t="s">
        <v>810</v>
      </c>
      <c r="C124" s="420">
        <v>471352</v>
      </c>
      <c r="D124" s="420">
        <v>0</v>
      </c>
      <c r="E124" s="420">
        <v>0</v>
      </c>
      <c r="F124" s="420">
        <v>471352</v>
      </c>
    </row>
    <row r="125" spans="1:6" ht="15" hidden="1" customHeight="1" x14ac:dyDescent="0.25">
      <c r="A125" s="418" t="s">
        <v>811</v>
      </c>
      <c r="B125" s="419" t="s">
        <v>812</v>
      </c>
      <c r="C125" s="420">
        <v>469159</v>
      </c>
      <c r="D125" s="420">
        <v>0</v>
      </c>
      <c r="E125" s="420">
        <v>0</v>
      </c>
      <c r="F125" s="420">
        <v>469159</v>
      </c>
    </row>
    <row r="126" spans="1:6" ht="15" hidden="1" customHeight="1" x14ac:dyDescent="0.25">
      <c r="A126" s="418" t="s">
        <v>813</v>
      </c>
      <c r="B126" s="419" t="s">
        <v>814</v>
      </c>
      <c r="C126" s="420">
        <v>444461</v>
      </c>
      <c r="D126" s="420">
        <v>0</v>
      </c>
      <c r="E126" s="420">
        <v>0</v>
      </c>
      <c r="F126" s="420">
        <v>444461</v>
      </c>
    </row>
    <row r="127" spans="1:6" ht="15" hidden="1" customHeight="1" x14ac:dyDescent="0.25">
      <c r="A127" s="418" t="s">
        <v>815</v>
      </c>
      <c r="B127" s="419" t="s">
        <v>816</v>
      </c>
      <c r="C127" s="420">
        <v>471088</v>
      </c>
      <c r="D127" s="420">
        <v>0</v>
      </c>
      <c r="E127" s="420">
        <v>0</v>
      </c>
      <c r="F127" s="420">
        <v>471088</v>
      </c>
    </row>
    <row r="128" spans="1:6" ht="15" hidden="1" customHeight="1" x14ac:dyDescent="0.25">
      <c r="A128" s="418" t="s">
        <v>817</v>
      </c>
      <c r="B128" s="419" t="s">
        <v>818</v>
      </c>
      <c r="C128" s="420">
        <v>471084</v>
      </c>
      <c r="D128" s="420">
        <v>0</v>
      </c>
      <c r="E128" s="420">
        <v>0</v>
      </c>
      <c r="F128" s="420">
        <v>471084</v>
      </c>
    </row>
    <row r="129" spans="1:6" ht="15" hidden="1" customHeight="1" x14ac:dyDescent="0.25">
      <c r="A129" s="418" t="s">
        <v>819</v>
      </c>
      <c r="B129" s="419" t="s">
        <v>820</v>
      </c>
      <c r="C129" s="420">
        <v>471089</v>
      </c>
      <c r="D129" s="420">
        <v>0</v>
      </c>
      <c r="E129" s="420">
        <v>0</v>
      </c>
      <c r="F129" s="420">
        <v>471089</v>
      </c>
    </row>
    <row r="130" spans="1:6" ht="15" hidden="1" customHeight="1" x14ac:dyDescent="0.25">
      <c r="A130" s="418" t="s">
        <v>821</v>
      </c>
      <c r="B130" s="419" t="s">
        <v>822</v>
      </c>
      <c r="C130" s="420">
        <v>471091</v>
      </c>
      <c r="D130" s="420">
        <v>0</v>
      </c>
      <c r="E130" s="420">
        <v>0</v>
      </c>
      <c r="F130" s="420">
        <v>471091</v>
      </c>
    </row>
    <row r="131" spans="1:6" ht="15" hidden="1" customHeight="1" x14ac:dyDescent="0.25">
      <c r="A131" s="418" t="s">
        <v>823</v>
      </c>
      <c r="B131" s="419" t="s">
        <v>824</v>
      </c>
      <c r="C131" s="421">
        <v>1900387</v>
      </c>
      <c r="D131" s="421">
        <v>0</v>
      </c>
      <c r="E131" s="421">
        <v>0</v>
      </c>
      <c r="F131" s="421">
        <v>1900387</v>
      </c>
    </row>
    <row r="132" spans="1:6" ht="15" hidden="1" customHeight="1" x14ac:dyDescent="0.25">
      <c r="A132" s="418" t="s">
        <v>825</v>
      </c>
      <c r="B132" s="419" t="s">
        <v>826</v>
      </c>
      <c r="C132" s="417">
        <v>4174221.8</v>
      </c>
      <c r="D132" s="417">
        <v>0</v>
      </c>
      <c r="E132" s="417">
        <v>491548</v>
      </c>
      <c r="F132" s="417">
        <v>3682673.8</v>
      </c>
    </row>
    <row r="133" spans="1:6" ht="15" hidden="1" customHeight="1" x14ac:dyDescent="0.25">
      <c r="A133" s="418" t="s">
        <v>827</v>
      </c>
      <c r="B133" s="419" t="s">
        <v>828</v>
      </c>
      <c r="C133" s="420">
        <v>14050670</v>
      </c>
      <c r="D133" s="420">
        <v>1970796</v>
      </c>
      <c r="E133" s="420">
        <v>0</v>
      </c>
      <c r="F133" s="420">
        <v>16021466</v>
      </c>
    </row>
    <row r="134" spans="1:6" ht="15" hidden="1" customHeight="1" x14ac:dyDescent="0.25">
      <c r="A134" s="418" t="s">
        <v>829</v>
      </c>
      <c r="B134" s="419" t="s">
        <v>830</v>
      </c>
      <c r="C134" s="420">
        <v>16496624.359999999</v>
      </c>
      <c r="D134" s="420">
        <v>528315</v>
      </c>
      <c r="E134" s="420">
        <v>0</v>
      </c>
      <c r="F134" s="420">
        <v>17024939.359999999</v>
      </c>
    </row>
    <row r="135" spans="1:6" ht="15" hidden="1" customHeight="1" x14ac:dyDescent="0.25">
      <c r="A135" s="418" t="s">
        <v>831</v>
      </c>
      <c r="B135" s="419" t="s">
        <v>832</v>
      </c>
      <c r="C135" s="420">
        <v>2253599.36</v>
      </c>
      <c r="D135" s="420">
        <v>431210</v>
      </c>
      <c r="E135" s="420">
        <v>0</v>
      </c>
      <c r="F135" s="420">
        <v>2684809.36</v>
      </c>
    </row>
    <row r="136" spans="1:6" ht="15" hidden="1" customHeight="1" x14ac:dyDescent="0.25">
      <c r="A136" s="418" t="s">
        <v>833</v>
      </c>
      <c r="B136" s="419" t="s">
        <v>834</v>
      </c>
      <c r="C136" s="420">
        <v>87739273.170000002</v>
      </c>
      <c r="D136" s="420">
        <v>87147292.049999997</v>
      </c>
      <c r="E136" s="420">
        <v>0</v>
      </c>
      <c r="F136" s="420">
        <v>174886565.22</v>
      </c>
    </row>
    <row r="137" spans="1:6" ht="15" hidden="1" customHeight="1" x14ac:dyDescent="0.25">
      <c r="A137" s="418" t="s">
        <v>835</v>
      </c>
      <c r="B137" s="419" t="s">
        <v>836</v>
      </c>
      <c r="C137" s="420">
        <v>-7296215</v>
      </c>
      <c r="D137" s="420">
        <v>0</v>
      </c>
      <c r="E137" s="420">
        <v>0</v>
      </c>
      <c r="F137" s="420">
        <v>-7296215</v>
      </c>
    </row>
    <row r="138" spans="1:6" ht="15" hidden="1" customHeight="1" x14ac:dyDescent="0.25">
      <c r="A138" s="418" t="s">
        <v>837</v>
      </c>
      <c r="B138" s="419" t="s">
        <v>838</v>
      </c>
      <c r="C138" s="420">
        <v>528559</v>
      </c>
      <c r="D138" s="420">
        <v>0</v>
      </c>
      <c r="E138" s="420">
        <v>0</v>
      </c>
      <c r="F138" s="420">
        <v>528559</v>
      </c>
    </row>
    <row r="139" spans="1:6" ht="15" hidden="1" customHeight="1" x14ac:dyDescent="0.25">
      <c r="A139" s="418" t="s">
        <v>839</v>
      </c>
      <c r="B139" s="419" t="s">
        <v>840</v>
      </c>
      <c r="C139" s="421">
        <v>87247</v>
      </c>
      <c r="D139" s="421">
        <v>0</v>
      </c>
      <c r="E139" s="421">
        <v>0</v>
      </c>
      <c r="F139" s="421">
        <v>87247</v>
      </c>
    </row>
    <row r="140" spans="1:6" ht="15" hidden="1" customHeight="1" x14ac:dyDescent="0.25">
      <c r="A140" s="418" t="s">
        <v>841</v>
      </c>
      <c r="B140" s="419" t="s">
        <v>842</v>
      </c>
      <c r="C140" s="422">
        <v>52655</v>
      </c>
      <c r="D140" s="422">
        <v>0</v>
      </c>
      <c r="E140" s="422">
        <v>0</v>
      </c>
      <c r="F140" s="422">
        <v>52655</v>
      </c>
    </row>
    <row r="141" spans="1:6" ht="15" hidden="1" customHeight="1" x14ac:dyDescent="0.25">
      <c r="A141" s="418" t="s">
        <v>843</v>
      </c>
      <c r="B141" s="419" t="s">
        <v>844</v>
      </c>
      <c r="C141" s="422">
        <v>4999</v>
      </c>
      <c r="D141" s="422">
        <v>0</v>
      </c>
      <c r="E141" s="422">
        <v>0</v>
      </c>
      <c r="F141" s="422">
        <v>4999</v>
      </c>
    </row>
    <row r="142" spans="1:6" ht="15" hidden="1" customHeight="1" x14ac:dyDescent="0.25">
      <c r="A142" s="418" t="s">
        <v>845</v>
      </c>
      <c r="B142" s="419" t="s">
        <v>846</v>
      </c>
      <c r="C142" s="422">
        <v>100000</v>
      </c>
      <c r="D142" s="422">
        <v>0</v>
      </c>
      <c r="E142" s="422">
        <v>0</v>
      </c>
      <c r="F142" s="422">
        <v>100000</v>
      </c>
    </row>
    <row r="143" spans="1:6" ht="15" hidden="1" customHeight="1" x14ac:dyDescent="0.25">
      <c r="A143" s="418" t="s">
        <v>847</v>
      </c>
      <c r="B143" s="419" t="s">
        <v>848</v>
      </c>
      <c r="C143" s="422">
        <v>247640</v>
      </c>
      <c r="D143" s="422">
        <v>0</v>
      </c>
      <c r="E143" s="422">
        <v>0</v>
      </c>
      <c r="F143" s="422">
        <v>247640</v>
      </c>
    </row>
    <row r="144" spans="1:6" ht="15" hidden="1" customHeight="1" x14ac:dyDescent="0.25">
      <c r="A144" s="418" t="s">
        <v>849</v>
      </c>
      <c r="B144" s="419" t="s">
        <v>850</v>
      </c>
      <c r="C144" s="417">
        <v>122901</v>
      </c>
      <c r="D144" s="417">
        <v>0</v>
      </c>
      <c r="E144" s="417">
        <v>0</v>
      </c>
      <c r="F144" s="417">
        <v>122901</v>
      </c>
    </row>
    <row r="145" spans="1:6" ht="15" hidden="1" customHeight="1" x14ac:dyDescent="0.25">
      <c r="A145" s="418" t="s">
        <v>851</v>
      </c>
      <c r="B145" s="419" t="s">
        <v>852</v>
      </c>
      <c r="C145" s="420">
        <v>50000</v>
      </c>
      <c r="D145" s="420">
        <v>0</v>
      </c>
      <c r="E145" s="420">
        <v>0</v>
      </c>
      <c r="F145" s="420">
        <v>50000</v>
      </c>
    </row>
    <row r="146" spans="1:6" ht="15" hidden="1" customHeight="1" x14ac:dyDescent="0.25">
      <c r="A146" s="418" t="s">
        <v>853</v>
      </c>
      <c r="B146" s="419" t="s">
        <v>854</v>
      </c>
      <c r="C146" s="420">
        <v>13500000</v>
      </c>
      <c r="D146" s="420">
        <v>0</v>
      </c>
      <c r="E146" s="420">
        <v>0</v>
      </c>
      <c r="F146" s="420">
        <v>13500000</v>
      </c>
    </row>
    <row r="147" spans="1:6" ht="15" hidden="1" customHeight="1" x14ac:dyDescent="0.25">
      <c r="A147" s="418" t="s">
        <v>855</v>
      </c>
      <c r="B147" s="419" t="s">
        <v>856</v>
      </c>
      <c r="C147" s="420">
        <v>35100</v>
      </c>
      <c r="D147" s="420">
        <v>0</v>
      </c>
      <c r="E147" s="420">
        <v>0</v>
      </c>
      <c r="F147" s="420">
        <v>35100</v>
      </c>
    </row>
    <row r="148" spans="1:6" ht="15" hidden="1" customHeight="1" x14ac:dyDescent="0.25">
      <c r="A148" s="418" t="s">
        <v>857</v>
      </c>
      <c r="B148" s="419" t="s">
        <v>858</v>
      </c>
      <c r="C148" s="420">
        <v>6000</v>
      </c>
      <c r="D148" s="420">
        <v>0</v>
      </c>
      <c r="E148" s="420">
        <v>0</v>
      </c>
      <c r="F148" s="420">
        <v>6000</v>
      </c>
    </row>
    <row r="149" spans="1:6" ht="15" hidden="1" customHeight="1" x14ac:dyDescent="0.25">
      <c r="A149" s="418" t="s">
        <v>859</v>
      </c>
      <c r="B149" s="419" t="s">
        <v>860</v>
      </c>
      <c r="C149" s="420">
        <v>91000</v>
      </c>
      <c r="D149" s="420">
        <v>0</v>
      </c>
      <c r="E149" s="420">
        <v>0</v>
      </c>
      <c r="F149" s="420">
        <v>91000</v>
      </c>
    </row>
    <row r="150" spans="1:6" ht="15" hidden="1" customHeight="1" x14ac:dyDescent="0.25">
      <c r="A150" s="418" t="s">
        <v>861</v>
      </c>
      <c r="B150" s="419" t="s">
        <v>862</v>
      </c>
      <c r="C150" s="420">
        <v>6995220</v>
      </c>
      <c r="D150" s="420">
        <v>287000</v>
      </c>
      <c r="E150" s="420">
        <v>0</v>
      </c>
      <c r="F150" s="420">
        <v>7282220</v>
      </c>
    </row>
    <row r="151" spans="1:6" ht="15" hidden="1" customHeight="1" x14ac:dyDescent="0.25">
      <c r="A151" s="418" t="s">
        <v>863</v>
      </c>
      <c r="B151" s="419" t="s">
        <v>864</v>
      </c>
      <c r="C151" s="420">
        <v>30000</v>
      </c>
      <c r="D151" s="420">
        <v>0</v>
      </c>
      <c r="E151" s="420">
        <v>0</v>
      </c>
      <c r="F151" s="420">
        <v>30000</v>
      </c>
    </row>
    <row r="152" spans="1:6" ht="15" hidden="1" customHeight="1" x14ac:dyDescent="0.25">
      <c r="A152" s="418" t="s">
        <v>865</v>
      </c>
      <c r="B152" s="419" t="s">
        <v>866</v>
      </c>
      <c r="C152" s="420">
        <v>15520</v>
      </c>
      <c r="D152" s="420">
        <v>0</v>
      </c>
      <c r="E152" s="420">
        <v>0</v>
      </c>
      <c r="F152" s="420">
        <v>15520</v>
      </c>
    </row>
    <row r="153" spans="1:6" ht="15" hidden="1" customHeight="1" x14ac:dyDescent="0.25">
      <c r="A153" s="418" t="s">
        <v>867</v>
      </c>
      <c r="B153" s="419" t="s">
        <v>868</v>
      </c>
      <c r="C153" s="420">
        <v>5265000</v>
      </c>
      <c r="D153" s="420">
        <v>0</v>
      </c>
      <c r="E153" s="420">
        <v>0</v>
      </c>
      <c r="F153" s="420">
        <v>5265000</v>
      </c>
    </row>
    <row r="154" spans="1:6" ht="15" hidden="1" customHeight="1" x14ac:dyDescent="0.25">
      <c r="A154" s="418" t="s">
        <v>869</v>
      </c>
      <c r="B154" s="419" t="s">
        <v>870</v>
      </c>
      <c r="C154" s="420">
        <v>2906185</v>
      </c>
      <c r="D154" s="420">
        <v>0</v>
      </c>
      <c r="E154" s="420">
        <v>0</v>
      </c>
      <c r="F154" s="420">
        <v>2906185</v>
      </c>
    </row>
    <row r="155" spans="1:6" ht="15" hidden="1" customHeight="1" x14ac:dyDescent="0.25">
      <c r="A155" s="418" t="s">
        <v>871</v>
      </c>
      <c r="B155" s="419" t="s">
        <v>872</v>
      </c>
      <c r="C155" s="420">
        <v>3630000</v>
      </c>
      <c r="D155" s="420">
        <v>0</v>
      </c>
      <c r="E155" s="420">
        <v>0</v>
      </c>
      <c r="F155" s="420">
        <v>3630000</v>
      </c>
    </row>
    <row r="156" spans="1:6" ht="15" hidden="1" customHeight="1" x14ac:dyDescent="0.25">
      <c r="A156" s="418" t="s">
        <v>873</v>
      </c>
      <c r="B156" s="419" t="s">
        <v>874</v>
      </c>
      <c r="C156" s="420">
        <v>4899</v>
      </c>
      <c r="D156" s="420">
        <v>0</v>
      </c>
      <c r="E156" s="420">
        <v>0</v>
      </c>
      <c r="F156" s="420">
        <v>4899</v>
      </c>
    </row>
    <row r="157" spans="1:6" ht="15" hidden="1" customHeight="1" x14ac:dyDescent="0.25">
      <c r="A157" s="418" t="s">
        <v>875</v>
      </c>
      <c r="B157" s="419" t="s">
        <v>876</v>
      </c>
      <c r="C157" s="421">
        <v>103904.77</v>
      </c>
      <c r="D157" s="421">
        <v>59331</v>
      </c>
      <c r="E157" s="421">
        <v>0</v>
      </c>
      <c r="F157" s="421">
        <v>163235.76999999999</v>
      </c>
    </row>
    <row r="158" spans="1:6" ht="15" hidden="1" customHeight="1" x14ac:dyDescent="0.25">
      <c r="A158" s="418" t="s">
        <v>877</v>
      </c>
      <c r="B158" s="419" t="s">
        <v>878</v>
      </c>
      <c r="C158" s="422">
        <v>94081.8</v>
      </c>
      <c r="D158" s="422">
        <v>0</v>
      </c>
      <c r="E158" s="422">
        <v>0</v>
      </c>
      <c r="F158" s="422">
        <v>94081.8</v>
      </c>
    </row>
    <row r="159" spans="1:6" ht="15" hidden="1" customHeight="1" x14ac:dyDescent="0.25">
      <c r="A159" s="418" t="s">
        <v>879</v>
      </c>
      <c r="B159" s="419" t="s">
        <v>880</v>
      </c>
      <c r="C159" s="422">
        <v>121700</v>
      </c>
      <c r="D159" s="422">
        <v>0</v>
      </c>
      <c r="E159" s="422">
        <v>0</v>
      </c>
      <c r="F159" s="422">
        <v>121700</v>
      </c>
    </row>
    <row r="160" spans="1:6" ht="15" hidden="1" customHeight="1" x14ac:dyDescent="0.25">
      <c r="A160" s="418" t="s">
        <v>881</v>
      </c>
      <c r="B160" s="419" t="s">
        <v>882</v>
      </c>
      <c r="C160" s="422">
        <v>10994.03</v>
      </c>
      <c r="D160" s="422">
        <v>0</v>
      </c>
      <c r="E160" s="422">
        <v>0</v>
      </c>
      <c r="F160" s="422">
        <v>10994.03</v>
      </c>
    </row>
    <row r="161" spans="1:6" ht="15" hidden="1" customHeight="1" x14ac:dyDescent="0.25">
      <c r="A161" s="418" t="s">
        <v>883</v>
      </c>
      <c r="B161" s="419" t="s">
        <v>884</v>
      </c>
      <c r="C161" s="417">
        <v>254716.38</v>
      </c>
      <c r="D161" s="417">
        <v>0</v>
      </c>
      <c r="E161" s="417">
        <v>0</v>
      </c>
      <c r="F161" s="417">
        <v>254716.38</v>
      </c>
    </row>
    <row r="162" spans="1:6" ht="15" hidden="1" customHeight="1" x14ac:dyDescent="0.25">
      <c r="A162" s="418" t="s">
        <v>885</v>
      </c>
      <c r="B162" s="419" t="s">
        <v>886</v>
      </c>
      <c r="C162" s="421">
        <v>226943.8</v>
      </c>
      <c r="D162" s="421">
        <v>0</v>
      </c>
      <c r="E162" s="421">
        <v>0</v>
      </c>
      <c r="F162" s="421">
        <v>226943.8</v>
      </c>
    </row>
    <row r="163" spans="1:6" ht="15" hidden="1" customHeight="1" x14ac:dyDescent="0.25">
      <c r="A163" s="418" t="s">
        <v>887</v>
      </c>
      <c r="B163" s="419" t="s">
        <v>888</v>
      </c>
      <c r="C163" s="422">
        <v>88296.72</v>
      </c>
      <c r="D163" s="422">
        <v>0</v>
      </c>
      <c r="E163" s="422">
        <v>0</v>
      </c>
      <c r="F163" s="422">
        <v>88296.72</v>
      </c>
    </row>
    <row r="164" spans="1:6" ht="15" hidden="1" customHeight="1" x14ac:dyDescent="0.25">
      <c r="A164" s="418" t="s">
        <v>889</v>
      </c>
      <c r="B164" s="419" t="s">
        <v>890</v>
      </c>
      <c r="C164" s="422">
        <v>197235.77</v>
      </c>
      <c r="D164" s="422">
        <v>0</v>
      </c>
      <c r="E164" s="422">
        <v>0</v>
      </c>
      <c r="F164" s="422">
        <v>197235.77</v>
      </c>
    </row>
    <row r="165" spans="1:6" ht="15" hidden="1" customHeight="1" x14ac:dyDescent="0.25">
      <c r="A165" s="418" t="s">
        <v>891</v>
      </c>
      <c r="B165" s="419" t="s">
        <v>892</v>
      </c>
      <c r="C165" s="422">
        <v>87455.63</v>
      </c>
      <c r="D165" s="422">
        <v>0</v>
      </c>
      <c r="E165" s="422">
        <v>0</v>
      </c>
      <c r="F165" s="422">
        <v>87455.63</v>
      </c>
    </row>
    <row r="166" spans="1:6" ht="15" hidden="1" customHeight="1" x14ac:dyDescent="0.25">
      <c r="A166" s="418" t="s">
        <v>893</v>
      </c>
      <c r="B166" s="419" t="s">
        <v>894</v>
      </c>
      <c r="C166" s="422">
        <v>28880.05</v>
      </c>
      <c r="D166" s="422">
        <v>0</v>
      </c>
      <c r="E166" s="422">
        <v>0</v>
      </c>
      <c r="F166" s="422">
        <v>28880.05</v>
      </c>
    </row>
    <row r="167" spans="1:6" ht="15" hidden="1" customHeight="1" x14ac:dyDescent="0.25">
      <c r="A167" s="418" t="s">
        <v>895</v>
      </c>
      <c r="B167" s="419" t="s">
        <v>896</v>
      </c>
      <c r="C167" s="417">
        <v>358700.54</v>
      </c>
      <c r="D167" s="417">
        <v>0</v>
      </c>
      <c r="E167" s="417">
        <v>0</v>
      </c>
      <c r="F167" s="417">
        <v>358700.54</v>
      </c>
    </row>
    <row r="168" spans="1:6" ht="15" hidden="1" customHeight="1" x14ac:dyDescent="0.25">
      <c r="A168" s="418" t="s">
        <v>897</v>
      </c>
      <c r="B168" s="419" t="s">
        <v>898</v>
      </c>
      <c r="C168" s="421">
        <v>423331.71</v>
      </c>
      <c r="D168" s="421">
        <v>40800.5</v>
      </c>
      <c r="E168" s="421">
        <v>0</v>
      </c>
      <c r="F168" s="421">
        <v>464132.21</v>
      </c>
    </row>
    <row r="169" spans="1:6" ht="15" hidden="1" customHeight="1" x14ac:dyDescent="0.25">
      <c r="A169" s="418" t="s">
        <v>899</v>
      </c>
      <c r="B169" s="419" t="s">
        <v>900</v>
      </c>
      <c r="C169" s="422">
        <v>244714</v>
      </c>
      <c r="D169" s="422">
        <v>0</v>
      </c>
      <c r="E169" s="422">
        <v>0</v>
      </c>
      <c r="F169" s="422">
        <v>244714</v>
      </c>
    </row>
    <row r="170" spans="1:6" ht="15" hidden="1" customHeight="1" x14ac:dyDescent="0.25">
      <c r="A170" s="418" t="s">
        <v>901</v>
      </c>
      <c r="B170" s="419" t="s">
        <v>902</v>
      </c>
      <c r="C170" s="422">
        <v>905440</v>
      </c>
      <c r="D170" s="422">
        <v>0</v>
      </c>
      <c r="E170" s="422">
        <v>0</v>
      </c>
      <c r="F170" s="422">
        <v>905440</v>
      </c>
    </row>
    <row r="171" spans="1:6" ht="15" hidden="1" customHeight="1" x14ac:dyDescent="0.25">
      <c r="A171" s="418" t="s">
        <v>903</v>
      </c>
      <c r="B171" s="419" t="s">
        <v>904</v>
      </c>
      <c r="C171" s="422">
        <v>26322</v>
      </c>
      <c r="D171" s="422">
        <v>0</v>
      </c>
      <c r="E171" s="422">
        <v>0</v>
      </c>
      <c r="F171" s="422">
        <v>26322</v>
      </c>
    </row>
    <row r="172" spans="1:6" ht="15" hidden="1" customHeight="1" x14ac:dyDescent="0.25">
      <c r="A172" s="418" t="s">
        <v>905</v>
      </c>
      <c r="B172" s="419" t="s">
        <v>906</v>
      </c>
      <c r="C172" s="422">
        <v>15701</v>
      </c>
      <c r="D172" s="422">
        <v>0</v>
      </c>
      <c r="E172" s="422">
        <v>0</v>
      </c>
      <c r="F172" s="422">
        <v>15701</v>
      </c>
    </row>
    <row r="173" spans="1:6" ht="15" hidden="1" customHeight="1" x14ac:dyDescent="0.25">
      <c r="A173" s="418" t="s">
        <v>907</v>
      </c>
      <c r="B173" s="419" t="s">
        <v>908</v>
      </c>
      <c r="C173" s="417">
        <v>43062</v>
      </c>
      <c r="D173" s="417">
        <v>0</v>
      </c>
      <c r="E173" s="417">
        <v>0</v>
      </c>
      <c r="F173" s="417">
        <v>43062</v>
      </c>
    </row>
    <row r="174" spans="1:6" ht="15" hidden="1" customHeight="1" x14ac:dyDescent="0.25">
      <c r="A174" s="418" t="s">
        <v>909</v>
      </c>
      <c r="B174" s="419" t="s">
        <v>910</v>
      </c>
      <c r="C174" s="420">
        <v>48444</v>
      </c>
      <c r="D174" s="420">
        <v>0</v>
      </c>
      <c r="E174" s="420">
        <v>0</v>
      </c>
      <c r="F174" s="420">
        <v>48444</v>
      </c>
    </row>
    <row r="175" spans="1:6" ht="15" hidden="1" customHeight="1" x14ac:dyDescent="0.25">
      <c r="A175" s="418" t="s">
        <v>911</v>
      </c>
      <c r="B175" s="419" t="s">
        <v>912</v>
      </c>
      <c r="C175" s="420">
        <v>279</v>
      </c>
      <c r="D175" s="420">
        <v>0</v>
      </c>
      <c r="E175" s="420">
        <v>0</v>
      </c>
      <c r="F175" s="420">
        <v>279</v>
      </c>
    </row>
    <row r="176" spans="1:6" ht="15" hidden="1" customHeight="1" x14ac:dyDescent="0.25">
      <c r="A176" s="418" t="s">
        <v>913</v>
      </c>
      <c r="B176" s="419" t="s">
        <v>914</v>
      </c>
      <c r="C176" s="420">
        <v>100249.7</v>
      </c>
      <c r="D176" s="420">
        <v>0</v>
      </c>
      <c r="E176" s="420">
        <v>0</v>
      </c>
      <c r="F176" s="420">
        <v>100249.7</v>
      </c>
    </row>
    <row r="177" spans="1:6" ht="15" hidden="1" customHeight="1" x14ac:dyDescent="0.25">
      <c r="A177" s="418" t="s">
        <v>915</v>
      </c>
      <c r="B177" s="419" t="s">
        <v>916</v>
      </c>
      <c r="C177" s="420">
        <v>0</v>
      </c>
      <c r="D177" s="420">
        <v>3814239.5</v>
      </c>
      <c r="E177" s="420">
        <v>0</v>
      </c>
      <c r="F177" s="420">
        <v>3814239.5</v>
      </c>
    </row>
    <row r="178" spans="1:6" ht="15" hidden="1" customHeight="1" x14ac:dyDescent="0.25">
      <c r="A178" s="418" t="s">
        <v>917</v>
      </c>
      <c r="B178" s="419" t="s">
        <v>918</v>
      </c>
      <c r="C178" s="420">
        <v>0</v>
      </c>
      <c r="D178" s="420">
        <v>3806139.5</v>
      </c>
      <c r="E178" s="420">
        <v>0</v>
      </c>
      <c r="F178" s="420">
        <v>3806139.5</v>
      </c>
    </row>
    <row r="179" spans="1:6" ht="15" hidden="1" customHeight="1" x14ac:dyDescent="0.25">
      <c r="A179" s="418" t="s">
        <v>919</v>
      </c>
      <c r="B179" s="419" t="s">
        <v>920</v>
      </c>
      <c r="C179" s="420">
        <v>0</v>
      </c>
      <c r="D179" s="420">
        <v>258526</v>
      </c>
      <c r="E179" s="420">
        <v>0</v>
      </c>
      <c r="F179" s="420">
        <v>258526</v>
      </c>
    </row>
    <row r="180" spans="1:6" ht="15" hidden="1" customHeight="1" x14ac:dyDescent="0.25">
      <c r="A180" s="418" t="s">
        <v>921</v>
      </c>
      <c r="B180" s="419" t="s">
        <v>922</v>
      </c>
      <c r="C180" s="420">
        <v>3600</v>
      </c>
      <c r="D180" s="420">
        <v>0</v>
      </c>
      <c r="E180" s="420">
        <v>0</v>
      </c>
      <c r="F180" s="420">
        <v>3600</v>
      </c>
    </row>
    <row r="181" spans="1:6" ht="15" hidden="1" customHeight="1" x14ac:dyDescent="0.25">
      <c r="A181" s="418" t="s">
        <v>923</v>
      </c>
      <c r="B181" s="419" t="s">
        <v>924</v>
      </c>
      <c r="C181" s="420">
        <v>3600</v>
      </c>
      <c r="D181" s="420">
        <v>0</v>
      </c>
      <c r="E181" s="420">
        <v>0</v>
      </c>
      <c r="F181" s="420">
        <v>3600</v>
      </c>
    </row>
    <row r="182" spans="1:6" ht="15" hidden="1" customHeight="1" x14ac:dyDescent="0.25">
      <c r="A182" s="418" t="s">
        <v>925</v>
      </c>
      <c r="B182" s="419" t="s">
        <v>926</v>
      </c>
      <c r="C182" s="420">
        <v>0</v>
      </c>
      <c r="D182" s="420">
        <v>0</v>
      </c>
      <c r="E182" s="420">
        <v>0</v>
      </c>
      <c r="F182" s="420">
        <v>0</v>
      </c>
    </row>
    <row r="183" spans="1:6" ht="15" hidden="1" customHeight="1" x14ac:dyDescent="0.25">
      <c r="A183" s="418" t="s">
        <v>927</v>
      </c>
      <c r="B183" s="419" t="s">
        <v>928</v>
      </c>
      <c r="C183" s="421">
        <v>44241</v>
      </c>
      <c r="D183" s="421">
        <v>0</v>
      </c>
      <c r="E183" s="421">
        <v>0</v>
      </c>
      <c r="F183" s="421">
        <v>44241</v>
      </c>
    </row>
    <row r="184" spans="1:6" ht="15" hidden="1" customHeight="1" x14ac:dyDescent="0.25">
      <c r="A184" s="418" t="s">
        <v>929</v>
      </c>
      <c r="B184" s="419" t="s">
        <v>930</v>
      </c>
      <c r="C184" s="417">
        <v>230877.9</v>
      </c>
      <c r="D184" s="417">
        <v>0</v>
      </c>
      <c r="E184" s="417">
        <v>0</v>
      </c>
      <c r="F184" s="417">
        <v>230877.9</v>
      </c>
    </row>
    <row r="185" spans="1:6" ht="15" hidden="1" customHeight="1" x14ac:dyDescent="0.25">
      <c r="A185" s="418" t="s">
        <v>931</v>
      </c>
      <c r="B185" s="419" t="s">
        <v>932</v>
      </c>
      <c r="C185" s="420">
        <v>25000</v>
      </c>
      <c r="D185" s="420">
        <v>0</v>
      </c>
      <c r="E185" s="420">
        <v>0</v>
      </c>
      <c r="F185" s="420">
        <v>25000</v>
      </c>
    </row>
    <row r="186" spans="1:6" ht="15" hidden="1" customHeight="1" x14ac:dyDescent="0.25">
      <c r="A186" s="418" t="s">
        <v>933</v>
      </c>
      <c r="B186" s="419" t="s">
        <v>934</v>
      </c>
      <c r="C186" s="420">
        <v>30000</v>
      </c>
      <c r="D186" s="420">
        <v>0</v>
      </c>
      <c r="E186" s="420">
        <v>0</v>
      </c>
      <c r="F186" s="420">
        <v>30000</v>
      </c>
    </row>
    <row r="187" spans="1:6" ht="15" hidden="1" customHeight="1" x14ac:dyDescent="0.25">
      <c r="A187" s="418" t="s">
        <v>935</v>
      </c>
      <c r="B187" s="419" t="s">
        <v>936</v>
      </c>
      <c r="C187" s="420">
        <v>186793656.90000001</v>
      </c>
      <c r="D187" s="420">
        <v>0</v>
      </c>
      <c r="E187" s="420">
        <v>12716179</v>
      </c>
      <c r="F187" s="420">
        <v>174077477.90000001</v>
      </c>
    </row>
    <row r="188" spans="1:6" ht="15" hidden="1" customHeight="1" x14ac:dyDescent="0.25">
      <c r="A188" s="418" t="s">
        <v>937</v>
      </c>
      <c r="B188" s="419" t="s">
        <v>938</v>
      </c>
      <c r="C188" s="420">
        <v>407205</v>
      </c>
      <c r="D188" s="420">
        <v>0</v>
      </c>
      <c r="E188" s="420">
        <v>0</v>
      </c>
      <c r="F188" s="420">
        <v>407205</v>
      </c>
    </row>
    <row r="189" spans="1:6" ht="15" hidden="1" customHeight="1" x14ac:dyDescent="0.25">
      <c r="A189" s="418" t="s">
        <v>939</v>
      </c>
      <c r="B189" s="419" t="s">
        <v>940</v>
      </c>
      <c r="C189" s="420">
        <v>6006790</v>
      </c>
      <c r="D189" s="420">
        <v>0</v>
      </c>
      <c r="E189" s="420">
        <v>0</v>
      </c>
      <c r="F189" s="420">
        <v>6006790</v>
      </c>
    </row>
    <row r="190" spans="1:6" ht="15" hidden="1" customHeight="1" x14ac:dyDescent="0.25">
      <c r="A190" s="418" t="s">
        <v>941</v>
      </c>
      <c r="B190" s="419" t="s">
        <v>942</v>
      </c>
      <c r="C190" s="420">
        <v>598950</v>
      </c>
      <c r="D190" s="420">
        <v>0</v>
      </c>
      <c r="E190" s="420">
        <v>0</v>
      </c>
      <c r="F190" s="420">
        <v>598950</v>
      </c>
    </row>
    <row r="191" spans="1:6" ht="15" hidden="1" customHeight="1" x14ac:dyDescent="0.25">
      <c r="A191" s="418" t="s">
        <v>943</v>
      </c>
      <c r="B191" s="419" t="s">
        <v>944</v>
      </c>
      <c r="C191" s="420">
        <v>9740</v>
      </c>
      <c r="D191" s="420">
        <v>0</v>
      </c>
      <c r="E191" s="420">
        <v>0</v>
      </c>
      <c r="F191" s="420">
        <v>9740</v>
      </c>
    </row>
    <row r="192" spans="1:6" ht="15" hidden="1" customHeight="1" x14ac:dyDescent="0.25">
      <c r="A192" s="418" t="s">
        <v>945</v>
      </c>
      <c r="B192" s="419" t="s">
        <v>946</v>
      </c>
      <c r="C192" s="420">
        <v>75000</v>
      </c>
      <c r="D192" s="420">
        <v>0</v>
      </c>
      <c r="E192" s="420">
        <v>0</v>
      </c>
      <c r="F192" s="420">
        <v>75000</v>
      </c>
    </row>
    <row r="193" spans="1:6" ht="15" hidden="1" customHeight="1" x14ac:dyDescent="0.25">
      <c r="A193" s="418" t="s">
        <v>947</v>
      </c>
      <c r="B193" s="419" t="s">
        <v>948</v>
      </c>
      <c r="C193" s="420">
        <v>13554691.880000001</v>
      </c>
      <c r="D193" s="420">
        <v>0</v>
      </c>
      <c r="E193" s="420">
        <v>1813171</v>
      </c>
      <c r="F193" s="420">
        <v>11741520.880000001</v>
      </c>
    </row>
    <row r="194" spans="1:6" ht="15" hidden="1" customHeight="1" x14ac:dyDescent="0.25">
      <c r="A194" s="418" t="s">
        <v>949</v>
      </c>
      <c r="B194" s="419" t="s">
        <v>950</v>
      </c>
      <c r="C194" s="420">
        <v>0</v>
      </c>
      <c r="D194" s="420">
        <v>0</v>
      </c>
      <c r="E194" s="420">
        <v>2517</v>
      </c>
      <c r="F194" s="420">
        <v>-2517</v>
      </c>
    </row>
    <row r="195" spans="1:6" ht="15" hidden="1" customHeight="1" x14ac:dyDescent="0.25">
      <c r="A195" s="418" t="s">
        <v>951</v>
      </c>
      <c r="B195" s="419" t="s">
        <v>952</v>
      </c>
      <c r="C195" s="420">
        <v>0</v>
      </c>
      <c r="D195" s="420">
        <v>0</v>
      </c>
      <c r="E195" s="420">
        <v>2214.4</v>
      </c>
      <c r="F195" s="420">
        <v>-2214.4</v>
      </c>
    </row>
    <row r="196" spans="1:6" ht="15" customHeight="1" x14ac:dyDescent="0.25">
      <c r="A196" s="418" t="s">
        <v>57</v>
      </c>
      <c r="B196" s="419" t="s">
        <v>58</v>
      </c>
      <c r="C196" s="420">
        <v>0</v>
      </c>
      <c r="D196" s="420">
        <v>0</v>
      </c>
      <c r="E196" s="420">
        <v>500</v>
      </c>
      <c r="F196" s="420">
        <v>-500</v>
      </c>
    </row>
    <row r="197" spans="1:6" ht="15" customHeight="1" x14ac:dyDescent="0.25">
      <c r="A197" s="418" t="s">
        <v>307</v>
      </c>
      <c r="B197" s="419" t="s">
        <v>308</v>
      </c>
      <c r="C197" s="420">
        <v>0</v>
      </c>
      <c r="D197" s="420">
        <v>2341</v>
      </c>
      <c r="E197" s="420">
        <v>0</v>
      </c>
      <c r="F197" s="420">
        <v>2341</v>
      </c>
    </row>
    <row r="198" spans="1:6" ht="15" customHeight="1" x14ac:dyDescent="0.25">
      <c r="A198" s="418" t="s">
        <v>59</v>
      </c>
      <c r="B198" s="419" t="s">
        <v>60</v>
      </c>
      <c r="C198" s="420">
        <v>0</v>
      </c>
      <c r="D198" s="420">
        <v>0</v>
      </c>
      <c r="E198" s="420">
        <v>910.66</v>
      </c>
      <c r="F198" s="420">
        <v>-910.66</v>
      </c>
    </row>
    <row r="199" spans="1:6" ht="15" customHeight="1" x14ac:dyDescent="0.25">
      <c r="A199" s="418" t="s">
        <v>61</v>
      </c>
      <c r="B199" s="419" t="s">
        <v>62</v>
      </c>
      <c r="C199" s="420">
        <v>0</v>
      </c>
      <c r="D199" s="420">
        <v>0</v>
      </c>
      <c r="E199" s="420">
        <v>3282371.47</v>
      </c>
      <c r="F199" s="420">
        <v>-3282371.47</v>
      </c>
    </row>
    <row r="200" spans="1:6" ht="15" customHeight="1" x14ac:dyDescent="0.25">
      <c r="A200" s="418" t="s">
        <v>63</v>
      </c>
      <c r="B200" s="419" t="s">
        <v>64</v>
      </c>
      <c r="C200" s="420">
        <v>0</v>
      </c>
      <c r="D200" s="420">
        <v>0</v>
      </c>
      <c r="E200" s="420">
        <v>12472.31</v>
      </c>
      <c r="F200" s="420">
        <v>-12472.31</v>
      </c>
    </row>
    <row r="201" spans="1:6" ht="15" customHeight="1" x14ac:dyDescent="0.25">
      <c r="A201" s="418" t="s">
        <v>65</v>
      </c>
      <c r="B201" s="419" t="s">
        <v>66</v>
      </c>
      <c r="C201" s="420">
        <v>0</v>
      </c>
      <c r="D201" s="420">
        <v>0</v>
      </c>
      <c r="E201" s="420">
        <v>51842274.509999998</v>
      </c>
      <c r="F201" s="420">
        <v>-51842274.509999998</v>
      </c>
    </row>
    <row r="202" spans="1:6" ht="15" customHeight="1" x14ac:dyDescent="0.25">
      <c r="A202" s="418" t="s">
        <v>67</v>
      </c>
      <c r="B202" s="419" t="s">
        <v>68</v>
      </c>
      <c r="C202" s="420">
        <v>0</v>
      </c>
      <c r="D202" s="420">
        <v>0</v>
      </c>
      <c r="E202" s="420">
        <v>9027553.6899999995</v>
      </c>
      <c r="F202" s="420">
        <v>-9027553.6899999995</v>
      </c>
    </row>
    <row r="203" spans="1:6" ht="15" customHeight="1" x14ac:dyDescent="0.25">
      <c r="A203" s="418" t="s">
        <v>69</v>
      </c>
      <c r="B203" s="419" t="s">
        <v>70</v>
      </c>
      <c r="C203" s="420">
        <v>0</v>
      </c>
      <c r="D203" s="420">
        <v>0</v>
      </c>
      <c r="E203" s="420">
        <v>12296155.75</v>
      </c>
      <c r="F203" s="420">
        <v>-12296155.75</v>
      </c>
    </row>
    <row r="204" spans="1:6" ht="15" customHeight="1" x14ac:dyDescent="0.25">
      <c r="A204" s="418" t="s">
        <v>71</v>
      </c>
      <c r="B204" s="419" t="s">
        <v>72</v>
      </c>
      <c r="C204" s="420">
        <v>0</v>
      </c>
      <c r="D204" s="420">
        <v>0</v>
      </c>
      <c r="E204" s="420">
        <v>29004.69</v>
      </c>
      <c r="F204" s="420">
        <v>-29004.69</v>
      </c>
    </row>
    <row r="205" spans="1:6" ht="15" customHeight="1" x14ac:dyDescent="0.25">
      <c r="A205" s="418" t="s">
        <v>73</v>
      </c>
      <c r="B205" s="419" t="s">
        <v>74</v>
      </c>
      <c r="C205" s="420">
        <v>0</v>
      </c>
      <c r="D205" s="420">
        <v>0</v>
      </c>
      <c r="E205" s="420">
        <v>136620.54999999999</v>
      </c>
      <c r="F205" s="420">
        <v>-136620.54999999999</v>
      </c>
    </row>
    <row r="206" spans="1:6" ht="15" customHeight="1" x14ac:dyDescent="0.25">
      <c r="A206" s="418" t="s">
        <v>75</v>
      </c>
      <c r="B206" s="419" t="s">
        <v>76</v>
      </c>
      <c r="C206" s="420">
        <v>0</v>
      </c>
      <c r="D206" s="420">
        <v>0</v>
      </c>
      <c r="E206" s="420">
        <v>247733.88</v>
      </c>
      <c r="F206" s="420">
        <v>-247733.88</v>
      </c>
    </row>
    <row r="207" spans="1:6" ht="15" customHeight="1" x14ac:dyDescent="0.25">
      <c r="A207" s="418" t="s">
        <v>77</v>
      </c>
      <c r="B207" s="419" t="s">
        <v>78</v>
      </c>
      <c r="C207" s="420">
        <v>0</v>
      </c>
      <c r="D207" s="420">
        <v>0</v>
      </c>
      <c r="E207" s="420">
        <v>810359.54</v>
      </c>
      <c r="F207" s="420">
        <v>-810359.54</v>
      </c>
    </row>
    <row r="208" spans="1:6" ht="15" customHeight="1" x14ac:dyDescent="0.25">
      <c r="A208" s="418" t="s">
        <v>79</v>
      </c>
      <c r="B208" s="419" t="s">
        <v>80</v>
      </c>
      <c r="C208" s="420">
        <v>0</v>
      </c>
      <c r="D208" s="420">
        <v>0</v>
      </c>
      <c r="E208" s="420">
        <v>1015894.29</v>
      </c>
      <c r="F208" s="420">
        <v>-1015894.29</v>
      </c>
    </row>
    <row r="209" spans="1:6" ht="15" customHeight="1" x14ac:dyDescent="0.25">
      <c r="A209" s="418" t="s">
        <v>81</v>
      </c>
      <c r="B209" s="419" t="s">
        <v>82</v>
      </c>
      <c r="C209" s="420">
        <v>0</v>
      </c>
      <c r="D209" s="420">
        <v>162958</v>
      </c>
      <c r="E209" s="420">
        <v>0</v>
      </c>
      <c r="F209" s="420">
        <v>162958</v>
      </c>
    </row>
    <row r="210" spans="1:6" ht="15" customHeight="1" x14ac:dyDescent="0.25">
      <c r="A210" s="418" t="s">
        <v>83</v>
      </c>
      <c r="B210" s="419" t="s">
        <v>84</v>
      </c>
      <c r="C210" s="420">
        <v>0</v>
      </c>
      <c r="D210" s="420">
        <v>40900</v>
      </c>
      <c r="E210" s="420">
        <v>0</v>
      </c>
      <c r="F210" s="420">
        <v>40900</v>
      </c>
    </row>
    <row r="211" spans="1:6" ht="15" customHeight="1" x14ac:dyDescent="0.25">
      <c r="A211" s="418" t="s">
        <v>85</v>
      </c>
      <c r="B211" s="419" t="s">
        <v>86</v>
      </c>
      <c r="C211" s="420">
        <v>0</v>
      </c>
      <c r="D211" s="420">
        <v>153034</v>
      </c>
      <c r="E211" s="420">
        <v>0</v>
      </c>
      <c r="F211" s="420">
        <v>153034</v>
      </c>
    </row>
    <row r="212" spans="1:6" ht="15" customHeight="1" x14ac:dyDescent="0.25">
      <c r="A212" s="418" t="s">
        <v>88</v>
      </c>
      <c r="B212" s="419" t="s">
        <v>89</v>
      </c>
      <c r="C212" s="420">
        <v>0</v>
      </c>
      <c r="D212" s="420">
        <v>96780</v>
      </c>
      <c r="E212" s="420">
        <v>0</v>
      </c>
      <c r="F212" s="420">
        <v>96780</v>
      </c>
    </row>
    <row r="213" spans="1:6" ht="15" customHeight="1" x14ac:dyDescent="0.25">
      <c r="A213" s="418" t="s">
        <v>90</v>
      </c>
      <c r="B213" s="419" t="s">
        <v>91</v>
      </c>
      <c r="C213" s="420">
        <v>0</v>
      </c>
      <c r="D213" s="420">
        <v>811540</v>
      </c>
      <c r="E213" s="420">
        <v>0</v>
      </c>
      <c r="F213" s="420">
        <v>811540</v>
      </c>
    </row>
    <row r="214" spans="1:6" ht="15" customHeight="1" x14ac:dyDescent="0.25">
      <c r="A214" s="418" t="s">
        <v>92</v>
      </c>
      <c r="B214" s="419" t="s">
        <v>93</v>
      </c>
      <c r="C214" s="421">
        <v>0</v>
      </c>
      <c r="D214" s="421">
        <v>106626</v>
      </c>
      <c r="E214" s="421">
        <v>0</v>
      </c>
      <c r="F214" s="421">
        <v>106626</v>
      </c>
    </row>
    <row r="215" spans="1:6" ht="15" customHeight="1" x14ac:dyDescent="0.25">
      <c r="A215" s="418" t="s">
        <v>542</v>
      </c>
      <c r="B215" s="419" t="s">
        <v>543</v>
      </c>
      <c r="C215" s="417">
        <v>0</v>
      </c>
      <c r="D215" s="417">
        <v>8852</v>
      </c>
      <c r="E215" s="417">
        <v>0</v>
      </c>
      <c r="F215" s="417">
        <v>8852</v>
      </c>
    </row>
    <row r="216" spans="1:6" ht="15" customHeight="1" x14ac:dyDescent="0.25">
      <c r="A216" s="418" t="s">
        <v>94</v>
      </c>
      <c r="B216" s="419" t="s">
        <v>95</v>
      </c>
      <c r="C216" s="420">
        <v>0</v>
      </c>
      <c r="D216" s="420">
        <v>28643731</v>
      </c>
      <c r="E216" s="420">
        <v>0</v>
      </c>
      <c r="F216" s="420">
        <v>28643731</v>
      </c>
    </row>
    <row r="217" spans="1:6" ht="15" customHeight="1" x14ac:dyDescent="0.25">
      <c r="A217" s="418" t="s">
        <v>96</v>
      </c>
      <c r="B217" s="419" t="s">
        <v>97</v>
      </c>
      <c r="C217" s="420">
        <v>0</v>
      </c>
      <c r="D217" s="420">
        <v>1091329</v>
      </c>
      <c r="E217" s="420">
        <v>0</v>
      </c>
      <c r="F217" s="420">
        <v>1091329</v>
      </c>
    </row>
    <row r="218" spans="1:6" ht="15" customHeight="1" x14ac:dyDescent="0.25">
      <c r="A218" s="418" t="s">
        <v>309</v>
      </c>
      <c r="B218" s="419" t="s">
        <v>310</v>
      </c>
      <c r="C218" s="420">
        <v>0</v>
      </c>
      <c r="D218" s="420">
        <v>4553</v>
      </c>
      <c r="E218" s="420">
        <v>0</v>
      </c>
      <c r="F218" s="420">
        <v>4553</v>
      </c>
    </row>
    <row r="219" spans="1:6" ht="15" customHeight="1" x14ac:dyDescent="0.25">
      <c r="A219" s="418" t="s">
        <v>567</v>
      </c>
      <c r="B219" s="419" t="s">
        <v>568</v>
      </c>
      <c r="C219" s="420">
        <v>0</v>
      </c>
      <c r="D219" s="420">
        <v>2095200</v>
      </c>
      <c r="E219" s="420">
        <v>0</v>
      </c>
      <c r="F219" s="420">
        <v>2095200</v>
      </c>
    </row>
    <row r="220" spans="1:6" ht="15" customHeight="1" x14ac:dyDescent="0.25">
      <c r="A220" s="418" t="s">
        <v>569</v>
      </c>
      <c r="B220" s="419" t="s">
        <v>570</v>
      </c>
      <c r="C220" s="420">
        <v>0</v>
      </c>
      <c r="D220" s="420">
        <v>372415</v>
      </c>
      <c r="E220" s="420">
        <v>0</v>
      </c>
      <c r="F220" s="420">
        <v>372415</v>
      </c>
    </row>
    <row r="221" spans="1:6" ht="15" customHeight="1" x14ac:dyDescent="0.25">
      <c r="A221" s="418" t="s">
        <v>571</v>
      </c>
      <c r="B221" s="419" t="s">
        <v>572</v>
      </c>
      <c r="C221" s="420">
        <v>0</v>
      </c>
      <c r="D221" s="420">
        <v>83894</v>
      </c>
      <c r="E221" s="420">
        <v>0</v>
      </c>
      <c r="F221" s="420">
        <v>83894</v>
      </c>
    </row>
    <row r="222" spans="1:6" ht="15" customHeight="1" x14ac:dyDescent="0.25">
      <c r="A222" s="418" t="s">
        <v>98</v>
      </c>
      <c r="B222" s="419" t="s">
        <v>99</v>
      </c>
      <c r="C222" s="420">
        <v>0</v>
      </c>
      <c r="D222" s="420">
        <v>97553</v>
      </c>
      <c r="E222" s="420">
        <v>0</v>
      </c>
      <c r="F222" s="420">
        <v>97553</v>
      </c>
    </row>
    <row r="223" spans="1:6" ht="15" customHeight="1" x14ac:dyDescent="0.25">
      <c r="A223" s="418" t="s">
        <v>100</v>
      </c>
      <c r="B223" s="419" t="s">
        <v>101</v>
      </c>
      <c r="C223" s="420">
        <v>0</v>
      </c>
      <c r="D223" s="420">
        <v>62787</v>
      </c>
      <c r="E223" s="420">
        <v>0</v>
      </c>
      <c r="F223" s="420">
        <v>62787</v>
      </c>
    </row>
    <row r="224" spans="1:6" ht="15" customHeight="1" x14ac:dyDescent="0.25">
      <c r="A224" s="418" t="s">
        <v>102</v>
      </c>
      <c r="B224" s="419" t="s">
        <v>103</v>
      </c>
      <c r="C224" s="420">
        <v>0</v>
      </c>
      <c r="D224" s="420">
        <v>69781</v>
      </c>
      <c r="E224" s="420">
        <v>0</v>
      </c>
      <c r="F224" s="420">
        <v>69781</v>
      </c>
    </row>
    <row r="225" spans="1:6" ht="15" customHeight="1" x14ac:dyDescent="0.25">
      <c r="A225" s="418" t="s">
        <v>104</v>
      </c>
      <c r="B225" s="419" t="s">
        <v>105</v>
      </c>
      <c r="C225" s="420">
        <v>0</v>
      </c>
      <c r="D225" s="420">
        <v>49519</v>
      </c>
      <c r="E225" s="420">
        <v>0</v>
      </c>
      <c r="F225" s="420">
        <v>49519</v>
      </c>
    </row>
    <row r="226" spans="1:6" ht="15" customHeight="1" x14ac:dyDescent="0.25">
      <c r="A226" s="418" t="s">
        <v>106</v>
      </c>
      <c r="B226" s="419" t="s">
        <v>107</v>
      </c>
      <c r="C226" s="420">
        <v>0</v>
      </c>
      <c r="D226" s="420">
        <v>44797</v>
      </c>
      <c r="E226" s="420">
        <v>0</v>
      </c>
      <c r="F226" s="420">
        <v>44797</v>
      </c>
    </row>
    <row r="227" spans="1:6" ht="15" customHeight="1" x14ac:dyDescent="0.25">
      <c r="A227" s="418" t="s">
        <v>108</v>
      </c>
      <c r="B227" s="419" t="s">
        <v>109</v>
      </c>
      <c r="C227" s="420">
        <v>0</v>
      </c>
      <c r="D227" s="420">
        <v>893</v>
      </c>
      <c r="E227" s="420">
        <v>0</v>
      </c>
      <c r="F227" s="420">
        <v>893</v>
      </c>
    </row>
    <row r="228" spans="1:6" ht="15" customHeight="1" x14ac:dyDescent="0.25">
      <c r="A228" s="418" t="s">
        <v>110</v>
      </c>
      <c r="B228" s="419" t="s">
        <v>111</v>
      </c>
      <c r="C228" s="420">
        <v>0</v>
      </c>
      <c r="D228" s="420">
        <v>9376</v>
      </c>
      <c r="E228" s="420">
        <v>0</v>
      </c>
      <c r="F228" s="420">
        <v>9376</v>
      </c>
    </row>
    <row r="229" spans="1:6" ht="15" customHeight="1" x14ac:dyDescent="0.25">
      <c r="A229" s="418" t="s">
        <v>112</v>
      </c>
      <c r="B229" s="419" t="s">
        <v>113</v>
      </c>
      <c r="C229" s="420">
        <v>0</v>
      </c>
      <c r="D229" s="420">
        <v>36147</v>
      </c>
      <c r="E229" s="420">
        <v>0</v>
      </c>
      <c r="F229" s="420">
        <v>36147</v>
      </c>
    </row>
    <row r="230" spans="1:6" ht="15" customHeight="1" x14ac:dyDescent="0.25">
      <c r="A230" s="418" t="s">
        <v>452</v>
      </c>
      <c r="B230" s="419" t="s">
        <v>453</v>
      </c>
      <c r="C230" s="420">
        <v>0</v>
      </c>
      <c r="D230" s="420">
        <v>147500</v>
      </c>
      <c r="E230" s="420">
        <v>0</v>
      </c>
      <c r="F230" s="420">
        <v>147500</v>
      </c>
    </row>
    <row r="231" spans="1:6" ht="15" customHeight="1" x14ac:dyDescent="0.25">
      <c r="A231" s="418" t="s">
        <v>544</v>
      </c>
      <c r="B231" s="419" t="s">
        <v>545</v>
      </c>
      <c r="C231" s="420">
        <v>0</v>
      </c>
      <c r="D231" s="420">
        <v>133795</v>
      </c>
      <c r="E231" s="420">
        <v>0</v>
      </c>
      <c r="F231" s="420">
        <v>133795</v>
      </c>
    </row>
    <row r="232" spans="1:6" ht="15" customHeight="1" x14ac:dyDescent="0.25">
      <c r="A232" s="418" t="s">
        <v>311</v>
      </c>
      <c r="B232" s="419" t="s">
        <v>312</v>
      </c>
      <c r="C232" s="420">
        <v>0</v>
      </c>
      <c r="D232" s="420">
        <v>1123341</v>
      </c>
      <c r="E232" s="420">
        <v>0</v>
      </c>
      <c r="F232" s="420">
        <v>1123341</v>
      </c>
    </row>
    <row r="233" spans="1:6" ht="15" customHeight="1" x14ac:dyDescent="0.25">
      <c r="A233" s="418" t="s">
        <v>114</v>
      </c>
      <c r="B233" s="419" t="s">
        <v>115</v>
      </c>
      <c r="C233" s="420">
        <v>0</v>
      </c>
      <c r="D233" s="420">
        <v>30000</v>
      </c>
      <c r="E233" s="420">
        <v>0</v>
      </c>
      <c r="F233" s="420">
        <v>30000</v>
      </c>
    </row>
    <row r="234" spans="1:6" ht="15" customHeight="1" x14ac:dyDescent="0.25">
      <c r="A234" s="418" t="s">
        <v>116</v>
      </c>
      <c r="B234" s="419" t="s">
        <v>117</v>
      </c>
      <c r="C234" s="420">
        <v>0</v>
      </c>
      <c r="D234" s="420">
        <v>2300</v>
      </c>
      <c r="E234" s="420">
        <v>0</v>
      </c>
      <c r="F234" s="420">
        <v>2300</v>
      </c>
    </row>
    <row r="235" spans="1:6" ht="15" customHeight="1" x14ac:dyDescent="0.25">
      <c r="A235" s="418" t="s">
        <v>118</v>
      </c>
      <c r="B235" s="419" t="s">
        <v>119</v>
      </c>
      <c r="C235" s="420">
        <v>0</v>
      </c>
      <c r="D235" s="420">
        <v>1704719</v>
      </c>
      <c r="E235" s="420">
        <v>0</v>
      </c>
      <c r="F235" s="420">
        <v>1704719</v>
      </c>
    </row>
    <row r="236" spans="1:6" ht="15" customHeight="1" x14ac:dyDescent="0.25">
      <c r="A236" s="418" t="s">
        <v>120</v>
      </c>
      <c r="B236" s="419" t="s">
        <v>121</v>
      </c>
      <c r="C236" s="420">
        <v>0</v>
      </c>
      <c r="D236" s="420">
        <v>68116</v>
      </c>
      <c r="E236" s="420">
        <v>0</v>
      </c>
      <c r="F236" s="420">
        <v>68116</v>
      </c>
    </row>
    <row r="237" spans="1:6" ht="15" customHeight="1" x14ac:dyDescent="0.25">
      <c r="A237" s="418" t="s">
        <v>122</v>
      </c>
      <c r="B237" s="419" t="s">
        <v>123</v>
      </c>
      <c r="C237" s="420">
        <v>0</v>
      </c>
      <c r="D237" s="420">
        <v>221901.5</v>
      </c>
      <c r="E237" s="420">
        <v>0</v>
      </c>
      <c r="F237" s="420">
        <v>221901.5</v>
      </c>
    </row>
    <row r="238" spans="1:6" ht="15" customHeight="1" x14ac:dyDescent="0.25">
      <c r="A238" s="418" t="s">
        <v>124</v>
      </c>
      <c r="B238" s="419" t="s">
        <v>125</v>
      </c>
      <c r="C238" s="420">
        <v>0</v>
      </c>
      <c r="D238" s="420">
        <v>15725</v>
      </c>
      <c r="E238" s="420">
        <v>0</v>
      </c>
      <c r="F238" s="420">
        <v>15725</v>
      </c>
    </row>
    <row r="239" spans="1:6" ht="15" customHeight="1" x14ac:dyDescent="0.25">
      <c r="A239" s="418" t="s">
        <v>126</v>
      </c>
      <c r="B239" s="419" t="s">
        <v>127</v>
      </c>
      <c r="C239" s="420">
        <v>0</v>
      </c>
      <c r="D239" s="420">
        <v>21600</v>
      </c>
      <c r="E239" s="420">
        <v>0</v>
      </c>
      <c r="F239" s="420">
        <v>21600</v>
      </c>
    </row>
    <row r="240" spans="1:6" ht="15" customHeight="1" x14ac:dyDescent="0.25">
      <c r="A240" s="418" t="s">
        <v>128</v>
      </c>
      <c r="B240" s="419" t="s">
        <v>129</v>
      </c>
      <c r="C240" s="420">
        <v>0</v>
      </c>
      <c r="D240" s="420">
        <v>786259</v>
      </c>
      <c r="E240" s="420">
        <v>0</v>
      </c>
      <c r="F240" s="420">
        <v>786259</v>
      </c>
    </row>
    <row r="241" spans="1:6" ht="15" customHeight="1" x14ac:dyDescent="0.25">
      <c r="A241" s="418" t="s">
        <v>130</v>
      </c>
      <c r="B241" s="419" t="s">
        <v>131</v>
      </c>
      <c r="C241" s="420">
        <v>0</v>
      </c>
      <c r="D241" s="420">
        <v>30415</v>
      </c>
      <c r="E241" s="420">
        <v>0</v>
      </c>
      <c r="F241" s="420">
        <v>30415</v>
      </c>
    </row>
    <row r="242" spans="1:6" ht="15" customHeight="1" x14ac:dyDescent="0.25">
      <c r="A242" s="418" t="s">
        <v>132</v>
      </c>
      <c r="B242" s="419" t="s">
        <v>133</v>
      </c>
      <c r="C242" s="420">
        <v>0</v>
      </c>
      <c r="D242" s="420">
        <v>666031</v>
      </c>
      <c r="E242" s="420">
        <v>0</v>
      </c>
      <c r="F242" s="420">
        <v>666031</v>
      </c>
    </row>
    <row r="243" spans="1:6" ht="15" customHeight="1" x14ac:dyDescent="0.25">
      <c r="A243" s="418" t="s">
        <v>134</v>
      </c>
      <c r="B243" s="419" t="s">
        <v>135</v>
      </c>
      <c r="C243" s="420">
        <v>0</v>
      </c>
      <c r="D243" s="420">
        <v>11721</v>
      </c>
      <c r="E243" s="420">
        <v>0</v>
      </c>
      <c r="F243" s="420">
        <v>11721</v>
      </c>
    </row>
    <row r="244" spans="1:6" ht="15" customHeight="1" x14ac:dyDescent="0.25">
      <c r="A244" s="418" t="s">
        <v>136</v>
      </c>
      <c r="B244" s="419" t="s">
        <v>137</v>
      </c>
      <c r="C244" s="420">
        <v>0</v>
      </c>
      <c r="D244" s="420">
        <v>1110</v>
      </c>
      <c r="E244" s="420">
        <v>0</v>
      </c>
      <c r="F244" s="420">
        <v>1110</v>
      </c>
    </row>
    <row r="245" spans="1:6" ht="15" customHeight="1" x14ac:dyDescent="0.25">
      <c r="A245" s="418" t="s">
        <v>138</v>
      </c>
      <c r="B245" s="419" t="s">
        <v>139</v>
      </c>
      <c r="C245" s="420">
        <v>0</v>
      </c>
      <c r="D245" s="420">
        <v>915500</v>
      </c>
      <c r="E245" s="420">
        <v>0</v>
      </c>
      <c r="F245" s="420">
        <v>915500</v>
      </c>
    </row>
    <row r="246" spans="1:6" ht="15" customHeight="1" x14ac:dyDescent="0.25">
      <c r="A246" s="418" t="s">
        <v>140</v>
      </c>
      <c r="B246" s="419" t="s">
        <v>141</v>
      </c>
      <c r="C246" s="420">
        <v>0</v>
      </c>
      <c r="D246" s="420">
        <v>3133065</v>
      </c>
      <c r="E246" s="420">
        <v>0</v>
      </c>
      <c r="F246" s="420">
        <v>3133065</v>
      </c>
    </row>
    <row r="247" spans="1:6" ht="15" customHeight="1" x14ac:dyDescent="0.25">
      <c r="A247" s="418" t="s">
        <v>142</v>
      </c>
      <c r="B247" s="419" t="s">
        <v>143</v>
      </c>
      <c r="C247" s="420">
        <v>0</v>
      </c>
      <c r="D247" s="420">
        <v>928427</v>
      </c>
      <c r="E247" s="420">
        <v>0</v>
      </c>
      <c r="F247" s="420">
        <v>928427</v>
      </c>
    </row>
    <row r="248" spans="1:6" ht="15" customHeight="1" x14ac:dyDescent="0.25">
      <c r="A248" s="418" t="s">
        <v>144</v>
      </c>
      <c r="B248" s="419" t="s">
        <v>145</v>
      </c>
      <c r="C248" s="420">
        <v>0</v>
      </c>
      <c r="D248" s="420">
        <v>823507</v>
      </c>
      <c r="E248" s="420">
        <v>0</v>
      </c>
      <c r="F248" s="420">
        <v>823507</v>
      </c>
    </row>
    <row r="249" spans="1:6" ht="15" customHeight="1" x14ac:dyDescent="0.25">
      <c r="A249" s="418" t="s">
        <v>146</v>
      </c>
      <c r="B249" s="419" t="s">
        <v>147</v>
      </c>
      <c r="C249" s="420">
        <v>0</v>
      </c>
      <c r="D249" s="420">
        <v>1967323</v>
      </c>
      <c r="E249" s="420">
        <v>0</v>
      </c>
      <c r="F249" s="420">
        <v>1967323</v>
      </c>
    </row>
    <row r="250" spans="1:6" ht="15" customHeight="1" x14ac:dyDescent="0.25">
      <c r="A250" s="418" t="s">
        <v>148</v>
      </c>
      <c r="B250" s="419" t="s">
        <v>149</v>
      </c>
      <c r="C250" s="420">
        <v>0</v>
      </c>
      <c r="D250" s="420">
        <v>0</v>
      </c>
      <c r="E250" s="420">
        <v>74125</v>
      </c>
      <c r="F250" s="420">
        <v>-74125</v>
      </c>
    </row>
    <row r="251" spans="1:6" ht="15" customHeight="1" x14ac:dyDescent="0.25">
      <c r="A251" s="418" t="s">
        <v>546</v>
      </c>
      <c r="B251" s="419" t="s">
        <v>547</v>
      </c>
      <c r="C251" s="420">
        <v>0</v>
      </c>
      <c r="D251" s="420">
        <v>0</v>
      </c>
      <c r="E251" s="420">
        <v>21056</v>
      </c>
      <c r="F251" s="420">
        <v>-21056</v>
      </c>
    </row>
    <row r="252" spans="1:6" ht="15" customHeight="1" x14ac:dyDescent="0.25">
      <c r="A252" s="418" t="s">
        <v>150</v>
      </c>
      <c r="B252" s="419" t="s">
        <v>87</v>
      </c>
      <c r="C252" s="420">
        <v>0</v>
      </c>
      <c r="D252" s="420">
        <v>0</v>
      </c>
      <c r="E252" s="420">
        <v>419869</v>
      </c>
      <c r="F252" s="420">
        <v>-419869</v>
      </c>
    </row>
    <row r="253" spans="1:6" ht="15" customHeight="1" x14ac:dyDescent="0.25">
      <c r="A253" s="418" t="s">
        <v>151</v>
      </c>
      <c r="B253" s="419" t="s">
        <v>152</v>
      </c>
      <c r="C253" s="420">
        <v>0</v>
      </c>
      <c r="D253" s="420">
        <v>6333</v>
      </c>
      <c r="E253" s="420">
        <v>0</v>
      </c>
      <c r="F253" s="420">
        <v>6333</v>
      </c>
    </row>
    <row r="254" spans="1:6" ht="15" customHeight="1" x14ac:dyDescent="0.25">
      <c r="A254" s="418" t="s">
        <v>153</v>
      </c>
      <c r="B254" s="419" t="s">
        <v>154</v>
      </c>
      <c r="C254" s="420">
        <v>0</v>
      </c>
      <c r="D254" s="420">
        <v>65641</v>
      </c>
      <c r="E254" s="420">
        <v>0</v>
      </c>
      <c r="F254" s="420">
        <v>65641</v>
      </c>
    </row>
    <row r="255" spans="1:6" ht="15" customHeight="1" x14ac:dyDescent="0.25">
      <c r="A255" s="418" t="s">
        <v>155</v>
      </c>
      <c r="B255" s="419" t="s">
        <v>156</v>
      </c>
      <c r="C255" s="420">
        <v>0</v>
      </c>
      <c r="D255" s="420">
        <v>26555</v>
      </c>
      <c r="E255" s="420">
        <v>0</v>
      </c>
      <c r="F255" s="420">
        <v>26555</v>
      </c>
    </row>
    <row r="256" spans="1:6" ht="15" customHeight="1" x14ac:dyDescent="0.25">
      <c r="A256" s="418" t="s">
        <v>157</v>
      </c>
      <c r="B256" s="419" t="s">
        <v>158</v>
      </c>
      <c r="C256" s="420">
        <v>0</v>
      </c>
      <c r="D256" s="420">
        <v>558951</v>
      </c>
      <c r="E256" s="420">
        <v>0</v>
      </c>
      <c r="F256" s="420">
        <v>558951</v>
      </c>
    </row>
    <row r="257" spans="1:6" ht="15" customHeight="1" x14ac:dyDescent="0.25">
      <c r="A257" s="418" t="s">
        <v>159</v>
      </c>
      <c r="B257" s="419" t="s">
        <v>160</v>
      </c>
      <c r="C257" s="420">
        <v>0</v>
      </c>
      <c r="D257" s="420">
        <v>163367</v>
      </c>
      <c r="E257" s="420">
        <v>0</v>
      </c>
      <c r="F257" s="420">
        <v>163367</v>
      </c>
    </row>
    <row r="258" spans="1:6" ht="15" customHeight="1" x14ac:dyDescent="0.25">
      <c r="A258" s="418" t="s">
        <v>548</v>
      </c>
      <c r="B258" s="419" t="s">
        <v>549</v>
      </c>
      <c r="C258" s="420">
        <v>0</v>
      </c>
      <c r="D258" s="420">
        <v>1048378</v>
      </c>
      <c r="E258" s="420">
        <v>0</v>
      </c>
      <c r="F258" s="420">
        <v>1048378</v>
      </c>
    </row>
    <row r="259" spans="1:6" ht="15" customHeight="1" x14ac:dyDescent="0.25">
      <c r="A259" s="418" t="s">
        <v>484</v>
      </c>
      <c r="B259" s="419" t="s">
        <v>485</v>
      </c>
      <c r="C259" s="420">
        <v>0</v>
      </c>
      <c r="D259" s="420">
        <v>377491</v>
      </c>
      <c r="E259" s="420">
        <v>0</v>
      </c>
      <c r="F259" s="420">
        <v>377491</v>
      </c>
    </row>
    <row r="260" spans="1:6" ht="15" customHeight="1" x14ac:dyDescent="0.25">
      <c r="A260" s="418" t="s">
        <v>161</v>
      </c>
      <c r="B260" s="419" t="s">
        <v>162</v>
      </c>
      <c r="C260" s="420">
        <v>0</v>
      </c>
      <c r="D260" s="420">
        <v>259066</v>
      </c>
      <c r="E260" s="420">
        <v>0</v>
      </c>
      <c r="F260" s="420">
        <v>259066</v>
      </c>
    </row>
    <row r="261" spans="1:6" ht="15" customHeight="1" x14ac:dyDescent="0.25">
      <c r="A261" s="418" t="s">
        <v>163</v>
      </c>
      <c r="B261" s="419" t="s">
        <v>164</v>
      </c>
      <c r="C261" s="420">
        <v>0</v>
      </c>
      <c r="D261" s="420">
        <v>122219</v>
      </c>
      <c r="E261" s="420">
        <v>0</v>
      </c>
      <c r="F261" s="420">
        <v>122219</v>
      </c>
    </row>
    <row r="262" spans="1:6" ht="15" customHeight="1" x14ac:dyDescent="0.25">
      <c r="A262" s="418" t="s">
        <v>165</v>
      </c>
      <c r="B262" s="419" t="s">
        <v>166</v>
      </c>
      <c r="C262" s="420">
        <v>0</v>
      </c>
      <c r="D262" s="420">
        <v>1635842</v>
      </c>
      <c r="E262" s="420">
        <v>0</v>
      </c>
      <c r="F262" s="420">
        <v>1635842</v>
      </c>
    </row>
    <row r="263" spans="1:6" ht="15" customHeight="1" x14ac:dyDescent="0.25">
      <c r="A263" s="418" t="s">
        <v>167</v>
      </c>
      <c r="B263" s="419" t="s">
        <v>168</v>
      </c>
      <c r="C263" s="420">
        <v>0</v>
      </c>
      <c r="D263" s="420">
        <v>117207</v>
      </c>
      <c r="E263" s="420">
        <v>0</v>
      </c>
      <c r="F263" s="420">
        <v>117207</v>
      </c>
    </row>
    <row r="264" spans="1:6" ht="15" customHeight="1" x14ac:dyDescent="0.25">
      <c r="A264" s="418" t="s">
        <v>169</v>
      </c>
      <c r="B264" s="419" t="s">
        <v>170</v>
      </c>
      <c r="C264" s="420">
        <v>0</v>
      </c>
      <c r="D264" s="420">
        <v>1255984</v>
      </c>
      <c r="E264" s="420">
        <v>0</v>
      </c>
      <c r="F264" s="420">
        <v>1255984</v>
      </c>
    </row>
    <row r="265" spans="1:6" ht="15" customHeight="1" x14ac:dyDescent="0.25">
      <c r="A265" s="418" t="s">
        <v>171</v>
      </c>
      <c r="B265" s="419" t="s">
        <v>172</v>
      </c>
      <c r="C265" s="420">
        <v>0</v>
      </c>
      <c r="D265" s="420">
        <v>276005</v>
      </c>
      <c r="E265" s="420">
        <v>0</v>
      </c>
      <c r="F265" s="420">
        <v>276005</v>
      </c>
    </row>
    <row r="266" spans="1:6" ht="15" customHeight="1" x14ac:dyDescent="0.25">
      <c r="A266" s="418" t="s">
        <v>173</v>
      </c>
      <c r="B266" s="419" t="s">
        <v>174</v>
      </c>
      <c r="C266" s="420">
        <v>0</v>
      </c>
      <c r="D266" s="420">
        <v>16903</v>
      </c>
      <c r="E266" s="420">
        <v>0</v>
      </c>
      <c r="F266" s="420">
        <v>16903</v>
      </c>
    </row>
    <row r="267" spans="1:6" ht="15" customHeight="1" x14ac:dyDescent="0.25">
      <c r="A267" s="418" t="s">
        <v>175</v>
      </c>
      <c r="B267" s="419" t="s">
        <v>176</v>
      </c>
      <c r="C267" s="420">
        <v>0</v>
      </c>
      <c r="D267" s="420">
        <v>12000</v>
      </c>
      <c r="E267" s="420">
        <v>0</v>
      </c>
      <c r="F267" s="420">
        <v>12000</v>
      </c>
    </row>
    <row r="268" spans="1:6" ht="15" customHeight="1" x14ac:dyDescent="0.25">
      <c r="A268" s="418" t="s">
        <v>177</v>
      </c>
      <c r="B268" s="419" t="s">
        <v>178</v>
      </c>
      <c r="C268" s="420">
        <v>0</v>
      </c>
      <c r="D268" s="420">
        <v>16390</v>
      </c>
      <c r="E268" s="420">
        <v>0</v>
      </c>
      <c r="F268" s="420">
        <v>16390</v>
      </c>
    </row>
    <row r="269" spans="1:6" ht="15" customHeight="1" x14ac:dyDescent="0.25">
      <c r="A269" s="418" t="s">
        <v>179</v>
      </c>
      <c r="B269" s="419" t="s">
        <v>180</v>
      </c>
      <c r="C269" s="420">
        <v>0</v>
      </c>
      <c r="D269" s="420">
        <v>4636</v>
      </c>
      <c r="E269" s="420">
        <v>0</v>
      </c>
      <c r="F269" s="420">
        <v>4636</v>
      </c>
    </row>
    <row r="270" spans="1:6" ht="15" customHeight="1" x14ac:dyDescent="0.25">
      <c r="A270" s="418" t="s">
        <v>181</v>
      </c>
      <c r="B270" s="419" t="s">
        <v>182</v>
      </c>
      <c r="C270" s="420">
        <v>0</v>
      </c>
      <c r="D270" s="420">
        <v>55610</v>
      </c>
      <c r="E270" s="420">
        <v>0</v>
      </c>
      <c r="F270" s="420">
        <v>55610</v>
      </c>
    </row>
    <row r="271" spans="1:6" ht="15" customHeight="1" x14ac:dyDescent="0.25">
      <c r="A271" s="418" t="s">
        <v>183</v>
      </c>
      <c r="B271" s="419" t="s">
        <v>184</v>
      </c>
      <c r="C271" s="420">
        <v>0</v>
      </c>
      <c r="D271" s="420">
        <v>10800</v>
      </c>
      <c r="E271" s="420">
        <v>0</v>
      </c>
      <c r="F271" s="420">
        <v>10800</v>
      </c>
    </row>
    <row r="272" spans="1:6" ht="15" customHeight="1" x14ac:dyDescent="0.25">
      <c r="A272" s="418" t="s">
        <v>185</v>
      </c>
      <c r="B272" s="419" t="s">
        <v>186</v>
      </c>
      <c r="C272" s="420">
        <v>0</v>
      </c>
      <c r="D272" s="420">
        <v>1657243</v>
      </c>
      <c r="E272" s="420">
        <v>0</v>
      </c>
      <c r="F272" s="420">
        <v>1657243</v>
      </c>
    </row>
    <row r="273" spans="1:6" ht="15" customHeight="1" x14ac:dyDescent="0.25">
      <c r="A273" s="418" t="s">
        <v>187</v>
      </c>
      <c r="B273" s="419" t="s">
        <v>188</v>
      </c>
      <c r="C273" s="420">
        <v>0</v>
      </c>
      <c r="D273" s="420">
        <v>3335</v>
      </c>
      <c r="E273" s="420">
        <v>0</v>
      </c>
      <c r="F273" s="420">
        <v>3335</v>
      </c>
    </row>
    <row r="274" spans="1:6" ht="15" customHeight="1" x14ac:dyDescent="0.25">
      <c r="A274" s="418" t="s">
        <v>189</v>
      </c>
      <c r="B274" s="419" t="s">
        <v>190</v>
      </c>
      <c r="C274" s="420">
        <v>0</v>
      </c>
      <c r="D274" s="420">
        <v>3893201</v>
      </c>
      <c r="E274" s="420">
        <v>0</v>
      </c>
      <c r="F274" s="420">
        <v>3893201</v>
      </c>
    </row>
    <row r="275" spans="1:6" ht="15" customHeight="1" x14ac:dyDescent="0.25">
      <c r="A275" s="418" t="s">
        <v>191</v>
      </c>
      <c r="B275" s="419" t="s">
        <v>192</v>
      </c>
      <c r="C275" s="420">
        <v>0</v>
      </c>
      <c r="D275" s="420">
        <v>3297601</v>
      </c>
      <c r="E275" s="420">
        <v>0</v>
      </c>
      <c r="F275" s="420">
        <v>3297601</v>
      </c>
    </row>
    <row r="276" spans="1:6" ht="15" customHeight="1" x14ac:dyDescent="0.25">
      <c r="A276" s="418" t="s">
        <v>193</v>
      </c>
      <c r="B276" s="419" t="s">
        <v>194</v>
      </c>
      <c r="C276" s="420">
        <v>0</v>
      </c>
      <c r="D276" s="420">
        <v>9354737</v>
      </c>
      <c r="E276" s="420">
        <v>0</v>
      </c>
      <c r="F276" s="420">
        <v>9354737</v>
      </c>
    </row>
    <row r="277" spans="1:6" ht="15" customHeight="1" x14ac:dyDescent="0.25">
      <c r="A277" s="418" t="s">
        <v>195</v>
      </c>
      <c r="B277" s="419" t="s">
        <v>196</v>
      </c>
      <c r="C277" s="420">
        <v>0</v>
      </c>
      <c r="D277" s="420">
        <v>1997289</v>
      </c>
      <c r="E277" s="420">
        <v>0</v>
      </c>
      <c r="F277" s="420">
        <v>1997289</v>
      </c>
    </row>
    <row r="278" spans="1:6" ht="15" customHeight="1" x14ac:dyDescent="0.25">
      <c r="A278" s="418" t="s">
        <v>197</v>
      </c>
      <c r="B278" s="419" t="s">
        <v>198</v>
      </c>
      <c r="C278" s="420">
        <v>0</v>
      </c>
      <c r="D278" s="420">
        <v>214396</v>
      </c>
      <c r="E278" s="420">
        <v>0</v>
      </c>
      <c r="F278" s="420">
        <v>214396</v>
      </c>
    </row>
    <row r="279" spans="1:6" ht="15" customHeight="1" x14ac:dyDescent="0.25">
      <c r="A279" s="418" t="s">
        <v>199</v>
      </c>
      <c r="B279" s="419" t="s">
        <v>200</v>
      </c>
      <c r="C279" s="420">
        <v>0</v>
      </c>
      <c r="D279" s="420">
        <v>6216822</v>
      </c>
      <c r="E279" s="420">
        <v>0</v>
      </c>
      <c r="F279" s="420">
        <v>6216822</v>
      </c>
    </row>
    <row r="280" spans="1:6" ht="15" customHeight="1" x14ac:dyDescent="0.25">
      <c r="A280" s="418" t="s">
        <v>201</v>
      </c>
      <c r="B280" s="419" t="s">
        <v>202</v>
      </c>
      <c r="C280" s="420">
        <v>0</v>
      </c>
      <c r="D280" s="420">
        <v>86427</v>
      </c>
      <c r="E280" s="420">
        <v>0</v>
      </c>
      <c r="F280" s="420">
        <v>86427</v>
      </c>
    </row>
    <row r="281" spans="1:6" ht="15" customHeight="1" x14ac:dyDescent="0.25">
      <c r="A281" s="418" t="s">
        <v>203</v>
      </c>
      <c r="B281" s="419" t="s">
        <v>204</v>
      </c>
      <c r="C281" s="420">
        <v>0</v>
      </c>
      <c r="D281" s="420">
        <v>2943527.5</v>
      </c>
      <c r="E281" s="420">
        <v>0</v>
      </c>
      <c r="F281" s="420">
        <v>2943527.5</v>
      </c>
    </row>
    <row r="282" spans="1:6" ht="15" customHeight="1" x14ac:dyDescent="0.25">
      <c r="A282" s="418" t="s">
        <v>205</v>
      </c>
      <c r="B282" s="423" t="s">
        <v>206</v>
      </c>
      <c r="C282" s="424">
        <v>0</v>
      </c>
      <c r="D282" s="424">
        <v>11.8</v>
      </c>
      <c r="E282" s="424">
        <v>0</v>
      </c>
      <c r="F282" s="424">
        <v>11.8</v>
      </c>
    </row>
    <row r="283" spans="1:6" ht="15" customHeight="1" x14ac:dyDescent="0.25">
      <c r="A283" s="418"/>
      <c r="B283" s="425" t="s">
        <v>56</v>
      </c>
      <c r="C283" s="426">
        <v>0</v>
      </c>
      <c r="D283" s="426">
        <v>237277017.31999999</v>
      </c>
      <c r="E283" s="426">
        <v>237277017.31999999</v>
      </c>
      <c r="F283" s="426">
        <v>0</v>
      </c>
    </row>
  </sheetData>
  <mergeCells count="5">
    <mergeCell ref="A1:F1"/>
    <mergeCell ref="A2:F2"/>
    <mergeCell ref="A3:F3"/>
    <mergeCell ref="A4:F4"/>
    <mergeCell ref="A5:F5"/>
  </mergeCells>
  <pageMargins left="0.7" right="0.7" top="0.7" bottom="0.7" header="0.5" footer="0.5"/>
  <pageSetup fitToHeight="990" orientation="portrait" useFirstPageNumber="1"/>
  <headerFooter alignWithMargins="0">
    <oddHeader>&amp;R&amp;B&amp;D &amp;T</oddHeader>
    <oddFooter>&amp;C&amp;B Page &amp;P of &amp;N</oddFooter>
  </headerFooter>
  <rowBreaks count="1" manualBreakCount="1">
    <brk id="4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BH24"/>
  <sheetViews>
    <sheetView workbookViewId="0">
      <selection activeCell="D2" sqref="D2"/>
    </sheetView>
  </sheetViews>
  <sheetFormatPr defaultRowHeight="14.5" x14ac:dyDescent="0.35"/>
  <cols>
    <col min="2" max="2" width="10.453125" bestFit="1" customWidth="1"/>
    <col min="3" max="3" width="30.453125" bestFit="1" customWidth="1"/>
    <col min="4" max="4" width="42.54296875" bestFit="1" customWidth="1"/>
    <col min="5" max="5" width="8.81640625" hidden="1" customWidth="1"/>
    <col min="6" max="7" width="8.453125" hidden="1" customWidth="1"/>
    <col min="8" max="8" width="8.81640625" hidden="1" customWidth="1"/>
    <col min="9" max="9" width="9" hidden="1" customWidth="1"/>
    <col min="10" max="11" width="8.81640625" hidden="1" customWidth="1"/>
    <col min="12" max="12" width="8.36328125" hidden="1" customWidth="1"/>
    <col min="13" max="13" width="9.26953125" hidden="1" customWidth="1"/>
    <col min="14" max="14" width="8.81640625" hidden="1" customWidth="1"/>
    <col min="15" max="15" width="12.453125" hidden="1" customWidth="1"/>
    <col min="16" max="16" width="8.26953125" hidden="1" customWidth="1"/>
    <col min="17" max="17" width="8" hidden="1" customWidth="1"/>
    <col min="18" max="18" width="8.81640625" hidden="1" customWidth="1"/>
    <col min="19" max="19" width="9" hidden="1" customWidth="1"/>
    <col min="20" max="20" width="8.36328125" hidden="1" customWidth="1"/>
    <col min="21" max="21" width="8" hidden="1" customWidth="1"/>
    <col min="22" max="22" width="7.81640625" hidden="1" customWidth="1"/>
    <col min="23" max="23" width="8.6328125" hidden="1" customWidth="1"/>
    <col min="24" max="27" width="8.81640625" hidden="1" customWidth="1"/>
    <col min="28" max="28" width="7.90625" hidden="1" customWidth="1"/>
    <col min="29" max="29" width="8.81640625" hidden="1" customWidth="1"/>
    <col min="30" max="30" width="9.81640625" hidden="1" customWidth="1"/>
    <col min="31" max="34" width="8.81640625" hidden="1" customWidth="1"/>
    <col min="35" max="35" width="9.08984375" hidden="1" customWidth="1"/>
    <col min="36" max="36" width="9" hidden="1" customWidth="1"/>
    <col min="37" max="38" width="9.453125" hidden="1" customWidth="1"/>
    <col min="39" max="39" width="9" hidden="1" customWidth="1"/>
    <col min="40" max="40" width="9.90625" hidden="1" customWidth="1"/>
    <col min="41" max="41" width="9.26953125" hidden="1" customWidth="1"/>
    <col min="42" max="42" width="8.54296875" hidden="1" customWidth="1"/>
    <col min="43" max="43" width="8.453125" hidden="1" customWidth="1"/>
    <col min="44" max="44" width="9" hidden="1" customWidth="1"/>
    <col min="45" max="46" width="8.81640625" hidden="1" customWidth="1"/>
    <col min="47" max="47" width="8.36328125" hidden="1" customWidth="1"/>
    <col min="48" max="48" width="9.26953125" hidden="1" customWidth="1"/>
    <col min="49" max="50" width="8.81640625" hidden="1" customWidth="1"/>
    <col min="51" max="51" width="8.1796875" hidden="1" customWidth="1"/>
    <col min="52" max="52" width="0" hidden="1" customWidth="1"/>
    <col min="53" max="53" width="9" hidden="1" customWidth="1"/>
    <col min="54" max="54" width="8.36328125" hidden="1" customWidth="1"/>
    <col min="55" max="55" width="0" hidden="1" customWidth="1"/>
    <col min="56" max="56" width="9.26953125" hidden="1" customWidth="1"/>
    <col min="57" max="58" width="13.7265625" bestFit="1" customWidth="1"/>
    <col min="59" max="59" width="14.36328125" bestFit="1" customWidth="1"/>
    <col min="60" max="60" width="11.1796875" bestFit="1" customWidth="1"/>
  </cols>
  <sheetData>
    <row r="2" spans="2:60" x14ac:dyDescent="0.35">
      <c r="B2" s="58"/>
      <c r="C2" s="58"/>
      <c r="D2" s="58" t="s">
        <v>981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122">
        <f>'MIS Apr24'!DC54</f>
        <v>-18821735.012333125</v>
      </c>
      <c r="BH2" s="58"/>
    </row>
    <row r="3" spans="2:60" x14ac:dyDescent="0.35">
      <c r="B3" s="58"/>
      <c r="C3" s="58"/>
      <c r="D3" s="58" t="s">
        <v>982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122">
        <f>-'TB 18.05.24'!BD100</f>
        <v>-19474157.49000001</v>
      </c>
      <c r="BH3" s="58"/>
    </row>
    <row r="4" spans="2:60" x14ac:dyDescent="0.35">
      <c r="B4" s="58"/>
      <c r="C4" s="58"/>
      <c r="D4" s="58" t="s">
        <v>983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122">
        <f>BG2-BG3</f>
        <v>652422.47766688466</v>
      </c>
      <c r="BH4" s="58"/>
    </row>
    <row r="5" spans="2:60" x14ac:dyDescent="0.3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</row>
    <row r="6" spans="2:60" hidden="1" x14ac:dyDescent="0.35">
      <c r="B6" s="59" t="s">
        <v>315</v>
      </c>
      <c r="C6" s="59" t="s">
        <v>237</v>
      </c>
      <c r="D6" s="59" t="s">
        <v>267</v>
      </c>
      <c r="E6" s="59" t="s">
        <v>4</v>
      </c>
      <c r="F6" s="59" t="s">
        <v>5</v>
      </c>
      <c r="G6" s="59" t="s">
        <v>6</v>
      </c>
      <c r="H6" s="59" t="s">
        <v>7</v>
      </c>
      <c r="I6" s="59" t="s">
        <v>8</v>
      </c>
      <c r="J6" s="59" t="s">
        <v>9</v>
      </c>
      <c r="K6" s="59" t="s">
        <v>10</v>
      </c>
      <c r="L6" s="59" t="s">
        <v>11</v>
      </c>
      <c r="M6" s="59" t="s">
        <v>12</v>
      </c>
      <c r="N6" s="59" t="s">
        <v>13</v>
      </c>
      <c r="O6" s="59" t="s">
        <v>14</v>
      </c>
      <c r="P6" s="59" t="s">
        <v>15</v>
      </c>
      <c r="Q6" s="59" t="s">
        <v>16</v>
      </c>
      <c r="R6" s="59" t="s">
        <v>17</v>
      </c>
      <c r="S6" s="59" t="s">
        <v>18</v>
      </c>
      <c r="T6" s="59" t="s">
        <v>19</v>
      </c>
      <c r="U6" s="59" t="s">
        <v>20</v>
      </c>
      <c r="V6" s="59" t="s">
        <v>21</v>
      </c>
      <c r="W6" s="59" t="s">
        <v>22</v>
      </c>
      <c r="X6" s="59" t="s">
        <v>23</v>
      </c>
      <c r="Y6" s="59" t="s">
        <v>24</v>
      </c>
      <c r="Z6" s="59" t="s">
        <v>25</v>
      </c>
      <c r="AA6" s="59" t="s">
        <v>26</v>
      </c>
      <c r="AB6" s="59" t="s">
        <v>27</v>
      </c>
      <c r="AC6" s="59" t="s">
        <v>28</v>
      </c>
      <c r="AD6" s="59" t="s">
        <v>29</v>
      </c>
      <c r="AE6" s="59" t="s">
        <v>30</v>
      </c>
      <c r="AF6" s="59" t="s">
        <v>31</v>
      </c>
      <c r="AG6" s="59" t="s">
        <v>32</v>
      </c>
      <c r="AH6" s="59" t="s">
        <v>33</v>
      </c>
      <c r="AI6" s="59" t="s">
        <v>34</v>
      </c>
      <c r="AJ6" s="59" t="s">
        <v>35</v>
      </c>
      <c r="AK6" s="59" t="s">
        <v>36</v>
      </c>
      <c r="AL6" s="59" t="s">
        <v>37</v>
      </c>
      <c r="AM6" s="59" t="s">
        <v>38</v>
      </c>
      <c r="AN6" s="59" t="s">
        <v>39</v>
      </c>
      <c r="AO6" s="59" t="s">
        <v>40</v>
      </c>
      <c r="AP6" s="59" t="s">
        <v>41</v>
      </c>
      <c r="AQ6" s="59" t="s">
        <v>42</v>
      </c>
      <c r="AR6" s="59" t="s">
        <v>43</v>
      </c>
      <c r="AS6" s="59" t="s">
        <v>44</v>
      </c>
      <c r="AT6" s="59" t="s">
        <v>45</v>
      </c>
      <c r="AU6" s="59" t="s">
        <v>46</v>
      </c>
      <c r="AV6" s="59" t="s">
        <v>47</v>
      </c>
      <c r="AW6" s="59" t="s">
        <v>48</v>
      </c>
      <c r="AX6" s="59" t="s">
        <v>49</v>
      </c>
      <c r="AY6" s="59" t="s">
        <v>50</v>
      </c>
      <c r="AZ6" s="59" t="s">
        <v>51</v>
      </c>
      <c r="BA6" s="59" t="s">
        <v>52</v>
      </c>
      <c r="BB6" s="59" t="s">
        <v>53</v>
      </c>
      <c r="BC6" s="59" t="s">
        <v>54</v>
      </c>
      <c r="BD6" s="59" t="s">
        <v>55</v>
      </c>
      <c r="BE6" s="59" t="s">
        <v>56</v>
      </c>
      <c r="BF6" s="59" t="s">
        <v>979</v>
      </c>
      <c r="BG6" s="59" t="s">
        <v>980</v>
      </c>
      <c r="BH6" s="58"/>
    </row>
    <row r="7" spans="2:60" hidden="1" x14ac:dyDescent="0.35">
      <c r="B7" s="58" t="s">
        <v>94</v>
      </c>
      <c r="C7" s="58" t="s">
        <v>95</v>
      </c>
      <c r="D7" s="58" t="s">
        <v>289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27892319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  <c r="AH7" s="58">
        <v>0</v>
      </c>
      <c r="AI7" s="58">
        <v>0</v>
      </c>
      <c r="AJ7" s="58">
        <v>0</v>
      </c>
      <c r="AK7" s="58">
        <v>0</v>
      </c>
      <c r="AL7" s="58">
        <v>0</v>
      </c>
      <c r="AM7" s="58">
        <v>0</v>
      </c>
      <c r="AN7" s="58">
        <v>0</v>
      </c>
      <c r="AO7" s="58">
        <v>0</v>
      </c>
      <c r="AP7" s="58">
        <v>0</v>
      </c>
      <c r="AQ7" s="58">
        <v>0</v>
      </c>
      <c r="AR7" s="58">
        <v>0</v>
      </c>
      <c r="AS7" s="58">
        <v>0</v>
      </c>
      <c r="AT7" s="58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8">
        <v>0</v>
      </c>
      <c r="BA7" s="58">
        <v>0</v>
      </c>
      <c r="BB7" s="58">
        <v>0</v>
      </c>
      <c r="BC7" s="58">
        <v>0</v>
      </c>
      <c r="BD7" s="58">
        <v>0</v>
      </c>
      <c r="BE7" s="122">
        <v>27892319</v>
      </c>
      <c r="BF7" s="122">
        <v>27508206.999999993</v>
      </c>
      <c r="BG7" s="122">
        <f>BE7-BF7</f>
        <v>384112.00000000745</v>
      </c>
      <c r="BH7" s="483">
        <v>384112</v>
      </c>
    </row>
    <row r="8" spans="2:60" hidden="1" x14ac:dyDescent="0.35">
      <c r="B8" s="58" t="s">
        <v>122</v>
      </c>
      <c r="C8" s="58" t="s">
        <v>123</v>
      </c>
      <c r="D8" s="58" t="s">
        <v>322</v>
      </c>
      <c r="E8" s="58">
        <v>6143</v>
      </c>
      <c r="F8" s="58">
        <v>860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58">
        <v>39922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14856</v>
      </c>
      <c r="X8" s="58">
        <v>14856</v>
      </c>
      <c r="Y8" s="58">
        <v>14859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28335.5</v>
      </c>
      <c r="AJ8" s="58">
        <v>13003.5</v>
      </c>
      <c r="AK8" s="58">
        <v>0</v>
      </c>
      <c r="AL8" s="58">
        <v>0</v>
      </c>
      <c r="AM8" s="58">
        <v>0</v>
      </c>
      <c r="AN8" s="58">
        <v>0</v>
      </c>
      <c r="AO8" s="58">
        <v>17362</v>
      </c>
      <c r="AP8" s="58">
        <v>13003.5</v>
      </c>
      <c r="AQ8" s="58">
        <v>28335.5</v>
      </c>
      <c r="AR8" s="58">
        <v>30365.5</v>
      </c>
      <c r="AS8" s="58">
        <v>0</v>
      </c>
      <c r="AT8" s="58">
        <v>0</v>
      </c>
      <c r="AU8" s="58">
        <v>0</v>
      </c>
      <c r="AV8" s="58">
        <v>0</v>
      </c>
      <c r="AW8" s="58">
        <v>0</v>
      </c>
      <c r="AX8" s="58">
        <v>0</v>
      </c>
      <c r="AY8" s="58">
        <v>0</v>
      </c>
      <c r="AZ8" s="58">
        <v>0</v>
      </c>
      <c r="BA8" s="58">
        <v>0</v>
      </c>
      <c r="BB8" s="58">
        <v>0</v>
      </c>
      <c r="BC8" s="58">
        <v>0</v>
      </c>
      <c r="BD8" s="58">
        <v>0</v>
      </c>
      <c r="BE8" s="122">
        <v>221901.5</v>
      </c>
      <c r="BF8" s="122">
        <v>193566</v>
      </c>
      <c r="BG8" s="122">
        <f t="shared" ref="BG8:BG23" si="0">BE8-BF8</f>
        <v>28335.5</v>
      </c>
      <c r="BH8" s="483">
        <v>28336</v>
      </c>
    </row>
    <row r="9" spans="2:60" hidden="1" x14ac:dyDescent="0.35">
      <c r="B9" s="58" t="s">
        <v>132</v>
      </c>
      <c r="C9" s="58" t="s">
        <v>133</v>
      </c>
      <c r="D9" s="58" t="s">
        <v>320</v>
      </c>
      <c r="E9" s="58">
        <v>1800</v>
      </c>
      <c r="F9" s="58">
        <v>45720</v>
      </c>
      <c r="G9" s="58">
        <v>0</v>
      </c>
      <c r="H9" s="58">
        <v>24410</v>
      </c>
      <c r="I9" s="58">
        <v>1140</v>
      </c>
      <c r="J9" s="58">
        <v>0</v>
      </c>
      <c r="K9" s="58">
        <v>300</v>
      </c>
      <c r="L9" s="58">
        <v>12625</v>
      </c>
      <c r="M9" s="58">
        <v>900</v>
      </c>
      <c r="N9" s="58">
        <v>10053</v>
      </c>
      <c r="O9" s="58">
        <v>0</v>
      </c>
      <c r="P9" s="58">
        <v>0</v>
      </c>
      <c r="Q9" s="58">
        <v>0</v>
      </c>
      <c r="R9" s="58">
        <v>500</v>
      </c>
      <c r="S9" s="58">
        <v>88623</v>
      </c>
      <c r="T9" s="58">
        <v>0</v>
      </c>
      <c r="U9" s="58">
        <v>29206</v>
      </c>
      <c r="V9" s="58">
        <v>19807</v>
      </c>
      <c r="W9" s="58">
        <v>4979</v>
      </c>
      <c r="X9" s="58">
        <v>3775</v>
      </c>
      <c r="Y9" s="58">
        <v>40</v>
      </c>
      <c r="Z9" s="58">
        <v>23976</v>
      </c>
      <c r="AA9" s="58">
        <v>9586</v>
      </c>
      <c r="AB9" s="58">
        <v>5640</v>
      </c>
      <c r="AC9" s="58">
        <v>25166</v>
      </c>
      <c r="AD9" s="58">
        <v>6167</v>
      </c>
      <c r="AE9" s="58">
        <v>3165</v>
      </c>
      <c r="AF9" s="58">
        <v>515</v>
      </c>
      <c r="AG9" s="58">
        <v>54410</v>
      </c>
      <c r="AH9" s="58">
        <v>31710</v>
      </c>
      <c r="AI9" s="58">
        <v>52859</v>
      </c>
      <c r="AJ9" s="58">
        <v>750</v>
      </c>
      <c r="AK9" s="58">
        <v>0</v>
      </c>
      <c r="AL9" s="58">
        <v>0</v>
      </c>
      <c r="AM9" s="58">
        <v>22999</v>
      </c>
      <c r="AN9" s="58">
        <v>0</v>
      </c>
      <c r="AO9" s="58">
        <v>19600</v>
      </c>
      <c r="AP9" s="58">
        <v>890</v>
      </c>
      <c r="AQ9" s="58">
        <v>0</v>
      </c>
      <c r="AR9" s="58">
        <v>16710</v>
      </c>
      <c r="AS9" s="58">
        <v>12410</v>
      </c>
      <c r="AT9" s="58">
        <v>392</v>
      </c>
      <c r="AU9" s="58">
        <v>0</v>
      </c>
      <c r="AV9" s="58">
        <v>1808</v>
      </c>
      <c r="AW9" s="58">
        <v>1808</v>
      </c>
      <c r="AX9" s="58">
        <v>16284</v>
      </c>
      <c r="AY9" s="58">
        <v>0</v>
      </c>
      <c r="AZ9" s="58">
        <v>0</v>
      </c>
      <c r="BA9" s="58">
        <v>13159</v>
      </c>
      <c r="BB9" s="58">
        <v>7700</v>
      </c>
      <c r="BC9" s="58">
        <v>85261</v>
      </c>
      <c r="BD9" s="58">
        <v>9188</v>
      </c>
      <c r="BE9" s="122">
        <v>666031</v>
      </c>
      <c r="BF9" s="122">
        <v>666031</v>
      </c>
      <c r="BG9" s="528">
        <f t="shared" si="0"/>
        <v>0</v>
      </c>
      <c r="BH9" s="58"/>
    </row>
    <row r="10" spans="2:60" hidden="1" x14ac:dyDescent="0.35">
      <c r="B10" s="58" t="s">
        <v>134</v>
      </c>
      <c r="C10" s="58" t="s">
        <v>135</v>
      </c>
      <c r="D10" s="58" t="s">
        <v>299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58">
        <v>0</v>
      </c>
      <c r="AF10" s="58">
        <v>0</v>
      </c>
      <c r="AG10" s="58">
        <v>0</v>
      </c>
      <c r="AH10" s="58">
        <v>0</v>
      </c>
      <c r="AI10" s="58">
        <v>0</v>
      </c>
      <c r="AJ10" s="58">
        <v>0</v>
      </c>
      <c r="AK10" s="58">
        <v>0</v>
      </c>
      <c r="AL10" s="58">
        <v>0</v>
      </c>
      <c r="AM10" s="58">
        <v>0</v>
      </c>
      <c r="AN10" s="58">
        <v>0</v>
      </c>
      <c r="AO10" s="58">
        <v>0</v>
      </c>
      <c r="AP10" s="58">
        <v>0</v>
      </c>
      <c r="AQ10" s="58">
        <v>0</v>
      </c>
      <c r="AR10" s="58">
        <v>0</v>
      </c>
      <c r="AS10" s="58">
        <v>0</v>
      </c>
      <c r="AT10" s="58">
        <v>1133</v>
      </c>
      <c r="AU10" s="58">
        <v>0</v>
      </c>
      <c r="AV10" s="58">
        <v>300</v>
      </c>
      <c r="AW10" s="58">
        <v>4818</v>
      </c>
      <c r="AX10" s="58">
        <v>0</v>
      </c>
      <c r="AY10" s="58">
        <v>0</v>
      </c>
      <c r="AZ10" s="58">
        <v>0</v>
      </c>
      <c r="BA10" s="58">
        <v>2786</v>
      </c>
      <c r="BB10" s="58">
        <v>0</v>
      </c>
      <c r="BC10" s="58">
        <v>1590</v>
      </c>
      <c r="BD10" s="58">
        <v>1094</v>
      </c>
      <c r="BE10" s="122">
        <v>11721</v>
      </c>
      <c r="BF10" s="122">
        <v>11721</v>
      </c>
      <c r="BG10" s="528">
        <f t="shared" si="0"/>
        <v>0</v>
      </c>
      <c r="BH10" s="58"/>
    </row>
    <row r="11" spans="2:60" hidden="1" x14ac:dyDescent="0.35">
      <c r="B11" s="58" t="s">
        <v>136</v>
      </c>
      <c r="C11" s="58" t="s">
        <v>137</v>
      </c>
      <c r="D11" s="58" t="s">
        <v>322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350</v>
      </c>
      <c r="AT11" s="58">
        <v>0</v>
      </c>
      <c r="AU11" s="58">
        <v>0</v>
      </c>
      <c r="AV11" s="58">
        <v>760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122">
        <v>1110</v>
      </c>
      <c r="BF11" s="122">
        <v>1110</v>
      </c>
      <c r="BG11" s="528">
        <f t="shared" si="0"/>
        <v>0</v>
      </c>
      <c r="BH11" s="58"/>
    </row>
    <row r="12" spans="2:60" hidden="1" x14ac:dyDescent="0.35">
      <c r="B12" s="58" t="s">
        <v>973</v>
      </c>
      <c r="C12" s="58" t="s">
        <v>974</v>
      </c>
      <c r="D12" s="58" t="s">
        <v>294</v>
      </c>
      <c r="E12" s="58">
        <v>93489.22</v>
      </c>
      <c r="F12" s="58">
        <v>91125</v>
      </c>
      <c r="G12" s="58">
        <v>0</v>
      </c>
      <c r="H12" s="58">
        <v>83071.329999999987</v>
      </c>
      <c r="I12" s="58">
        <v>114612.49999999997</v>
      </c>
      <c r="J12" s="58">
        <v>44920.98000000001</v>
      </c>
      <c r="K12" s="58">
        <v>43165.479999999996</v>
      </c>
      <c r="L12" s="58">
        <v>0</v>
      </c>
      <c r="M12" s="58">
        <v>16033.59</v>
      </c>
      <c r="N12" s="58">
        <v>46840.36</v>
      </c>
      <c r="O12" s="58">
        <v>0</v>
      </c>
      <c r="P12" s="58">
        <v>0</v>
      </c>
      <c r="Q12" s="58">
        <v>0</v>
      </c>
      <c r="R12" s="58">
        <v>43610.35</v>
      </c>
      <c r="S12" s="58">
        <v>43409.67</v>
      </c>
      <c r="T12" s="58">
        <v>0</v>
      </c>
      <c r="U12" s="58">
        <v>40711</v>
      </c>
      <c r="V12" s="58">
        <v>0</v>
      </c>
      <c r="W12" s="58">
        <v>21784.300000000003</v>
      </c>
      <c r="X12" s="58">
        <v>41419.19</v>
      </c>
      <c r="Y12" s="58">
        <v>12474.36</v>
      </c>
      <c r="Z12" s="58">
        <v>44215.89</v>
      </c>
      <c r="AA12" s="58">
        <v>62874.659999999996</v>
      </c>
      <c r="AB12" s="58">
        <v>0</v>
      </c>
      <c r="AC12" s="58">
        <v>47913.53</v>
      </c>
      <c r="AD12" s="58">
        <v>113484.48000000001</v>
      </c>
      <c r="AE12" s="58">
        <v>18434.510000000002</v>
      </c>
      <c r="AF12" s="58">
        <v>48530.570000000007</v>
      </c>
      <c r="AG12" s="58">
        <v>49703.14</v>
      </c>
      <c r="AH12" s="58">
        <v>112753.7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36747.15</v>
      </c>
      <c r="AT12" s="58">
        <v>75810.010000000009</v>
      </c>
      <c r="AU12" s="58">
        <v>0</v>
      </c>
      <c r="AV12" s="58">
        <v>46294.840000000004</v>
      </c>
      <c r="AW12" s="58">
        <v>35335.72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122">
        <v>1428765.5299999998</v>
      </c>
      <c r="BF12">
        <v>1428765.5299999998</v>
      </c>
      <c r="BG12" s="528">
        <f t="shared" si="0"/>
        <v>0</v>
      </c>
      <c r="BH12" s="58"/>
    </row>
    <row r="13" spans="2:60" hidden="1" x14ac:dyDescent="0.35">
      <c r="B13" s="58" t="s">
        <v>165</v>
      </c>
      <c r="C13" s="58" t="s">
        <v>166</v>
      </c>
      <c r="D13" s="58" t="s">
        <v>304</v>
      </c>
      <c r="E13" s="58">
        <v>31267</v>
      </c>
      <c r="F13" s="58">
        <v>28391</v>
      </c>
      <c r="G13" s="58">
        <v>0</v>
      </c>
      <c r="H13" s="58">
        <v>29594</v>
      </c>
      <c r="I13" s="58">
        <v>13760</v>
      </c>
      <c r="J13" s="58">
        <v>14449</v>
      </c>
      <c r="K13" s="58">
        <v>100</v>
      </c>
      <c r="L13" s="58">
        <v>21620</v>
      </c>
      <c r="M13" s="58">
        <v>0</v>
      </c>
      <c r="N13" s="58">
        <v>5086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2319</v>
      </c>
      <c r="U13" s="58">
        <v>0</v>
      </c>
      <c r="V13" s="58">
        <v>72042</v>
      </c>
      <c r="W13" s="58">
        <v>1478</v>
      </c>
      <c r="X13" s="58">
        <v>0</v>
      </c>
      <c r="Y13" s="58">
        <v>500</v>
      </c>
      <c r="Z13" s="58">
        <v>1128</v>
      </c>
      <c r="AA13" s="58">
        <v>10747</v>
      </c>
      <c r="AB13" s="58">
        <v>0</v>
      </c>
      <c r="AC13" s="58">
        <v>3130</v>
      </c>
      <c r="AD13" s="58">
        <v>26745</v>
      </c>
      <c r="AE13" s="58">
        <v>20690</v>
      </c>
      <c r="AF13" s="58">
        <v>3265</v>
      </c>
      <c r="AG13" s="58">
        <v>0</v>
      </c>
      <c r="AH13" s="58">
        <v>29233</v>
      </c>
      <c r="AI13" s="58">
        <v>50561</v>
      </c>
      <c r="AJ13" s="58">
        <v>1220</v>
      </c>
      <c r="AK13" s="58">
        <v>0</v>
      </c>
      <c r="AL13" s="58">
        <v>7840</v>
      </c>
      <c r="AM13" s="58">
        <v>617965</v>
      </c>
      <c r="AN13" s="58">
        <v>0</v>
      </c>
      <c r="AO13" s="58">
        <v>32814</v>
      </c>
      <c r="AP13" s="58">
        <v>240</v>
      </c>
      <c r="AQ13" s="58">
        <v>29170</v>
      </c>
      <c r="AR13" s="58">
        <v>99755</v>
      </c>
      <c r="AS13" s="58">
        <v>8825</v>
      </c>
      <c r="AT13" s="58">
        <v>15402</v>
      </c>
      <c r="AU13" s="58">
        <v>0</v>
      </c>
      <c r="AV13" s="58">
        <v>9658</v>
      </c>
      <c r="AW13" s="58">
        <v>9658</v>
      </c>
      <c r="AX13" s="58">
        <v>30253</v>
      </c>
      <c r="AY13" s="58">
        <v>0</v>
      </c>
      <c r="AZ13" s="58">
        <v>0</v>
      </c>
      <c r="BA13" s="58">
        <v>130657</v>
      </c>
      <c r="BB13" s="58">
        <v>57042</v>
      </c>
      <c r="BC13" s="58">
        <v>137691</v>
      </c>
      <c r="BD13" s="58">
        <v>81547</v>
      </c>
      <c r="BE13" s="122">
        <v>1635842</v>
      </c>
      <c r="BF13" s="122">
        <v>1608240</v>
      </c>
      <c r="BG13" s="122">
        <f t="shared" si="0"/>
        <v>27602</v>
      </c>
      <c r="BH13" s="483">
        <v>27602</v>
      </c>
    </row>
    <row r="14" spans="2:60" hidden="1" x14ac:dyDescent="0.35">
      <c r="B14" s="58" t="s">
        <v>173</v>
      </c>
      <c r="C14" s="58" t="s">
        <v>174</v>
      </c>
      <c r="D14" s="58" t="s">
        <v>257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16903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 s="58">
        <v>0</v>
      </c>
      <c r="AJ14" s="58">
        <v>0</v>
      </c>
      <c r="AK14" s="58">
        <v>0</v>
      </c>
      <c r="AL14" s="58">
        <v>0</v>
      </c>
      <c r="AM14" s="58">
        <v>0</v>
      </c>
      <c r="AN14" s="58">
        <v>0</v>
      </c>
      <c r="AO14" s="58">
        <v>0</v>
      </c>
      <c r="AP14" s="58">
        <v>0</v>
      </c>
      <c r="AQ14" s="58">
        <v>0</v>
      </c>
      <c r="AR14" s="58">
        <v>0</v>
      </c>
      <c r="AS14" s="58">
        <v>0</v>
      </c>
      <c r="AT14" s="58">
        <v>0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122">
        <v>16903</v>
      </c>
      <c r="BF14" s="122">
        <v>0</v>
      </c>
      <c r="BG14" s="529">
        <f t="shared" si="0"/>
        <v>16903</v>
      </c>
      <c r="BH14" s="58">
        <v>45294</v>
      </c>
    </row>
    <row r="15" spans="2:60" hidden="1" x14ac:dyDescent="0.35">
      <c r="B15" s="58" t="s">
        <v>175</v>
      </c>
      <c r="C15" s="58" t="s">
        <v>176</v>
      </c>
      <c r="D15" s="58" t="s">
        <v>257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12000</v>
      </c>
      <c r="AG15" s="58">
        <v>0</v>
      </c>
      <c r="AH15" s="58">
        <v>0</v>
      </c>
      <c r="AI15" s="58">
        <v>0</v>
      </c>
      <c r="AJ15" s="58">
        <v>0</v>
      </c>
      <c r="AK15" s="58">
        <v>0</v>
      </c>
      <c r="AL15" s="58">
        <v>0</v>
      </c>
      <c r="AM15" s="58">
        <v>0</v>
      </c>
      <c r="AN15" s="58">
        <v>0</v>
      </c>
      <c r="AO15" s="58">
        <v>0</v>
      </c>
      <c r="AP15" s="58">
        <v>0</v>
      </c>
      <c r="AQ15" s="58">
        <v>0</v>
      </c>
      <c r="AR15" s="58">
        <v>0</v>
      </c>
      <c r="AS15" s="58">
        <v>0</v>
      </c>
      <c r="AT15" s="58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8">
        <v>0</v>
      </c>
      <c r="BA15" s="58">
        <v>0</v>
      </c>
      <c r="BB15" s="58">
        <v>0</v>
      </c>
      <c r="BC15" s="58">
        <v>0</v>
      </c>
      <c r="BD15" s="58">
        <v>0</v>
      </c>
      <c r="BE15" s="122">
        <v>12000</v>
      </c>
      <c r="BF15" s="122">
        <v>0</v>
      </c>
      <c r="BG15" s="529">
        <f t="shared" si="0"/>
        <v>12000</v>
      </c>
      <c r="BH15" s="58"/>
    </row>
    <row r="16" spans="2:60" hidden="1" x14ac:dyDescent="0.35">
      <c r="B16" s="58" t="s">
        <v>177</v>
      </c>
      <c r="C16" s="58" t="s">
        <v>178</v>
      </c>
      <c r="D16" s="58" t="s">
        <v>257</v>
      </c>
      <c r="E16" s="58">
        <v>900</v>
      </c>
      <c r="F16" s="58">
        <v>1725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500</v>
      </c>
      <c r="T16" s="58">
        <v>0</v>
      </c>
      <c r="U16" s="58">
        <v>281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450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8">
        <v>0</v>
      </c>
      <c r="AR16" s="58">
        <v>2250</v>
      </c>
      <c r="AS16" s="58">
        <v>0</v>
      </c>
      <c r="AT16" s="58">
        <v>0</v>
      </c>
      <c r="AU16" s="58">
        <v>0</v>
      </c>
      <c r="AV16" s="58">
        <v>0</v>
      </c>
      <c r="AW16" s="58">
        <v>0</v>
      </c>
      <c r="AX16" s="58">
        <v>0</v>
      </c>
      <c r="AY16" s="58">
        <v>0</v>
      </c>
      <c r="AZ16" s="58">
        <v>0</v>
      </c>
      <c r="BA16" s="58">
        <v>300</v>
      </c>
      <c r="BB16" s="58">
        <v>4495</v>
      </c>
      <c r="BC16" s="58">
        <v>3016</v>
      </c>
      <c r="BD16" s="58">
        <v>2473</v>
      </c>
      <c r="BE16" s="122">
        <v>16390</v>
      </c>
      <c r="BF16" s="122">
        <v>0</v>
      </c>
      <c r="BG16" s="529">
        <f t="shared" si="0"/>
        <v>16390</v>
      </c>
      <c r="BH16" s="58"/>
    </row>
    <row r="17" spans="2:60" hidden="1" x14ac:dyDescent="0.35">
      <c r="B17" s="58" t="s">
        <v>189</v>
      </c>
      <c r="C17" s="58" t="s">
        <v>190</v>
      </c>
      <c r="D17" s="58" t="s">
        <v>254</v>
      </c>
      <c r="E17" s="58">
        <v>54802</v>
      </c>
      <c r="F17" s="58">
        <v>131736</v>
      </c>
      <c r="G17" s="58">
        <v>0</v>
      </c>
      <c r="H17" s="58">
        <v>148860</v>
      </c>
      <c r="I17" s="58">
        <v>32871</v>
      </c>
      <c r="J17" s="58">
        <v>61756</v>
      </c>
      <c r="K17" s="58">
        <v>102191</v>
      </c>
      <c r="L17" s="58">
        <v>76022</v>
      </c>
      <c r="M17" s="58">
        <v>140096</v>
      </c>
      <c r="N17" s="58">
        <v>150226</v>
      </c>
      <c r="O17" s="58">
        <v>0</v>
      </c>
      <c r="P17" s="58">
        <v>0</v>
      </c>
      <c r="Q17" s="58">
        <v>0</v>
      </c>
      <c r="R17" s="58">
        <v>131764</v>
      </c>
      <c r="S17" s="58">
        <v>42454</v>
      </c>
      <c r="T17" s="58">
        <v>0</v>
      </c>
      <c r="U17" s="58">
        <v>147011</v>
      </c>
      <c r="V17" s="58">
        <v>16770</v>
      </c>
      <c r="W17" s="58">
        <v>45359</v>
      </c>
      <c r="X17" s="58">
        <v>92536</v>
      </c>
      <c r="Y17" s="58">
        <v>80754</v>
      </c>
      <c r="Z17" s="58">
        <v>124351</v>
      </c>
      <c r="AA17" s="58">
        <v>119358</v>
      </c>
      <c r="AB17" s="58">
        <v>0</v>
      </c>
      <c r="AC17" s="58">
        <v>147260</v>
      </c>
      <c r="AD17" s="58">
        <v>343644</v>
      </c>
      <c r="AE17" s="58">
        <v>27900</v>
      </c>
      <c r="AF17" s="58">
        <v>210495</v>
      </c>
      <c r="AG17" s="58">
        <v>71682</v>
      </c>
      <c r="AH17" s="58">
        <v>49663</v>
      </c>
      <c r="AI17" s="58">
        <v>6604</v>
      </c>
      <c r="AJ17" s="58">
        <v>3658</v>
      </c>
      <c r="AK17" s="58">
        <v>0</v>
      </c>
      <c r="AL17" s="58">
        <v>7355</v>
      </c>
      <c r="AM17" s="58">
        <v>0</v>
      </c>
      <c r="AN17" s="58">
        <v>0</v>
      </c>
      <c r="AO17" s="58">
        <v>62563</v>
      </c>
      <c r="AP17" s="58">
        <v>263</v>
      </c>
      <c r="AQ17" s="58">
        <v>0</v>
      </c>
      <c r="AR17" s="58">
        <v>88073</v>
      </c>
      <c r="AS17" s="58">
        <v>140868</v>
      </c>
      <c r="AT17" s="58">
        <v>67138</v>
      </c>
      <c r="AU17" s="58">
        <v>41250</v>
      </c>
      <c r="AV17" s="58">
        <v>93154</v>
      </c>
      <c r="AW17" s="58">
        <v>92671</v>
      </c>
      <c r="AX17" s="58">
        <v>67867</v>
      </c>
      <c r="AY17" s="58">
        <v>0</v>
      </c>
      <c r="AZ17" s="58">
        <v>0</v>
      </c>
      <c r="BA17" s="58">
        <v>353872</v>
      </c>
      <c r="BB17" s="58">
        <v>76776</v>
      </c>
      <c r="BC17" s="58">
        <v>216451</v>
      </c>
      <c r="BD17" s="58">
        <v>25077</v>
      </c>
      <c r="BE17" s="122">
        <v>3893201</v>
      </c>
      <c r="BF17" s="122">
        <v>0</v>
      </c>
      <c r="BG17" s="529">
        <f t="shared" si="0"/>
        <v>3893201</v>
      </c>
      <c r="BH17" s="58"/>
    </row>
    <row r="18" spans="2:60" hidden="1" x14ac:dyDescent="0.35">
      <c r="B18" s="58" t="s">
        <v>191</v>
      </c>
      <c r="C18" s="58" t="s">
        <v>192</v>
      </c>
      <c r="D18" s="58" t="s">
        <v>254</v>
      </c>
      <c r="E18" s="58">
        <v>42297</v>
      </c>
      <c r="F18" s="58">
        <v>24614</v>
      </c>
      <c r="G18" s="58">
        <v>0</v>
      </c>
      <c r="H18" s="58">
        <v>217035</v>
      </c>
      <c r="I18" s="58">
        <v>25474</v>
      </c>
      <c r="J18" s="58">
        <v>1973</v>
      </c>
      <c r="K18" s="58">
        <v>49806</v>
      </c>
      <c r="L18" s="58">
        <v>341358</v>
      </c>
      <c r="M18" s="58">
        <v>0</v>
      </c>
      <c r="N18" s="58">
        <v>3942</v>
      </c>
      <c r="O18" s="58">
        <v>0</v>
      </c>
      <c r="P18" s="58">
        <v>0</v>
      </c>
      <c r="Q18" s="58">
        <v>0</v>
      </c>
      <c r="R18" s="58">
        <v>159041</v>
      </c>
      <c r="S18" s="58">
        <v>82989</v>
      </c>
      <c r="T18" s="58">
        <v>0</v>
      </c>
      <c r="U18" s="58">
        <v>11095</v>
      </c>
      <c r="V18" s="58">
        <v>145945</v>
      </c>
      <c r="W18" s="58">
        <v>41332</v>
      </c>
      <c r="X18" s="58">
        <v>12086</v>
      </c>
      <c r="Y18" s="58">
        <v>30307</v>
      </c>
      <c r="Z18" s="58">
        <v>105596</v>
      </c>
      <c r="AA18" s="58">
        <v>2949</v>
      </c>
      <c r="AB18" s="58">
        <v>213506</v>
      </c>
      <c r="AC18" s="58">
        <v>134694</v>
      </c>
      <c r="AD18" s="58">
        <v>11224</v>
      </c>
      <c r="AE18" s="58">
        <v>16605</v>
      </c>
      <c r="AF18" s="58">
        <v>105763</v>
      </c>
      <c r="AG18" s="58">
        <v>56813</v>
      </c>
      <c r="AH18" s="58">
        <v>11266</v>
      </c>
      <c r="AI18" s="58">
        <v>6975</v>
      </c>
      <c r="AJ18" s="58">
        <v>5571</v>
      </c>
      <c r="AK18" s="58">
        <v>0</v>
      </c>
      <c r="AL18" s="58">
        <v>5355</v>
      </c>
      <c r="AM18" s="58">
        <v>101936</v>
      </c>
      <c r="AN18" s="58">
        <v>0</v>
      </c>
      <c r="AO18" s="58">
        <v>19683</v>
      </c>
      <c r="AP18" s="58">
        <v>0</v>
      </c>
      <c r="AQ18" s="58">
        <v>0</v>
      </c>
      <c r="AR18" s="58">
        <v>111974</v>
      </c>
      <c r="AS18" s="58">
        <v>139345</v>
      </c>
      <c r="AT18" s="58">
        <v>10561</v>
      </c>
      <c r="AU18" s="58">
        <v>0</v>
      </c>
      <c r="AV18" s="58">
        <v>86134</v>
      </c>
      <c r="AW18" s="58">
        <v>72405</v>
      </c>
      <c r="AX18" s="58">
        <v>156791</v>
      </c>
      <c r="AY18" s="58">
        <v>0</v>
      </c>
      <c r="AZ18" s="58">
        <v>0</v>
      </c>
      <c r="BA18" s="58">
        <v>61610</v>
      </c>
      <c r="BB18" s="58">
        <v>287352</v>
      </c>
      <c r="BC18" s="58">
        <v>309106</v>
      </c>
      <c r="BD18" s="58">
        <v>75093</v>
      </c>
      <c r="BE18" s="122">
        <v>3297601</v>
      </c>
      <c r="BF18" s="122">
        <v>0</v>
      </c>
      <c r="BG18" s="529">
        <f t="shared" si="0"/>
        <v>3297601</v>
      </c>
      <c r="BH18" s="58"/>
    </row>
    <row r="19" spans="2:60" hidden="1" x14ac:dyDescent="0.35">
      <c r="B19" s="58" t="s">
        <v>193</v>
      </c>
      <c r="C19" s="58" t="s">
        <v>194</v>
      </c>
      <c r="D19" s="58" t="s">
        <v>254</v>
      </c>
      <c r="E19" s="58">
        <v>127122</v>
      </c>
      <c r="F19" s="58">
        <v>477534</v>
      </c>
      <c r="G19" s="58">
        <v>2167651</v>
      </c>
      <c r="H19" s="58">
        <v>372955</v>
      </c>
      <c r="I19" s="58">
        <v>67550</v>
      </c>
      <c r="J19" s="58">
        <v>-13760</v>
      </c>
      <c r="K19" s="58">
        <v>-116183</v>
      </c>
      <c r="L19" s="58">
        <v>4342751</v>
      </c>
      <c r="M19" s="58">
        <v>2594</v>
      </c>
      <c r="N19" s="58">
        <v>4205</v>
      </c>
      <c r="O19" s="58">
        <v>-25517417.370000001</v>
      </c>
      <c r="P19" s="58">
        <v>0</v>
      </c>
      <c r="Q19" s="58">
        <v>2130626</v>
      </c>
      <c r="R19" s="58">
        <v>277383</v>
      </c>
      <c r="S19" s="58">
        <v>128449</v>
      </c>
      <c r="T19" s="58">
        <v>2201</v>
      </c>
      <c r="U19" s="58">
        <v>376975</v>
      </c>
      <c r="V19" s="58">
        <v>1768151</v>
      </c>
      <c r="W19" s="58">
        <v>-19624</v>
      </c>
      <c r="X19" s="58">
        <v>470</v>
      </c>
      <c r="Y19" s="58">
        <v>33</v>
      </c>
      <c r="Z19" s="58">
        <v>153310</v>
      </c>
      <c r="AA19" s="58">
        <v>287675</v>
      </c>
      <c r="AB19" s="58">
        <v>5541607</v>
      </c>
      <c r="AC19" s="58">
        <v>239094</v>
      </c>
      <c r="AD19" s="58">
        <v>342373</v>
      </c>
      <c r="AE19" s="58">
        <v>147270</v>
      </c>
      <c r="AF19" s="58">
        <v>193268</v>
      </c>
      <c r="AG19" s="58">
        <v>101387</v>
      </c>
      <c r="AH19" s="58">
        <v>223407</v>
      </c>
      <c r="AI19" s="58">
        <v>21803</v>
      </c>
      <c r="AJ19" s="58">
        <v>-85796</v>
      </c>
      <c r="AK19" s="58">
        <v>14643</v>
      </c>
      <c r="AL19" s="58">
        <v>0</v>
      </c>
      <c r="AM19" s="58">
        <v>3208233</v>
      </c>
      <c r="AN19" s="58">
        <v>0</v>
      </c>
      <c r="AO19" s="58">
        <v>-121167</v>
      </c>
      <c r="AP19" s="58">
        <v>-268472</v>
      </c>
      <c r="AQ19" s="58">
        <v>0</v>
      </c>
      <c r="AR19" s="58">
        <v>65601</v>
      </c>
      <c r="AS19" s="58">
        <v>384367</v>
      </c>
      <c r="AT19" s="58">
        <v>-89265</v>
      </c>
      <c r="AU19" s="58">
        <v>2326179</v>
      </c>
      <c r="AV19" s="58">
        <v>138321</v>
      </c>
      <c r="AW19" s="58">
        <v>85440</v>
      </c>
      <c r="AX19" s="58">
        <v>468319</v>
      </c>
      <c r="AY19" s="58">
        <v>4389920</v>
      </c>
      <c r="AZ19" s="58">
        <v>0</v>
      </c>
      <c r="BA19" s="58">
        <v>983990</v>
      </c>
      <c r="BB19" s="58">
        <v>469675</v>
      </c>
      <c r="BC19" s="58">
        <v>295644</v>
      </c>
      <c r="BD19" s="58">
        <v>192967</v>
      </c>
      <c r="BE19" s="122">
        <v>6289458.6299999999</v>
      </c>
      <c r="BF19" s="122">
        <v>21995193.953457717</v>
      </c>
      <c r="BG19" s="529">
        <f t="shared" si="0"/>
        <v>-15705735.323457718</v>
      </c>
      <c r="BH19" s="58"/>
    </row>
    <row r="20" spans="2:60" hidden="1" x14ac:dyDescent="0.35">
      <c r="B20" s="58" t="s">
        <v>195</v>
      </c>
      <c r="C20" s="58" t="s">
        <v>196</v>
      </c>
      <c r="D20" s="58" t="s">
        <v>255</v>
      </c>
      <c r="E20" s="58">
        <v>39298</v>
      </c>
      <c r="F20" s="58">
        <v>19311</v>
      </c>
      <c r="G20" s="58">
        <v>16682</v>
      </c>
      <c r="H20" s="58">
        <v>62385</v>
      </c>
      <c r="I20" s="58">
        <v>42409</v>
      </c>
      <c r="J20" s="58">
        <v>240</v>
      </c>
      <c r="K20" s="58">
        <v>0</v>
      </c>
      <c r="L20" s="58">
        <v>59990</v>
      </c>
      <c r="M20" s="58">
        <v>3431</v>
      </c>
      <c r="N20" s="58">
        <v>1152</v>
      </c>
      <c r="O20" s="58">
        <v>0</v>
      </c>
      <c r="P20" s="58">
        <v>0</v>
      </c>
      <c r="Q20" s="58">
        <v>0</v>
      </c>
      <c r="R20" s="58">
        <v>2112</v>
      </c>
      <c r="S20" s="58">
        <v>72761</v>
      </c>
      <c r="T20" s="58">
        <v>0</v>
      </c>
      <c r="U20" s="58">
        <v>68975</v>
      </c>
      <c r="V20" s="58">
        <v>93457</v>
      </c>
      <c r="W20" s="58">
        <v>15013</v>
      </c>
      <c r="X20" s="58">
        <v>593</v>
      </c>
      <c r="Y20" s="58">
        <v>-11927</v>
      </c>
      <c r="Z20" s="58">
        <v>334668</v>
      </c>
      <c r="AA20" s="58">
        <v>25218</v>
      </c>
      <c r="AB20" s="58">
        <v>2436</v>
      </c>
      <c r="AC20" s="58">
        <v>67601</v>
      </c>
      <c r="AD20" s="58">
        <v>26246</v>
      </c>
      <c r="AE20" s="58">
        <v>172167</v>
      </c>
      <c r="AF20" s="58">
        <v>14954</v>
      </c>
      <c r="AG20" s="58">
        <v>25225</v>
      </c>
      <c r="AH20" s="58">
        <v>170236</v>
      </c>
      <c r="AI20" s="58">
        <v>-25240</v>
      </c>
      <c r="AJ20" s="58">
        <v>-17537</v>
      </c>
      <c r="AK20" s="58">
        <v>0</v>
      </c>
      <c r="AL20" s="58">
        <v>13500</v>
      </c>
      <c r="AM20" s="58">
        <v>-55006</v>
      </c>
      <c r="AN20" s="58">
        <v>0</v>
      </c>
      <c r="AO20" s="58">
        <v>31998</v>
      </c>
      <c r="AP20" s="58">
        <v>-17157</v>
      </c>
      <c r="AQ20" s="58">
        <v>0</v>
      </c>
      <c r="AR20" s="58">
        <v>-730</v>
      </c>
      <c r="AS20" s="58">
        <v>38432</v>
      </c>
      <c r="AT20" s="58">
        <v>13644</v>
      </c>
      <c r="AU20" s="58">
        <v>0</v>
      </c>
      <c r="AV20" s="58">
        <v>61168</v>
      </c>
      <c r="AW20" s="58">
        <v>-16812</v>
      </c>
      <c r="AX20" s="58">
        <v>65354</v>
      </c>
      <c r="AY20" s="58">
        <v>0</v>
      </c>
      <c r="AZ20" s="58">
        <v>0</v>
      </c>
      <c r="BA20" s="58">
        <v>90610</v>
      </c>
      <c r="BB20" s="58">
        <v>215636</v>
      </c>
      <c r="BC20" s="58">
        <v>240329</v>
      </c>
      <c r="BD20" s="58">
        <v>34467</v>
      </c>
      <c r="BE20" s="122">
        <v>1997289</v>
      </c>
      <c r="BF20" s="122">
        <v>0</v>
      </c>
      <c r="BG20" s="529">
        <f t="shared" si="0"/>
        <v>1997289</v>
      </c>
      <c r="BH20" s="58"/>
    </row>
    <row r="21" spans="2:60" hidden="1" x14ac:dyDescent="0.35">
      <c r="B21" s="58" t="s">
        <v>197</v>
      </c>
      <c r="C21" s="58" t="s">
        <v>198</v>
      </c>
      <c r="D21" s="58" t="s">
        <v>255</v>
      </c>
      <c r="E21" s="58">
        <v>562</v>
      </c>
      <c r="F21" s="58">
        <v>12583</v>
      </c>
      <c r="G21" s="58">
        <v>0</v>
      </c>
      <c r="H21" s="58">
        <v>3235</v>
      </c>
      <c r="I21" s="58">
        <v>0</v>
      </c>
      <c r="J21" s="58">
        <v>0</v>
      </c>
      <c r="K21" s="58">
        <v>0</v>
      </c>
      <c r="L21" s="58">
        <v>2256</v>
      </c>
      <c r="M21" s="58">
        <v>1200</v>
      </c>
      <c r="N21" s="58">
        <v>0</v>
      </c>
      <c r="O21" s="58">
        <v>0</v>
      </c>
      <c r="P21" s="58">
        <v>0</v>
      </c>
      <c r="Q21" s="58">
        <v>0</v>
      </c>
      <c r="R21" s="58">
        <v>4611</v>
      </c>
      <c r="S21" s="58">
        <v>4856</v>
      </c>
      <c r="T21" s="58">
        <v>0</v>
      </c>
      <c r="U21" s="58">
        <v>6396</v>
      </c>
      <c r="V21" s="58">
        <v>12022</v>
      </c>
      <c r="W21" s="58">
        <v>0</v>
      </c>
      <c r="X21" s="58">
        <v>0</v>
      </c>
      <c r="Y21" s="58">
        <v>0</v>
      </c>
      <c r="Z21" s="58">
        <v>1413</v>
      </c>
      <c r="AA21" s="58">
        <v>689</v>
      </c>
      <c r="AB21" s="58">
        <v>7261</v>
      </c>
      <c r="AC21" s="58">
        <v>7338</v>
      </c>
      <c r="AD21" s="58">
        <v>4135</v>
      </c>
      <c r="AE21" s="58">
        <v>2625</v>
      </c>
      <c r="AF21" s="58">
        <v>8181</v>
      </c>
      <c r="AG21" s="58">
        <v>0</v>
      </c>
      <c r="AH21" s="58">
        <v>1412</v>
      </c>
      <c r="AI21" s="58">
        <v>0</v>
      </c>
      <c r="AJ21" s="58">
        <v>0</v>
      </c>
      <c r="AK21" s="58">
        <v>0</v>
      </c>
      <c r="AL21" s="58">
        <v>0</v>
      </c>
      <c r="AM21" s="58">
        <v>59575</v>
      </c>
      <c r="AN21" s="58">
        <v>0</v>
      </c>
      <c r="AO21" s="58">
        <v>0</v>
      </c>
      <c r="AP21" s="58">
        <v>0</v>
      </c>
      <c r="AQ21" s="58">
        <v>0</v>
      </c>
      <c r="AR21" s="58">
        <v>5739</v>
      </c>
      <c r="AS21" s="58">
        <v>0</v>
      </c>
      <c r="AT21" s="58">
        <v>0</v>
      </c>
      <c r="AU21" s="58">
        <v>0</v>
      </c>
      <c r="AV21" s="58">
        <v>3311</v>
      </c>
      <c r="AW21" s="58">
        <v>3311</v>
      </c>
      <c r="AX21" s="58">
        <v>7877</v>
      </c>
      <c r="AY21" s="58">
        <v>0</v>
      </c>
      <c r="AZ21" s="58">
        <v>0</v>
      </c>
      <c r="BA21" s="58">
        <v>23058</v>
      </c>
      <c r="BB21" s="58">
        <v>0</v>
      </c>
      <c r="BC21" s="58">
        <v>30750</v>
      </c>
      <c r="BD21" s="58">
        <v>0</v>
      </c>
      <c r="BE21" s="122">
        <v>214396</v>
      </c>
      <c r="BF21" s="122">
        <v>0</v>
      </c>
      <c r="BG21" s="529">
        <f t="shared" si="0"/>
        <v>214396</v>
      </c>
      <c r="BH21" s="58"/>
    </row>
    <row r="22" spans="2:60" hidden="1" x14ac:dyDescent="0.35">
      <c r="B22" s="58" t="s">
        <v>199</v>
      </c>
      <c r="C22" s="58" t="s">
        <v>200</v>
      </c>
      <c r="D22" s="58" t="s">
        <v>254</v>
      </c>
      <c r="E22" s="58">
        <v>22541</v>
      </c>
      <c r="F22" s="58">
        <v>258053</v>
      </c>
      <c r="G22" s="58">
        <v>0</v>
      </c>
      <c r="H22" s="58">
        <v>303783</v>
      </c>
      <c r="I22" s="58">
        <v>257186</v>
      </c>
      <c r="J22" s="58">
        <v>0</v>
      </c>
      <c r="K22" s="58">
        <v>363239</v>
      </c>
      <c r="L22" s="58">
        <v>783369</v>
      </c>
      <c r="M22" s="58">
        <v>1690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189000</v>
      </c>
      <c r="T22" s="58">
        <v>0</v>
      </c>
      <c r="U22" s="58">
        <v>196515</v>
      </c>
      <c r="V22" s="58">
        <v>8820</v>
      </c>
      <c r="W22" s="58">
        <v>65676</v>
      </c>
      <c r="X22" s="58">
        <v>92640</v>
      </c>
      <c r="Y22" s="58">
        <v>87588</v>
      </c>
      <c r="Z22" s="58">
        <v>41850</v>
      </c>
      <c r="AA22" s="58">
        <v>246050</v>
      </c>
      <c r="AB22" s="58">
        <v>0</v>
      </c>
      <c r="AC22" s="58">
        <v>136327</v>
      </c>
      <c r="AD22" s="58">
        <v>399226</v>
      </c>
      <c r="AE22" s="58">
        <v>8384</v>
      </c>
      <c r="AF22" s="58">
        <v>337233</v>
      </c>
      <c r="AG22" s="58">
        <v>0</v>
      </c>
      <c r="AH22" s="58">
        <v>357505</v>
      </c>
      <c r="AI22" s="58">
        <v>34522</v>
      </c>
      <c r="AJ22" s="58">
        <v>50755</v>
      </c>
      <c r="AK22" s="58">
        <v>113783</v>
      </c>
      <c r="AL22" s="58">
        <v>0</v>
      </c>
      <c r="AM22" s="58">
        <v>36299</v>
      </c>
      <c r="AN22" s="58">
        <v>0</v>
      </c>
      <c r="AO22" s="58">
        <v>229798</v>
      </c>
      <c r="AP22" s="58">
        <v>0</v>
      </c>
      <c r="AQ22" s="58">
        <v>0</v>
      </c>
      <c r="AR22" s="58">
        <v>299619</v>
      </c>
      <c r="AS22" s="58">
        <v>48058</v>
      </c>
      <c r="AT22" s="58">
        <v>100992</v>
      </c>
      <c r="AU22" s="58">
        <v>0</v>
      </c>
      <c r="AV22" s="58">
        <v>100341.5</v>
      </c>
      <c r="AW22" s="58">
        <v>94426.5</v>
      </c>
      <c r="AX22" s="58">
        <v>46482</v>
      </c>
      <c r="AY22" s="58">
        <v>0</v>
      </c>
      <c r="AZ22" s="58">
        <v>0</v>
      </c>
      <c r="BA22" s="58">
        <v>386852</v>
      </c>
      <c r="BB22" s="58">
        <v>32768</v>
      </c>
      <c r="BC22" s="58">
        <v>359642</v>
      </c>
      <c r="BD22" s="58">
        <v>125809</v>
      </c>
      <c r="BE22" s="122">
        <v>6216822</v>
      </c>
      <c r="BF22" s="122">
        <v>0</v>
      </c>
      <c r="BG22" s="529">
        <f t="shared" si="0"/>
        <v>6216822</v>
      </c>
      <c r="BH22" s="58"/>
    </row>
    <row r="23" spans="2:60" hidden="1" x14ac:dyDescent="0.35">
      <c r="B23" s="58" t="s">
        <v>201</v>
      </c>
      <c r="C23" s="58" t="s">
        <v>202</v>
      </c>
      <c r="D23" s="58" t="s">
        <v>254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1045</v>
      </c>
      <c r="T23" s="58">
        <v>32645</v>
      </c>
      <c r="U23" s="58">
        <v>3871</v>
      </c>
      <c r="V23" s="58">
        <v>8718</v>
      </c>
      <c r="W23" s="58">
        <v>0</v>
      </c>
      <c r="X23" s="58">
        <v>0</v>
      </c>
      <c r="Y23" s="58">
        <v>0</v>
      </c>
      <c r="Z23" s="58">
        <v>2720</v>
      </c>
      <c r="AA23" s="58">
        <v>0</v>
      </c>
      <c r="AB23" s="58">
        <v>0</v>
      </c>
      <c r="AC23" s="58">
        <v>3402</v>
      </c>
      <c r="AD23" s="58">
        <v>640</v>
      </c>
      <c r="AE23" s="58">
        <v>1930</v>
      </c>
      <c r="AF23" s="58">
        <v>1280</v>
      </c>
      <c r="AG23" s="58">
        <v>0</v>
      </c>
      <c r="AH23" s="58">
        <v>0</v>
      </c>
      <c r="AI23" s="58">
        <v>2330</v>
      </c>
      <c r="AJ23" s="58">
        <v>608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6975</v>
      </c>
      <c r="AS23" s="58">
        <v>0</v>
      </c>
      <c r="AT23" s="58">
        <v>0</v>
      </c>
      <c r="AU23" s="58">
        <v>0</v>
      </c>
      <c r="AV23" s="58">
        <v>4725</v>
      </c>
      <c r="AW23" s="58">
        <v>4725</v>
      </c>
      <c r="AX23" s="58">
        <v>1730</v>
      </c>
      <c r="AY23" s="58">
        <v>0</v>
      </c>
      <c r="AZ23" s="58">
        <v>0</v>
      </c>
      <c r="BA23" s="58">
        <v>3210</v>
      </c>
      <c r="BB23" s="58">
        <v>0</v>
      </c>
      <c r="BC23" s="58">
        <v>5873</v>
      </c>
      <c r="BD23" s="58">
        <v>0</v>
      </c>
      <c r="BE23" s="122">
        <v>86427</v>
      </c>
      <c r="BF23" s="122">
        <v>0</v>
      </c>
      <c r="BG23" s="529">
        <f t="shared" si="0"/>
        <v>86427</v>
      </c>
      <c r="BH23" s="58"/>
    </row>
    <row r="24" spans="2:60" hidden="1" x14ac:dyDescent="0.35"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336">
        <f>SUM(BG7:BG23)</f>
        <v>485343.17654228956</v>
      </c>
      <c r="BH24" s="336">
        <f>SUM(BH7:BH23)</f>
        <v>485344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"/>
  <sheetViews>
    <sheetView workbookViewId="0">
      <pane xSplit="1" ySplit="3" topLeftCell="B4" activePane="bottomRight" state="frozen"/>
      <selection activeCell="D70" sqref="D70"/>
      <selection pane="topRight" activeCell="D70" sqref="D70"/>
      <selection pane="bottomLeft" activeCell="D70" sqref="D70"/>
      <selection pane="bottomRight" sqref="A1:XFD14"/>
    </sheetView>
  </sheetViews>
  <sheetFormatPr defaultRowHeight="14.5" x14ac:dyDescent="0.35"/>
  <cols>
    <col min="1" max="1" width="41" bestFit="1" customWidth="1"/>
    <col min="2" max="2" width="17.08984375" style="526" customWidth="1"/>
    <col min="3" max="3" width="5.26953125" style="526" bestFit="1" customWidth="1"/>
    <col min="4" max="4" width="14" style="116" bestFit="1" customWidth="1"/>
    <col min="5" max="5" width="5.26953125" style="116" bestFit="1" customWidth="1"/>
    <col min="6" max="6" width="15.1796875" style="116" customWidth="1"/>
    <col min="7" max="7" width="5.26953125" style="599" bestFit="1" customWidth="1"/>
    <col min="8" max="8" width="15" style="116" customWidth="1"/>
    <col min="9" max="9" width="5.26953125" style="599" bestFit="1" customWidth="1"/>
    <col min="10" max="10" width="16.54296875" style="116" customWidth="1"/>
    <col min="11" max="11" width="5.26953125" style="599" bestFit="1" customWidth="1"/>
    <col min="12" max="12" width="19.7265625" style="116" customWidth="1"/>
    <col min="13" max="13" width="5.26953125" style="599" bestFit="1" customWidth="1"/>
    <col min="14" max="14" width="19.54296875" style="116" customWidth="1"/>
    <col min="15" max="15" width="5.26953125" style="599" bestFit="1" customWidth="1"/>
    <col min="16" max="16" width="19.7265625" style="116" customWidth="1"/>
    <col min="17" max="17" width="5.26953125" style="599" bestFit="1" customWidth="1"/>
    <col min="18" max="19" width="12" style="116" bestFit="1" customWidth="1"/>
    <col min="20" max="20" width="7.1796875" style="618" customWidth="1"/>
    <col min="21" max="21" width="12.90625" customWidth="1"/>
    <col min="22" max="22" width="7.1796875" style="618" customWidth="1"/>
  </cols>
  <sheetData>
    <row r="1" spans="1:22" ht="15" thickBot="1" x14ac:dyDescent="0.4">
      <c r="A1" s="602" t="s">
        <v>1051</v>
      </c>
      <c r="T1" s="614"/>
      <c r="V1" s="614"/>
    </row>
    <row r="2" spans="1:22" s="631" customFormat="1" ht="29" x14ac:dyDescent="0.35">
      <c r="A2" s="626" t="s">
        <v>237</v>
      </c>
      <c r="B2" s="627" t="s">
        <v>1052</v>
      </c>
      <c r="C2" s="628" t="s">
        <v>984</v>
      </c>
      <c r="D2" s="629" t="s">
        <v>215</v>
      </c>
      <c r="E2" s="630" t="s">
        <v>984</v>
      </c>
      <c r="F2" s="629" t="s">
        <v>226</v>
      </c>
      <c r="G2" s="630" t="s">
        <v>984</v>
      </c>
      <c r="H2" s="629" t="s">
        <v>228</v>
      </c>
      <c r="I2" s="630" t="s">
        <v>984</v>
      </c>
      <c r="J2" s="629" t="s">
        <v>1053</v>
      </c>
      <c r="K2" s="630" t="s">
        <v>984</v>
      </c>
      <c r="L2" s="629" t="s">
        <v>1054</v>
      </c>
      <c r="M2" s="630" t="s">
        <v>984</v>
      </c>
      <c r="N2" s="629" t="s">
        <v>1055</v>
      </c>
      <c r="O2" s="630" t="s">
        <v>984</v>
      </c>
      <c r="P2" s="629" t="s">
        <v>235</v>
      </c>
      <c r="Q2" s="630" t="s">
        <v>984</v>
      </c>
      <c r="R2" s="630" t="s">
        <v>243</v>
      </c>
      <c r="S2" s="627" t="s">
        <v>1064</v>
      </c>
      <c r="T2" s="638" t="s">
        <v>984</v>
      </c>
      <c r="U2" s="639" t="s">
        <v>1065</v>
      </c>
      <c r="V2" s="640" t="s">
        <v>984</v>
      </c>
    </row>
    <row r="3" spans="1:22" s="596" customFormat="1" x14ac:dyDescent="0.35">
      <c r="A3" s="603" t="s">
        <v>1060</v>
      </c>
      <c r="B3" s="619">
        <f>'MIS Apr24'!C6+'MIS Apr24'!E6+'MIS Apr24'!I6+'MIS Apr24'!K6</f>
        <v>7211265.9842999997</v>
      </c>
      <c r="C3" s="598">
        <f>B3/B$7</f>
        <v>1.05</v>
      </c>
      <c r="D3" s="619">
        <f>'MIS Apr24'!M6+'MIS Apr24'!O6+'MIS Apr24'!S6+'MIS Apr24'!U6</f>
        <v>13025288.719500002</v>
      </c>
      <c r="E3" s="598">
        <f>D3/D$7</f>
        <v>1.0618015796847609</v>
      </c>
      <c r="F3" s="619">
        <f>'MIS Apr24'!AA6+'MIS Apr24'!AC6+'MIS Apr24'!AG6</f>
        <v>9679520.4327000007</v>
      </c>
      <c r="G3" s="598">
        <f>F3/F$7</f>
        <v>1.0597679121229808</v>
      </c>
      <c r="H3" s="619">
        <f>'MIS Apr24'!AK6+'MIS Apr24'!AM6+'MIS Apr24'!AO6</f>
        <v>5178200.2513000006</v>
      </c>
      <c r="I3" s="598">
        <f>H3/H$7</f>
        <v>1.058826498477343</v>
      </c>
      <c r="J3" s="619">
        <f>'MIS Apr24'!AQ6+'MIS Apr24'!AS6+'MIS Apr24'!AW6+'MIS Apr24'!AY6+'MIS Apr24'!BA6+'MIS Apr24'!BC6+'MIS Apr24'!BE6+'MIS Apr24'!BG6</f>
        <v>18052770.8629</v>
      </c>
      <c r="K3" s="598">
        <f>J3/J$7</f>
        <v>1.0571789774586242</v>
      </c>
      <c r="L3" s="619">
        <f>'MIS Apr24'!BI6+'MIS Apr24'!BK6+'MIS Apr24'!BU6+'MIS Apr24'!BW6+'MIS Apr24'!CA6</f>
        <v>15906193.831850003</v>
      </c>
      <c r="M3" s="598">
        <f>L3/L$7</f>
        <v>1.056825492971291</v>
      </c>
      <c r="N3" s="619">
        <f>'MIS Apr24'!CC6+'MIS Apr24'!CE6+'MIS Apr24'!CI6+'MIS Apr24'!CK6</f>
        <v>8446521.3904500008</v>
      </c>
      <c r="O3" s="598">
        <f>N3/N$7</f>
        <v>1.0610091039539731</v>
      </c>
      <c r="P3" s="619">
        <f>'MIS Apr24'!CM6+'MIS Apr24'!CS6+'MIS Apr24'!CU6+'MIS Apr24'!CW6+'MIS Apr24'!CY6</f>
        <v>10174460.53915</v>
      </c>
      <c r="Q3" s="598">
        <f>P3/P$7</f>
        <v>1.0525542990648542</v>
      </c>
      <c r="R3" s="620">
        <f>'MIS Apr24'!DA6</f>
        <v>0</v>
      </c>
      <c r="S3" s="619">
        <f>SUM(B3:R3)</f>
        <v>87674230.470113873</v>
      </c>
      <c r="T3" s="598">
        <f>S3/S$7</f>
        <v>1.0574150300826173</v>
      </c>
      <c r="U3" s="632">
        <f>U5*1.06</f>
        <v>70760187.448695242</v>
      </c>
      <c r="V3" s="633">
        <f>U3/U$7</f>
        <v>1.0185473713747708</v>
      </c>
    </row>
    <row r="4" spans="1:22" x14ac:dyDescent="0.35">
      <c r="A4" s="68" t="s">
        <v>1058</v>
      </c>
      <c r="B4" s="621">
        <f>B3-B7</f>
        <v>343393.61830000021</v>
      </c>
      <c r="C4" s="615">
        <f>B4/B7</f>
        <v>5.0000000000000031E-2</v>
      </c>
      <c r="D4" s="621">
        <f>D3-D7</f>
        <v>758129.79950000346</v>
      </c>
      <c r="E4" s="615">
        <f>D4/D7</f>
        <v>6.1801579684760743E-2</v>
      </c>
      <c r="F4" s="621">
        <f>F3-F7</f>
        <v>545897.56870000064</v>
      </c>
      <c r="G4" s="615">
        <f>F4/F7</f>
        <v>5.9767912122980847E-2</v>
      </c>
      <c r="H4" s="621">
        <f>H3-H7</f>
        <v>287691.50530000124</v>
      </c>
      <c r="I4" s="615">
        <f>H4/H7</f>
        <v>5.8826498477342927E-2</v>
      </c>
      <c r="J4" s="621">
        <f>J3-J7</f>
        <v>976408.91490000114</v>
      </c>
      <c r="K4" s="615">
        <f>J4/J7</f>
        <v>5.7178977458624269E-2</v>
      </c>
      <c r="L4" s="621">
        <f>L3-L7</f>
        <v>855275.83485000208</v>
      </c>
      <c r="M4" s="615">
        <f>L4/L7</f>
        <v>5.6825492971291088E-2</v>
      </c>
      <c r="N4" s="621">
        <f>N3-N7</f>
        <v>485683.58145000041</v>
      </c>
      <c r="O4" s="615">
        <f>N4/N7</f>
        <v>6.100910395397309E-2</v>
      </c>
      <c r="P4" s="621">
        <f>P3-P7</f>
        <v>508013.35614999942</v>
      </c>
      <c r="Q4" s="615">
        <f>P4/P7</f>
        <v>5.2554299064854197E-2</v>
      </c>
      <c r="R4" s="622">
        <f>R3-R7</f>
        <v>0</v>
      </c>
      <c r="S4" s="621">
        <f>S3-S7</f>
        <v>4760494.6371138692</v>
      </c>
      <c r="T4" s="615">
        <f>S4/S7</f>
        <v>5.7415030082617176E-2</v>
      </c>
      <c r="U4" s="634">
        <f>U3-U5</f>
        <v>4005293.6291714385</v>
      </c>
      <c r="V4" s="635">
        <f>U4/U7</f>
        <v>5.7653624794798491E-2</v>
      </c>
    </row>
    <row r="5" spans="1:22" s="46" customFormat="1" x14ac:dyDescent="0.35">
      <c r="A5" s="613" t="s">
        <v>1061</v>
      </c>
      <c r="B5" s="623">
        <f>B7-B6</f>
        <v>6421131.9899999993</v>
      </c>
      <c r="C5" s="616">
        <f>B5/B7</f>
        <v>0.93495214351803813</v>
      </c>
      <c r="D5" s="623">
        <f>D7-D6</f>
        <v>11374232.919999998</v>
      </c>
      <c r="E5" s="616">
        <f>D5/D7</f>
        <v>0.92721004057881728</v>
      </c>
      <c r="F5" s="623">
        <f>F7-F6</f>
        <v>8507986.1899999995</v>
      </c>
      <c r="G5" s="616">
        <f>F5/F7</f>
        <v>0.93150180565633645</v>
      </c>
      <c r="H5" s="623">
        <f>H7-H6</f>
        <v>4504885.0699999994</v>
      </c>
      <c r="I5" s="616">
        <f>H5/H7</f>
        <v>0.9211485561056596</v>
      </c>
      <c r="J5" s="623">
        <f>J7-J6</f>
        <v>15835411.809999999</v>
      </c>
      <c r="K5" s="616">
        <f>J5/J7</f>
        <v>0.92732936079834372</v>
      </c>
      <c r="L5" s="623">
        <f>L7-L6</f>
        <v>13773660.370000001</v>
      </c>
      <c r="M5" s="616">
        <f>L5/L7</f>
        <v>0.91513755989803491</v>
      </c>
      <c r="N5" s="623">
        <f>N7-N6</f>
        <v>7545488.0700000003</v>
      </c>
      <c r="O5" s="616">
        <f>N5/N7</f>
        <v>0.94782587599882606</v>
      </c>
      <c r="P5" s="623">
        <f>P7-P6</f>
        <v>8910460.0899999999</v>
      </c>
      <c r="Q5" s="616">
        <f>P5/P7</f>
        <v>0.92179266294140361</v>
      </c>
      <c r="R5" s="623">
        <f>R7-R6</f>
        <v>0</v>
      </c>
      <c r="S5" s="623">
        <f>S7-S6</f>
        <v>76873263.936898008</v>
      </c>
      <c r="T5" s="616">
        <f>S5/S7</f>
        <v>0.92714751258743955</v>
      </c>
      <c r="U5" s="632">
        <f>U7-U6</f>
        <v>66754893.819523804</v>
      </c>
      <c r="V5" s="633">
        <f>U5/U7</f>
        <v>0.9608937465799724</v>
      </c>
    </row>
    <row r="6" spans="1:22" x14ac:dyDescent="0.35">
      <c r="A6" s="68" t="s">
        <v>1063</v>
      </c>
      <c r="B6" s="621">
        <f>'MIS Apr24'!C12+'MIS Apr24'!E12+'MIS Apr24'!I12+'MIS Apr24'!K12</f>
        <v>446740.37599999999</v>
      </c>
      <c r="C6" s="615">
        <f>B6/B7</f>
        <v>6.5047856481961888E-2</v>
      </c>
      <c r="D6" s="621">
        <f>'MIS Apr24'!M12+'MIS Apr24'!O12+'MIS Apr24'!S12+'MIS Apr24'!U12</f>
        <v>892926</v>
      </c>
      <c r="E6" s="615">
        <f>D6/D7</f>
        <v>7.2789959421182757E-2</v>
      </c>
      <c r="F6" s="621">
        <f>'MIS Apr24'!AA12+'MIS Apr24'!AC12+'MIS Apr24'!AG12</f>
        <v>625636.674</v>
      </c>
      <c r="G6" s="615">
        <f>F6/F7</f>
        <v>6.8498194343663457E-2</v>
      </c>
      <c r="H6" s="621">
        <f>'MIS Apr24'!AK12+'MIS Apr24'!AM12+'MIS Apr24'!AO12</f>
        <v>385623.67599999998</v>
      </c>
      <c r="I6" s="615">
        <f>H6/H7</f>
        <v>7.8851443894340401E-2</v>
      </c>
      <c r="J6" s="621">
        <f>'MIS Apr24'!AQ12+'MIS Apr24'!AS12+'MIS Apr24'!AW12+'MIS Apr24'!AY12+'MIS Apr24'!BA12+'MIS Apr24'!BC12+'MIS Apr24'!BE12+'MIS Apr24'!BG12</f>
        <v>1240950.1380000003</v>
      </c>
      <c r="K6" s="615">
        <f>J6/J7</f>
        <v>7.267063920165627E-2</v>
      </c>
      <c r="L6" s="621">
        <f>'MIS Apr24'!BI12+'MIS Apr24'!BK12+'MIS Apr24'!BU12+'MIS Apr24'!BW12+'MIS Apr24'!CA12</f>
        <v>1277257.6270000001</v>
      </c>
      <c r="M6" s="615">
        <f>L6/L7</f>
        <v>8.4862440101965031E-2</v>
      </c>
      <c r="N6" s="621">
        <f>'MIS Apr24'!CC12+'MIS Apr24'!CE12+'MIS Apr24'!CI12+'MIS Apr24'!CK12</f>
        <v>415349.73900000006</v>
      </c>
      <c r="O6" s="615">
        <f>N6/N7</f>
        <v>5.2174124001173959E-2</v>
      </c>
      <c r="P6" s="621">
        <f>'MIS Apr24'!CM12+'MIS Apr24'!CS12+'MIS Apr24'!CU12+'MIS Apr24'!CW12+'MIS Apr24'!CY12</f>
        <v>755987.09299999988</v>
      </c>
      <c r="Q6" s="615">
        <f>P6/P7</f>
        <v>7.820733705859631E-2</v>
      </c>
      <c r="R6" s="622">
        <v>0</v>
      </c>
      <c r="S6" s="621">
        <f>SUM(B6:R6)</f>
        <v>6040471.8961019935</v>
      </c>
      <c r="T6" s="615">
        <f>S6/S7</f>
        <v>7.2852487412560424E-2</v>
      </c>
      <c r="U6" s="634">
        <v>2716776.7550000004</v>
      </c>
      <c r="V6" s="635">
        <f>U6/U7</f>
        <v>3.9106253420027569E-2</v>
      </c>
    </row>
    <row r="7" spans="1:22" s="46" customFormat="1" x14ac:dyDescent="0.35">
      <c r="A7" s="604" t="s">
        <v>1062</v>
      </c>
      <c r="B7" s="619">
        <f>'MIS Apr24'!C8+'MIS Apr24'!E8+'MIS Apr24'!I8+'MIS Apr24'!K8</f>
        <v>6867872.3659999995</v>
      </c>
      <c r="C7" s="598">
        <v>1</v>
      </c>
      <c r="D7" s="619">
        <f>'MIS Apr24'!M8+'MIS Apr24'!O8+'MIS Apr24'!S8+'MIS Apr24'!U8</f>
        <v>12267158.919999998</v>
      </c>
      <c r="E7" s="598">
        <v>1</v>
      </c>
      <c r="F7" s="619">
        <f>'MIS Apr24'!AA8+'MIS Apr24'!AC8+'MIS Apr24'!AG8</f>
        <v>9133622.8640000001</v>
      </c>
      <c r="G7" s="598">
        <v>1</v>
      </c>
      <c r="H7" s="619">
        <f>'MIS Apr24'!AK8+'MIS Apr24'!AM8+'MIS Apr24'!AO8</f>
        <v>4890508.7459999993</v>
      </c>
      <c r="I7" s="598">
        <v>1</v>
      </c>
      <c r="J7" s="619">
        <f>'MIS Apr24'!BG8+'MIS Apr24'!BE8+'MIS Apr24'!BC8+'MIS Apr24'!BA8+'MIS Apr24'!AY8+'MIS Apr24'!AW8+'MIS Apr24'!AS8+'MIS Apr24'!AQ8</f>
        <v>17076361.947999999</v>
      </c>
      <c r="K7" s="598">
        <v>1</v>
      </c>
      <c r="L7" s="619">
        <f>'MIS Apr24'!BI8+'MIS Apr24'!BK8+'MIS Apr24'!BU8+'MIS Apr24'!BW8+'MIS Apr24'!CA8</f>
        <v>15050917.997000001</v>
      </c>
      <c r="M7" s="598">
        <v>1</v>
      </c>
      <c r="N7" s="619">
        <f>'MIS Apr24'!CC8+'MIS Apr24'!CE8+'MIS Apr24'!CI8+'MIS Apr24'!CK8</f>
        <v>7960837.8090000004</v>
      </c>
      <c r="O7" s="598">
        <v>1</v>
      </c>
      <c r="P7" s="619">
        <f>'MIS Apr24'!CM8+'MIS Apr24'!CS8+'MIS Apr24'!CU8+'MIS Apr24'!CW8+'MIS Apr24'!CY8</f>
        <v>9666447.1830000002</v>
      </c>
      <c r="Q7" s="598">
        <v>1</v>
      </c>
      <c r="R7" s="620">
        <f>'MIS Apr24'!DA8</f>
        <v>0</v>
      </c>
      <c r="S7" s="619">
        <f>SUM(B7:R7)</f>
        <v>82913735.833000004</v>
      </c>
      <c r="T7" s="598">
        <v>1</v>
      </c>
      <c r="U7" s="632">
        <v>69471670.574523807</v>
      </c>
      <c r="V7" s="633">
        <v>1</v>
      </c>
    </row>
    <row r="8" spans="1:22" x14ac:dyDescent="0.35">
      <c r="A8" s="68" t="s">
        <v>1044</v>
      </c>
      <c r="B8" s="621">
        <f>'MIS Apr24'!C15+'MIS Apr24'!E15+'MIS Apr24'!I15+'MIS Apr24'!K15</f>
        <v>2109059.13</v>
      </c>
      <c r="C8" s="615">
        <f t="shared" ref="C8:C14" si="0">B8/B$7</f>
        <v>0.3070906122893432</v>
      </c>
      <c r="D8" s="621">
        <f>'MIS Apr24'!M15+'MIS Apr24'!O15+'MIS Apr24'!S15+'MIS Apr24'!U15</f>
        <v>4070528.4965854036</v>
      </c>
      <c r="E8" s="615">
        <f t="shared" ref="E8:E14" si="1">D8/D$7</f>
        <v>0.33182324637116578</v>
      </c>
      <c r="F8" s="621">
        <f>'MIS Apr24'!AA15+'MIS Apr24'!AC15+'MIS Apr24'!AG15</f>
        <v>2264852.5844078092</v>
      </c>
      <c r="G8" s="615">
        <f t="shared" ref="G8:G14" si="2">F8/F$7</f>
        <v>0.24796869962024404</v>
      </c>
      <c r="H8" s="621">
        <f>'MIS Apr24'!AK15+'MIS Apr24'!AM15+'MIS Apr24'!AO15</f>
        <v>1545534.93</v>
      </c>
      <c r="I8" s="615">
        <f t="shared" ref="I8:I14" si="3">H8/H$7</f>
        <v>0.31602743400962319</v>
      </c>
      <c r="J8" s="621">
        <f>'MIS Apr24'!AQ15+'MIS Apr24'!AS15+'MIS Apr24'!AW15+'MIS Apr24'!AY15+'MIS Apr24'!BA15+'MIS Apr24'!BC15+'MIS Apr24'!BE15+'MIS Apr24'!BG15</f>
        <v>5310839.2483283645</v>
      </c>
      <c r="K8" s="615">
        <f t="shared" ref="K8:K14" si="4">J8/J$7</f>
        <v>0.3110053104110021</v>
      </c>
      <c r="L8" s="621">
        <f>'MIS Apr24'!BI15+'MIS Apr24'!BK15+'MIS Apr24'!BU15+'MIS Apr24'!BW15+'MIS Apr24'!CA15</f>
        <v>4908077.1101069376</v>
      </c>
      <c r="M8" s="615">
        <f t="shared" ref="M8:M14" si="5">L8/L$7</f>
        <v>0.32609818956459874</v>
      </c>
      <c r="N8" s="621">
        <f>'MIS Apr24'!CC15+'MIS Apr24'!CE15+'MIS Apr24'!CI15+'MIS Apr24'!CK15</f>
        <v>2303459</v>
      </c>
      <c r="O8" s="615">
        <f t="shared" ref="O8:O14" si="6">N8/N$7</f>
        <v>0.2893488167031692</v>
      </c>
      <c r="P8" s="621">
        <f>'MIS Apr24'!CM15+'MIS Apr24'!CS15+'MIS Apr24'!CU15+'MIS Apr24'!CW15+'MIS Apr24'!CY15</f>
        <v>3252326.1478651976</v>
      </c>
      <c r="Q8" s="615">
        <f t="shared" ref="Q8:Q14" si="7">P8/P$7</f>
        <v>0.33645517182206669</v>
      </c>
      <c r="R8" s="622">
        <f>'MIS Apr24'!DA15</f>
        <v>0</v>
      </c>
      <c r="S8" s="621">
        <f>SUM(B8:R8)</f>
        <v>25764679.113111194</v>
      </c>
      <c r="T8" s="615">
        <f t="shared" ref="T8:V14" si="8">S8/S$7</f>
        <v>0.31074078202199096</v>
      </c>
      <c r="U8" s="634">
        <f>19268828.1054819+4886349+1529366-4886349</f>
        <v>20798194.1054819</v>
      </c>
      <c r="V8" s="635">
        <f t="shared" si="8"/>
        <v>0.29937662263600262</v>
      </c>
    </row>
    <row r="9" spans="1:22" s="46" customFormat="1" x14ac:dyDescent="0.35">
      <c r="A9" s="604" t="s">
        <v>1045</v>
      </c>
      <c r="B9" s="619">
        <f>B7-B8</f>
        <v>4758813.2359999996</v>
      </c>
      <c r="C9" s="598">
        <f t="shared" si="0"/>
        <v>0.6929093877106568</v>
      </c>
      <c r="D9" s="619">
        <f>D7-D8</f>
        <v>8196630.4234145945</v>
      </c>
      <c r="E9" s="598">
        <f t="shared" si="1"/>
        <v>0.66817675362883422</v>
      </c>
      <c r="F9" s="619">
        <f t="shared" ref="F9:U9" si="9">F7-F8</f>
        <v>6868770.2795921909</v>
      </c>
      <c r="G9" s="598">
        <f t="shared" si="2"/>
        <v>0.75203130037975596</v>
      </c>
      <c r="H9" s="619">
        <f t="shared" si="9"/>
        <v>3344973.8159999996</v>
      </c>
      <c r="I9" s="598">
        <f t="shared" si="3"/>
        <v>0.68397256599037681</v>
      </c>
      <c r="J9" s="619">
        <f t="shared" si="9"/>
        <v>11765522.699671634</v>
      </c>
      <c r="K9" s="598">
        <f t="shared" si="4"/>
        <v>0.68899468958899779</v>
      </c>
      <c r="L9" s="619">
        <f t="shared" si="9"/>
        <v>10142840.886893064</v>
      </c>
      <c r="M9" s="598">
        <f t="shared" si="5"/>
        <v>0.67390181043540121</v>
      </c>
      <c r="N9" s="619">
        <f t="shared" si="9"/>
        <v>5657378.8090000004</v>
      </c>
      <c r="O9" s="598">
        <f t="shared" si="6"/>
        <v>0.71065118329683086</v>
      </c>
      <c r="P9" s="619">
        <f t="shared" si="9"/>
        <v>6414121.0351348026</v>
      </c>
      <c r="Q9" s="598">
        <f t="shared" si="7"/>
        <v>0.66354482817793325</v>
      </c>
      <c r="R9" s="620">
        <f t="shared" si="9"/>
        <v>0</v>
      </c>
      <c r="S9" s="619">
        <f t="shared" si="9"/>
        <v>57149056.719888806</v>
      </c>
      <c r="T9" s="598">
        <f t="shared" si="8"/>
        <v>0.68925921797800904</v>
      </c>
      <c r="U9" s="632">
        <f t="shared" si="9"/>
        <v>48673476.469041906</v>
      </c>
      <c r="V9" s="633">
        <f>U9/U$7</f>
        <v>0.70062337736399738</v>
      </c>
    </row>
    <row r="10" spans="1:22" x14ac:dyDescent="0.35">
      <c r="A10" s="68" t="s">
        <v>1046</v>
      </c>
      <c r="B10" s="621">
        <f>'MIS Apr24'!C22+'MIS Apr24'!E22+'MIS Apr24'!I22+'MIS Apr24'!K22</f>
        <v>1771253.531</v>
      </c>
      <c r="C10" s="615">
        <f t="shared" si="0"/>
        <v>0.25790425864183864</v>
      </c>
      <c r="D10" s="621">
        <f>'MIS Apr24'!M22+'MIS Apr24'!O22+'MIS Apr24'!S22+'MIS Apr24'!U22</f>
        <v>2380282.0192</v>
      </c>
      <c r="E10" s="615">
        <f t="shared" si="1"/>
        <v>0.19403694325010018</v>
      </c>
      <c r="F10" s="621">
        <f>'MIS Apr24'!AA22+'MIS Apr24'!AC22+'MIS Apr24'!AG22</f>
        <v>2455066.7053666664</v>
      </c>
      <c r="G10" s="615">
        <f t="shared" si="2"/>
        <v>0.26879440304495872</v>
      </c>
      <c r="H10" s="621">
        <f>'MIS Apr24'!AK22+'MIS Apr24'!AM22+'MIS Apr24'!AO22</f>
        <v>1518547.3953</v>
      </c>
      <c r="I10" s="615">
        <f t="shared" si="3"/>
        <v>0.31050908487629975</v>
      </c>
      <c r="J10" s="621">
        <f>'MIS Apr24'!AQ22+'MIS Apr24'!AS22+'MIS Apr24'!AW22+'MIS Apr24'!AY22+'MIS Apr24'!BA22+'MIS Apr24'!BC22+'MIS Apr24'!BE22+'MIS Apr24'!BG22</f>
        <v>4252459.2543000001</v>
      </c>
      <c r="K10" s="615">
        <f t="shared" si="4"/>
        <v>0.24902606698366758</v>
      </c>
      <c r="L10" s="621">
        <f>'MIS Apr24'!BI22+'MIS Apr24'!BK22+'MIS Apr24'!BU22+'MIS Apr24'!BW22+'MIS Apr24'!CA22</f>
        <v>3553283.8781000003</v>
      </c>
      <c r="M10" s="615">
        <f t="shared" si="5"/>
        <v>0.23608419624691682</v>
      </c>
      <c r="N10" s="621">
        <f>'MIS Apr24'!CC22+'MIS Apr24'!CE22+'MIS Apr24'!CI22+'MIS Apr24'!CK22</f>
        <v>1954991.5410000002</v>
      </c>
      <c r="O10" s="615">
        <f t="shared" si="6"/>
        <v>0.24557610491571819</v>
      </c>
      <c r="P10" s="621">
        <f>'MIS Apr24'!CM22+'MIS Apr24'!CS22+'MIS Apr24'!CU22+'MIS Apr24'!CW22+'MIS Apr24'!CY22</f>
        <v>2556126.3942</v>
      </c>
      <c r="Q10" s="615">
        <f t="shared" si="7"/>
        <v>0.26443287236859458</v>
      </c>
      <c r="R10" s="622">
        <f>'MIS Apr24'!DA22</f>
        <v>0</v>
      </c>
      <c r="S10" s="621">
        <f>SUM(B10:R10)</f>
        <v>20442012.744830601</v>
      </c>
      <c r="T10" s="615">
        <f t="shared" si="8"/>
        <v>0.24654555170452946</v>
      </c>
      <c r="U10" s="634">
        <f>11066548.0747333+5760117</f>
        <v>16826665.074733302</v>
      </c>
      <c r="V10" s="635">
        <f t="shared" si="8"/>
        <v>0.24220901751143242</v>
      </c>
    </row>
    <row r="11" spans="1:22" x14ac:dyDescent="0.35">
      <c r="A11" s="68" t="s">
        <v>1047</v>
      </c>
      <c r="B11" s="621">
        <f>'MIS Apr24'!C27+'MIS Apr24'!E27+'MIS Apr24'!I27+'MIS Apr24'!K27</f>
        <v>2700207.411879722</v>
      </c>
      <c r="C11" s="615">
        <f t="shared" si="0"/>
        <v>0.39316505432560661</v>
      </c>
      <c r="D11" s="621">
        <f>'MIS Apr24'!M27+'MIS Apr24'!O27+'MIS Apr24'!S27+'MIS Apr24'!U27</f>
        <v>3943473.628295159</v>
      </c>
      <c r="E11" s="615">
        <f t="shared" si="1"/>
        <v>0.32146592817558117</v>
      </c>
      <c r="F11" s="621">
        <f>'MIS Apr24'!AA27+'MIS Apr24'!AC27+'MIS Apr24'!AG27</f>
        <v>2793919.5061991368</v>
      </c>
      <c r="G11" s="615">
        <f t="shared" si="2"/>
        <v>0.30589389859869487</v>
      </c>
      <c r="H11" s="621">
        <f>'MIS Apr24'!AK27+'MIS Apr24'!AM27+'MIS Apr24'!AO27</f>
        <v>3290207.5662733037</v>
      </c>
      <c r="I11" s="615">
        <f t="shared" si="3"/>
        <v>0.67277408898704061</v>
      </c>
      <c r="J11" s="621">
        <f>'MIS Apr24'!BG27+'MIS Apr24'!BE27+'MIS Apr24'!BC27+'MIS Apr24'!BA27+'MIS Apr24'!AY27+'MIS Apr24'!AW27+'MIS Apr24'!AS27+'MIS Apr24'!AQ27</f>
        <v>6567007.1111528734</v>
      </c>
      <c r="K11" s="615">
        <f t="shared" si="4"/>
        <v>0.38456710692537222</v>
      </c>
      <c r="L11" s="621">
        <f>'MIS Apr24'!BI27+'MIS Apr24'!BK27+'MIS Apr24'!BU27+'MIS Apr24'!BW27+'MIS Apr24'!CA27</f>
        <v>7185962.897993437</v>
      </c>
      <c r="M11" s="615">
        <f t="shared" si="5"/>
        <v>0.4774434954350138</v>
      </c>
      <c r="N11" s="621">
        <f>'MIS Apr24'!CC27+'MIS Apr24'!CE27+'MIS Apr24'!CI27+'MIS Apr24'!CK27</f>
        <v>3278031.4076109389</v>
      </c>
      <c r="O11" s="615">
        <f t="shared" si="6"/>
        <v>0.41176965116724423</v>
      </c>
      <c r="P11" s="621">
        <f>'MIS Apr24'!CM27+'MIS Apr24'!CS27+'MIS Apr24'!CU27+'MIS Apr24'!CW27+'MIS Apr24'!CY27</f>
        <v>5416377.8966241218</v>
      </c>
      <c r="Q11" s="615">
        <f t="shared" si="7"/>
        <v>0.56032767717902521</v>
      </c>
      <c r="R11" s="622">
        <f>'MIS Apr24'!DA27</f>
        <v>5076070.2735440517</v>
      </c>
      <c r="S11" s="621">
        <f>SUM(B11:R11)</f>
        <v>40251261.226979643</v>
      </c>
      <c r="T11" s="615">
        <f t="shared" si="8"/>
        <v>0.48545950586584807</v>
      </c>
      <c r="U11" s="634">
        <v>21199785</v>
      </c>
      <c r="V11" s="635">
        <f t="shared" si="8"/>
        <v>0.30515726517989111</v>
      </c>
    </row>
    <row r="12" spans="1:22" x14ac:dyDescent="0.35">
      <c r="A12" s="68" t="s">
        <v>1048</v>
      </c>
      <c r="B12" s="621">
        <f>'MIS Apr24'!C34+'MIS Apr24'!E34+'MIS Apr24'!I34+'MIS Apr24'!K34</f>
        <v>392629.04999999993</v>
      </c>
      <c r="C12" s="615">
        <f t="shared" si="0"/>
        <v>5.7168949723606435E-2</v>
      </c>
      <c r="D12" s="621">
        <f>'MIS Apr24'!M34+'MIS Apr24'!O34+'MIS Apr24'!S34+'MIS Apr24'!U34</f>
        <v>340896.81000000006</v>
      </c>
      <c r="E12" s="615">
        <f t="shared" si="1"/>
        <v>2.7789385645294967E-2</v>
      </c>
      <c r="F12" s="621">
        <f>'MIS Apr24'!AA34+'MIS Apr24'!AC34+'MIS Apr24'!AG34</f>
        <v>204273.52</v>
      </c>
      <c r="G12" s="615">
        <f t="shared" si="2"/>
        <v>2.236500488816329E-2</v>
      </c>
      <c r="H12" s="621">
        <f>'MIS Apr24'!AK34+'MIS Apr24'!AM34+'MIS Apr24'!AO34</f>
        <v>182205.84999999998</v>
      </c>
      <c r="I12" s="615">
        <f t="shared" si="3"/>
        <v>3.7257033871788518E-2</v>
      </c>
      <c r="J12" s="621">
        <f>'MIS Apr24'!AQ34+'MIS Apr24'!AS34+'MIS Apr24'!AW34+'MIS Apr24'!AY34+'MIS Apr24'!BA34+'MIS Apr24'!BC34+'MIS Apr24'!BE34+'MIS Apr24'!BG34</f>
        <v>570636.18000000005</v>
      </c>
      <c r="K12" s="615">
        <f t="shared" si="4"/>
        <v>3.3416730199188213E-2</v>
      </c>
      <c r="L12" s="621">
        <f>'MIS Apr24'!BI34+'MIS Apr24'!BK34+'MIS Apr24'!BU34+'MIS Apr24'!BW34+'MIS Apr24'!CA34</f>
        <v>593465.772</v>
      </c>
      <c r="M12" s="615">
        <f t="shared" si="5"/>
        <v>3.9430536537259156E-2</v>
      </c>
      <c r="N12" s="621">
        <f>'MIS Apr24'!CC34+'MIS Apr24'!CE34+'MIS Apr24'!CI34+'MIS Apr24'!CK34</f>
        <v>495460.62</v>
      </c>
      <c r="O12" s="615">
        <f t="shared" si="6"/>
        <v>6.2237245863728662E-2</v>
      </c>
      <c r="P12" s="621">
        <f>'MIS Apr24'!CM34+'MIS Apr24'!CS34+'MIS Apr24'!CU34+'MIS Apr24'!CW34+'MIS Apr24'!CY34</f>
        <v>78941.899999999994</v>
      </c>
      <c r="Q12" s="615">
        <f t="shared" si="7"/>
        <v>8.1665888723658469E-3</v>
      </c>
      <c r="R12" s="622">
        <f>'MIS Apr24'!DA34</f>
        <v>596309.098</v>
      </c>
      <c r="S12" s="621">
        <f>SUM(B12:R12)</f>
        <v>3454819.0878314758</v>
      </c>
      <c r="T12" s="615">
        <f t="shared" si="8"/>
        <v>4.1667632668125947E-2</v>
      </c>
      <c r="U12" s="634">
        <v>7090739.4630000005</v>
      </c>
      <c r="V12" s="635">
        <f t="shared" si="8"/>
        <v>0.10206663240368757</v>
      </c>
    </row>
    <row r="13" spans="1:22" x14ac:dyDescent="0.35">
      <c r="A13" s="68" t="s">
        <v>1049</v>
      </c>
      <c r="B13" s="621">
        <f>'MIS Apr24'!C39+'MIS Apr24'!E39+'MIS Apr24'!I39+'MIS Apr24'!K39</f>
        <v>765307.23000000021</v>
      </c>
      <c r="C13" s="615">
        <f t="shared" si="0"/>
        <v>0.11143294301576138</v>
      </c>
      <c r="D13" s="621">
        <f>'MIS Apr24'!M39+'MIS Apr24'!O39+'MIS Apr24'!S39+'MIS Apr24'!U39</f>
        <v>923967.94</v>
      </c>
      <c r="E13" s="615">
        <f t="shared" si="1"/>
        <v>7.5320450808996298E-2</v>
      </c>
      <c r="F13" s="621">
        <f>'MIS Apr24'!AA39+'MIS Apr24'!AC39+'MIS Apr24'!AG39</f>
        <v>1285971.5699999998</v>
      </c>
      <c r="G13" s="615">
        <f t="shared" si="2"/>
        <v>0.14079534366025032</v>
      </c>
      <c r="H13" s="621">
        <f>'MIS Apr24'!AK39+'MIS Apr24'!AM39+'MIS Apr24'!AO39</f>
        <v>578089.04</v>
      </c>
      <c r="I13" s="615">
        <f t="shared" si="3"/>
        <v>0.11820631963347891</v>
      </c>
      <c r="J13" s="621">
        <f>'MIS Apr24'!BG39+'MIS Apr24'!BE39+'MIS Apr24'!BC39+'MIS Apr24'!BA39+'MIS Apr24'!AY39+'MIS Apr24'!AW39+'MIS Apr24'!AS39+'MIS Apr24'!AQ39</f>
        <v>2448819.94</v>
      </c>
      <c r="K13" s="615">
        <f t="shared" si="4"/>
        <v>0.14340407795624222</v>
      </c>
      <c r="L13" s="621">
        <f>'MIS Apr24'!BI39+'MIS Apr24'!BK39+'MIS Apr24'!BU39+'MIS Apr24'!BW39+'MIS Apr24'!CA39</f>
        <v>1493969.5499999998</v>
      </c>
      <c r="M13" s="615">
        <f t="shared" si="5"/>
        <v>9.9261025161241509E-2</v>
      </c>
      <c r="N13" s="621">
        <f>'MIS Apr24'!CC39+'MIS Apr24'!CE39+'MIS Apr24'!CI39+'MIS Apr24'!CK39</f>
        <v>1064472.47</v>
      </c>
      <c r="O13" s="615">
        <f t="shared" si="6"/>
        <v>0.13371362355813571</v>
      </c>
      <c r="P13" s="621">
        <f>'MIS Apr24'!CM39+'MIS Apr24'!CS39+'MIS Apr24'!CU39+'MIS Apr24'!CW39+'MIS Apr24'!CY39</f>
        <v>1745413.44</v>
      </c>
      <c r="Q13" s="615">
        <f t="shared" si="7"/>
        <v>0.18056411077997611</v>
      </c>
      <c r="R13" s="622">
        <f>'MIS Apr24'!DA39</f>
        <v>1516687.8</v>
      </c>
      <c r="S13" s="621">
        <f>SUM(B13:R13)</f>
        <v>11822699.982697895</v>
      </c>
      <c r="T13" s="615">
        <f t="shared" si="8"/>
        <v>0.14259036652877982</v>
      </c>
      <c r="U13" s="634">
        <f>8943383+105368-5760117+3356983</f>
        <v>6645617</v>
      </c>
      <c r="V13" s="635">
        <f t="shared" si="8"/>
        <v>9.5659380939617664E-2</v>
      </c>
    </row>
    <row r="14" spans="1:22" ht="15" thickBot="1" x14ac:dyDescent="0.4">
      <c r="A14" s="605" t="s">
        <v>1050</v>
      </c>
      <c r="B14" s="624">
        <f>B9-SUM(B10:B13)</f>
        <v>-870583.98687972222</v>
      </c>
      <c r="C14" s="617">
        <f t="shared" si="0"/>
        <v>-0.12676181799615616</v>
      </c>
      <c r="D14" s="624">
        <f t="shared" ref="D14:U14" si="10">D9-SUM(D10:D13)</f>
        <v>608010.02591943648</v>
      </c>
      <c r="E14" s="617">
        <f t="shared" si="1"/>
        <v>4.9564045748861675E-2</v>
      </c>
      <c r="F14" s="624">
        <f t="shared" si="10"/>
        <v>129538.97802638728</v>
      </c>
      <c r="G14" s="617">
        <f t="shared" si="2"/>
        <v>1.4182650187688687E-2</v>
      </c>
      <c r="H14" s="624">
        <f t="shared" si="10"/>
        <v>-2224076.0355733037</v>
      </c>
      <c r="I14" s="617">
        <f t="shared" si="3"/>
        <v>-0.45477396137823078</v>
      </c>
      <c r="J14" s="624">
        <f t="shared" si="10"/>
        <v>-2073399.7857812401</v>
      </c>
      <c r="K14" s="617">
        <f t="shared" si="4"/>
        <v>-0.12141929247547244</v>
      </c>
      <c r="L14" s="624">
        <f t="shared" si="10"/>
        <v>-2683841.2112003751</v>
      </c>
      <c r="M14" s="617">
        <f t="shared" si="5"/>
        <v>-0.17831744294503013</v>
      </c>
      <c r="N14" s="624">
        <f t="shared" si="10"/>
        <v>-1135577.2296109386</v>
      </c>
      <c r="O14" s="617">
        <f t="shared" si="6"/>
        <v>-0.14264544220799594</v>
      </c>
      <c r="P14" s="624">
        <f t="shared" si="10"/>
        <v>-3382738.59568932</v>
      </c>
      <c r="Q14" s="617">
        <f t="shared" si="7"/>
        <v>-0.34994642102202855</v>
      </c>
      <c r="R14" s="625">
        <f t="shared" si="10"/>
        <v>-7189067.1715440517</v>
      </c>
      <c r="S14" s="624">
        <f t="shared" si="10"/>
        <v>-18821736.322450802</v>
      </c>
      <c r="T14" s="617">
        <f t="shared" si="8"/>
        <v>-0.22700383878927421</v>
      </c>
      <c r="U14" s="636">
        <f t="shared" si="10"/>
        <v>-3089330.0686913952</v>
      </c>
      <c r="V14" s="637">
        <f>U14/U$7</f>
        <v>-4.4468918670631394E-2</v>
      </c>
    </row>
    <row r="15" spans="1:22" x14ac:dyDescent="0.35">
      <c r="B15" s="601"/>
      <c r="C15" s="601"/>
      <c r="D15" s="238"/>
      <c r="E15" s="238"/>
      <c r="F15" s="238"/>
      <c r="G15" s="600"/>
      <c r="H15" s="238"/>
      <c r="I15" s="600"/>
      <c r="J15" s="238"/>
      <c r="K15" s="600"/>
      <c r="L15" s="238"/>
      <c r="M15" s="600"/>
      <c r="N15" s="238"/>
      <c r="O15" s="600"/>
      <c r="P15" s="238"/>
      <c r="Q15" s="600"/>
      <c r="R15" s="238"/>
      <c r="S15" s="59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0"/>
  <sheetViews>
    <sheetView topLeftCell="A58" workbookViewId="0">
      <selection activeCell="B4" sqref="B4:D60"/>
    </sheetView>
  </sheetViews>
  <sheetFormatPr defaultColWidth="28.6328125" defaultRowHeight="14.5" x14ac:dyDescent="0.35"/>
  <cols>
    <col min="1" max="1" width="25.54296875" customWidth="1"/>
    <col min="2" max="2" width="12.90625" style="116" customWidth="1"/>
    <col min="3" max="3" width="15.90625" style="116" customWidth="1"/>
    <col min="4" max="4" width="19.1796875" customWidth="1"/>
  </cols>
  <sheetData>
    <row r="1" spans="1:4" ht="15" thickBot="1" x14ac:dyDescent="0.4">
      <c r="A1" s="46" t="s">
        <v>1043</v>
      </c>
    </row>
    <row r="2" spans="1:4" x14ac:dyDescent="0.35">
      <c r="A2" s="775" t="s">
        <v>990</v>
      </c>
      <c r="B2" s="777" t="s">
        <v>991</v>
      </c>
      <c r="C2" s="779" t="s">
        <v>992</v>
      </c>
      <c r="D2" s="781" t="s">
        <v>993</v>
      </c>
    </row>
    <row r="3" spans="1:4" ht="15" thickBot="1" x14ac:dyDescent="0.4">
      <c r="A3" s="776"/>
      <c r="B3" s="778"/>
      <c r="C3" s="780"/>
      <c r="D3" s="782"/>
    </row>
    <row r="4" spans="1:4" ht="15" thickBot="1" x14ac:dyDescent="0.4">
      <c r="A4" s="556" t="s">
        <v>994</v>
      </c>
      <c r="B4" s="557">
        <f>SUM(B5:B12)</f>
        <v>17076361.947999999</v>
      </c>
      <c r="C4" s="557">
        <f>SUM(C5:C12)</f>
        <v>-2073399.7857812373</v>
      </c>
      <c r="D4" s="558">
        <f t="shared" ref="D4:D12" si="0">IFERROR(C4/B4,0)</f>
        <v>-0.12141929247547227</v>
      </c>
    </row>
    <row r="5" spans="1:4" x14ac:dyDescent="0.35">
      <c r="A5" s="559" t="s">
        <v>995</v>
      </c>
      <c r="B5" s="560">
        <f>'MIS Apr24'!AQ8</f>
        <v>1476393.0499999998</v>
      </c>
      <c r="C5" s="560">
        <f>'MIS Apr24'!AQ54</f>
        <v>-287716.55874286266</v>
      </c>
      <c r="D5" s="562">
        <f t="shared" si="0"/>
        <v>-0.19487802299181961</v>
      </c>
    </row>
    <row r="6" spans="1:4" x14ac:dyDescent="0.35">
      <c r="A6" s="563" t="s">
        <v>996</v>
      </c>
      <c r="B6" s="564">
        <f>'MIS Apr24'!AS8</f>
        <v>1866405.4890000001</v>
      </c>
      <c r="C6" s="565">
        <f>'MIS Apr24'!AS54</f>
        <v>84.519874839810655</v>
      </c>
      <c r="D6" s="566">
        <f t="shared" si="0"/>
        <v>4.5284840479704919E-5</v>
      </c>
    </row>
    <row r="7" spans="1:4" x14ac:dyDescent="0.35">
      <c r="A7" s="563" t="s">
        <v>997</v>
      </c>
      <c r="B7" s="564">
        <f>'MIS Apr24'!AW8</f>
        <v>3705506.611</v>
      </c>
      <c r="C7" s="565">
        <f>'MIS Apr24'!AW54</f>
        <v>409630.98159949202</v>
      </c>
      <c r="D7" s="566">
        <f t="shared" si="0"/>
        <v>0.11054655263155649</v>
      </c>
    </row>
    <row r="8" spans="1:4" x14ac:dyDescent="0.35">
      <c r="A8" s="563" t="s">
        <v>998</v>
      </c>
      <c r="B8" s="564">
        <f>'MIS Apr24'!AY8</f>
        <v>4170140.852</v>
      </c>
      <c r="C8" s="565">
        <f>'MIS Apr24'!AY54</f>
        <v>154015.35860899556</v>
      </c>
      <c r="D8" s="566">
        <f t="shared" si="0"/>
        <v>3.6932891255970351E-2</v>
      </c>
    </row>
    <row r="9" spans="1:4" x14ac:dyDescent="0.35">
      <c r="A9" s="563" t="s">
        <v>999</v>
      </c>
      <c r="B9" s="564">
        <f>'MIS Apr24'!BA8</f>
        <v>329199.636</v>
      </c>
      <c r="C9" s="565">
        <f>'MIS Apr24'!BA54</f>
        <v>-822648.69158347533</v>
      </c>
      <c r="D9" s="566">
        <f t="shared" si="0"/>
        <v>-2.4989356050912379</v>
      </c>
    </row>
    <row r="10" spans="1:4" x14ac:dyDescent="0.35">
      <c r="A10" s="563" t="s">
        <v>1000</v>
      </c>
      <c r="B10" s="564">
        <f>'MIS Apr24'!BC8</f>
        <v>2083744.82</v>
      </c>
      <c r="C10" s="565">
        <f>'MIS Apr24'!BC54</f>
        <v>-826009.7712678907</v>
      </c>
      <c r="D10" s="566">
        <f t="shared" si="0"/>
        <v>-0.39640639455453602</v>
      </c>
    </row>
    <row r="11" spans="1:4" x14ac:dyDescent="0.35">
      <c r="A11" s="563" t="s">
        <v>1001</v>
      </c>
      <c r="B11" s="564">
        <f>'MIS Apr24'!BE8</f>
        <v>1604949.7930000001</v>
      </c>
      <c r="C11" s="565">
        <f>'MIS Apr24'!BE54</f>
        <v>-100861.41053040233</v>
      </c>
      <c r="D11" s="566">
        <f t="shared" si="0"/>
        <v>-6.2843966191534512E-2</v>
      </c>
    </row>
    <row r="12" spans="1:4" ht="15" thickBot="1" x14ac:dyDescent="0.4">
      <c r="A12" s="567" t="s">
        <v>1002</v>
      </c>
      <c r="B12" s="568">
        <f>'MIS Apr24'!BG8</f>
        <v>1840021.6969999999</v>
      </c>
      <c r="C12" s="569">
        <f>'MIS Apr24'!BG54</f>
        <v>-599894.2137399338</v>
      </c>
      <c r="D12" s="570">
        <f t="shared" si="0"/>
        <v>-0.32602561954460141</v>
      </c>
    </row>
    <row r="13" spans="1:4" ht="15" thickBot="1" x14ac:dyDescent="0.4">
      <c r="A13" s="571"/>
      <c r="B13" s="572"/>
      <c r="C13" s="573"/>
      <c r="D13" s="574"/>
    </row>
    <row r="14" spans="1:4" ht="15" thickBot="1" x14ac:dyDescent="0.4">
      <c r="A14" s="575" t="s">
        <v>1003</v>
      </c>
      <c r="B14" s="557">
        <f>SUM(B15:B18)</f>
        <v>12267158.919999998</v>
      </c>
      <c r="C14" s="557">
        <f>SUM(C15:C18)</f>
        <v>608010.02591943718</v>
      </c>
      <c r="D14" s="558">
        <f>IFERROR(C14/B14,0)</f>
        <v>4.9564045748861731E-2</v>
      </c>
    </row>
    <row r="15" spans="1:4" x14ac:dyDescent="0.35">
      <c r="A15" s="559" t="s">
        <v>1004</v>
      </c>
      <c r="B15" s="560">
        <f>'MIS Apr24'!M8</f>
        <v>2322644.0019999999</v>
      </c>
      <c r="C15" s="561">
        <f>'MIS Apr24'!M54</f>
        <v>-51816.11372186942</v>
      </c>
      <c r="D15" s="562">
        <f>IFERROR(C15/B15,0)</f>
        <v>-2.2309107068173687E-2</v>
      </c>
    </row>
    <row r="16" spans="1:4" x14ac:dyDescent="0.35">
      <c r="A16" s="563" t="s">
        <v>1005</v>
      </c>
      <c r="B16" s="564">
        <f>'MIS Apr24'!O8</f>
        <v>3366693.858</v>
      </c>
      <c r="C16" s="565">
        <f>'MIS Apr24'!O54</f>
        <v>346492.19867107039</v>
      </c>
      <c r="D16" s="566">
        <f>IFERROR(C16/B16,0)</f>
        <v>0.10291764362468814</v>
      </c>
    </row>
    <row r="17" spans="1:4" x14ac:dyDescent="0.35">
      <c r="A17" s="563" t="s">
        <v>1006</v>
      </c>
      <c r="B17" s="564">
        <f>'MIS Apr24'!S8</f>
        <v>3760149.7529999996</v>
      </c>
      <c r="C17" s="565">
        <f>'MIS Apr24'!S54</f>
        <v>408523.99230062449</v>
      </c>
      <c r="D17" s="566">
        <f>IFERROR(C17/B17,0)</f>
        <v>0.10864567082060696</v>
      </c>
    </row>
    <row r="18" spans="1:4" ht="15" thickBot="1" x14ac:dyDescent="0.4">
      <c r="A18" s="567" t="s">
        <v>1007</v>
      </c>
      <c r="B18" s="568">
        <f>'MIS Apr24'!U8</f>
        <v>2817671.307</v>
      </c>
      <c r="C18" s="569">
        <f>'MIS Apr24'!U54</f>
        <v>-95190.051330388291</v>
      </c>
      <c r="D18" s="570">
        <f>IFERROR(C18/B18,0)</f>
        <v>-3.3783234791760715E-2</v>
      </c>
    </row>
    <row r="19" spans="1:4" ht="15" thickBot="1" x14ac:dyDescent="0.4">
      <c r="A19" s="571"/>
      <c r="B19" s="572"/>
      <c r="C19" s="573"/>
      <c r="D19" s="574"/>
    </row>
    <row r="20" spans="1:4" ht="15" thickBot="1" x14ac:dyDescent="0.4">
      <c r="A20" s="575" t="s">
        <v>1008</v>
      </c>
      <c r="B20" s="557">
        <f>SUM(B21:B23)</f>
        <v>9133622.8640000001</v>
      </c>
      <c r="C20" s="557">
        <f>SUM(C21:C23)</f>
        <v>129538.97802638751</v>
      </c>
      <c r="D20" s="558">
        <f>IFERROR(C20/B20,0)</f>
        <v>1.4182650187688712E-2</v>
      </c>
    </row>
    <row r="21" spans="1:4" x14ac:dyDescent="0.35">
      <c r="A21" s="559" t="s">
        <v>1009</v>
      </c>
      <c r="B21" s="560">
        <f>'MIS Apr24'!AC8</f>
        <v>2270578.9810000001</v>
      </c>
      <c r="C21" s="561">
        <f>'MIS Apr24'!AC54</f>
        <v>-480127.03769516479</v>
      </c>
      <c r="D21" s="562">
        <f>IFERROR(C21/B21,0)</f>
        <v>-0.2114557748102244</v>
      </c>
    </row>
    <row r="22" spans="1:4" x14ac:dyDescent="0.35">
      <c r="A22" s="563" t="s">
        <v>1010</v>
      </c>
      <c r="B22" s="564">
        <f>'MIS Apr24'!AA8</f>
        <v>3146287.5969999996</v>
      </c>
      <c r="C22" s="565">
        <f>'MIS Apr24'!AA54</f>
        <v>448289.34062912292</v>
      </c>
      <c r="D22" s="576">
        <f>IFERROR(C22/B22,0)</f>
        <v>0.14248199721365873</v>
      </c>
    </row>
    <row r="23" spans="1:4" ht="15" thickBot="1" x14ac:dyDescent="0.4">
      <c r="A23" s="567" t="s">
        <v>1011</v>
      </c>
      <c r="B23" s="568">
        <f>'MIS Apr24'!AG8</f>
        <v>3716756.2860000003</v>
      </c>
      <c r="C23" s="569">
        <f>'MIS Apr24'!AG54</f>
        <v>161376.67509242939</v>
      </c>
      <c r="D23" s="577">
        <f>IFERROR(C23/B23,0)</f>
        <v>4.3418686261536971E-2</v>
      </c>
    </row>
    <row r="24" spans="1:4" ht="15" thickBot="1" x14ac:dyDescent="0.4">
      <c r="A24" s="571"/>
      <c r="B24" s="572"/>
      <c r="C24" s="573"/>
      <c r="D24" s="574"/>
    </row>
    <row r="25" spans="1:4" ht="15" thickBot="1" x14ac:dyDescent="0.4">
      <c r="A25" s="575" t="s">
        <v>1012</v>
      </c>
      <c r="B25" s="557">
        <f>SUM(B26:B29)</f>
        <v>7960837.8090000004</v>
      </c>
      <c r="C25" s="557">
        <f>SUM(C26:C29)</f>
        <v>-1135577.2296109395</v>
      </c>
      <c r="D25" s="558">
        <f>IFERROR(C25/B25,0)</f>
        <v>-0.14264544220799605</v>
      </c>
    </row>
    <row r="26" spans="1:4" x14ac:dyDescent="0.35">
      <c r="A26" s="559" t="s">
        <v>1013</v>
      </c>
      <c r="B26" s="560">
        <f>'MIS Apr24'!CC8</f>
        <v>2156150.8969999999</v>
      </c>
      <c r="C26" s="561">
        <f>'MIS Apr24'!CC54</f>
        <v>-171129.77498420887</v>
      </c>
      <c r="D26" s="562">
        <f>IFERROR(C26/B26,0)</f>
        <v>-7.9368181152030412E-2</v>
      </c>
    </row>
    <row r="27" spans="1:4" x14ac:dyDescent="0.35">
      <c r="A27" s="563" t="s">
        <v>1014</v>
      </c>
      <c r="B27" s="564">
        <f>'MIS Apr24'!CE8</f>
        <v>1613703.2239999997</v>
      </c>
      <c r="C27" s="565">
        <f>'MIS Apr24'!CE54</f>
        <v>-650699.99717910658</v>
      </c>
      <c r="D27" s="576">
        <f>IFERROR(C27/B27,0)</f>
        <v>-0.40323399464132614</v>
      </c>
    </row>
    <row r="28" spans="1:4" x14ac:dyDescent="0.35">
      <c r="A28" s="563" t="s">
        <v>1015</v>
      </c>
      <c r="B28" s="564">
        <f>'MIS Apr24'!CI8</f>
        <v>2107871.548</v>
      </c>
      <c r="C28" s="565">
        <f>'MIS Apr24'!CI54</f>
        <v>-401552.86146250111</v>
      </c>
      <c r="D28" s="576">
        <f>IFERROR(C28/B28,0)</f>
        <v>-0.19050158053677621</v>
      </c>
    </row>
    <row r="29" spans="1:4" ht="15" thickBot="1" x14ac:dyDescent="0.4">
      <c r="A29" s="567" t="s">
        <v>1016</v>
      </c>
      <c r="B29" s="568">
        <f>'MIS Apr24'!CK8</f>
        <v>2083112.1400000001</v>
      </c>
      <c r="C29" s="569">
        <f>'MIS Apr24'!CK54</f>
        <v>87805.404014877044</v>
      </c>
      <c r="D29" s="570">
        <f>IFERROR(C29/B29,0)</f>
        <v>4.2151069224183504E-2</v>
      </c>
    </row>
    <row r="30" spans="1:4" ht="15" thickBot="1" x14ac:dyDescent="0.4">
      <c r="A30" s="571"/>
      <c r="B30" s="572"/>
      <c r="C30" s="573"/>
      <c r="D30" s="574"/>
    </row>
    <row r="31" spans="1:4" ht="15" thickBot="1" x14ac:dyDescent="0.4">
      <c r="A31" s="575" t="s">
        <v>1017</v>
      </c>
      <c r="B31" s="557">
        <f>SUM(B32:B35)</f>
        <v>6867872.3660000004</v>
      </c>
      <c r="C31" s="557">
        <f>SUM(C32:C35)</f>
        <v>-870583.9868797221</v>
      </c>
      <c r="D31" s="558">
        <f>IFERROR(C31/B31,0)</f>
        <v>-0.1267618179961561</v>
      </c>
    </row>
    <row r="32" spans="1:4" x14ac:dyDescent="0.35">
      <c r="A32" s="559" t="s">
        <v>1018</v>
      </c>
      <c r="B32" s="560">
        <f>'MIS Apr24'!I8</f>
        <v>3052334.5549999997</v>
      </c>
      <c r="C32" s="561">
        <f>'MIS Apr24'!I54</f>
        <v>463051.99296620698</v>
      </c>
      <c r="D32" s="562">
        <f>IFERROR(C32/B32,0)</f>
        <v>0.15170420693488071</v>
      </c>
    </row>
    <row r="33" spans="1:4" x14ac:dyDescent="0.35">
      <c r="A33" s="563" t="s">
        <v>1019</v>
      </c>
      <c r="B33" s="564">
        <f>'MIS Apr24'!K8</f>
        <v>962055.21899999992</v>
      </c>
      <c r="C33" s="565">
        <f>'MIS Apr24'!K54</f>
        <v>-489144.77741469152</v>
      </c>
      <c r="D33" s="576">
        <f>IFERROR(C33/B33,0)</f>
        <v>-0.50843732018119381</v>
      </c>
    </row>
    <row r="34" spans="1:4" x14ac:dyDescent="0.35">
      <c r="A34" s="563" t="s">
        <v>1020</v>
      </c>
      <c r="B34" s="564">
        <f>'MIS Apr24'!C8</f>
        <v>1207108.7100000002</v>
      </c>
      <c r="C34" s="565">
        <f>'MIS Apr24'!C54</f>
        <v>-354901.61637041089</v>
      </c>
      <c r="D34" s="576">
        <f>IFERROR(C34/B34,0)</f>
        <v>-0.29400965582495947</v>
      </c>
    </row>
    <row r="35" spans="1:4" ht="15" thickBot="1" x14ac:dyDescent="0.4">
      <c r="A35" s="567" t="s">
        <v>1021</v>
      </c>
      <c r="B35" s="568">
        <f>'MIS Apr24'!E8</f>
        <v>1646373.882</v>
      </c>
      <c r="C35" s="569">
        <f>'MIS Apr24'!E54</f>
        <v>-489589.58606082667</v>
      </c>
      <c r="D35" s="570">
        <f>IFERROR(C35/B35,0)</f>
        <v>-0.29737448547597078</v>
      </c>
    </row>
    <row r="36" spans="1:4" ht="15" thickBot="1" x14ac:dyDescent="0.4">
      <c r="A36" s="571"/>
      <c r="B36" s="572"/>
      <c r="C36" s="573"/>
      <c r="D36" s="574"/>
    </row>
    <row r="37" spans="1:4" ht="15" thickBot="1" x14ac:dyDescent="0.4">
      <c r="A37" s="575" t="s">
        <v>1022</v>
      </c>
      <c r="B37" s="557">
        <f>SUM(B38:B40)</f>
        <v>4890508.7459999993</v>
      </c>
      <c r="C37" s="557">
        <f>SUM(C38:C40)</f>
        <v>-2224076.0355733037</v>
      </c>
      <c r="D37" s="558">
        <f>IFERROR(C37/B37,0)</f>
        <v>-0.45477396137823078</v>
      </c>
    </row>
    <row r="38" spans="1:4" x14ac:dyDescent="0.35">
      <c r="A38" s="559" t="s">
        <v>1023</v>
      </c>
      <c r="B38" s="578">
        <f>'MIS Apr24'!AO8</f>
        <v>1762098.0769999998</v>
      </c>
      <c r="C38" s="561">
        <f>'MIS Apr24'!AO54</f>
        <v>-458674.09606454591</v>
      </c>
      <c r="D38" s="562">
        <f>IFERROR(C38/B38,0)</f>
        <v>-0.26029998105749363</v>
      </c>
    </row>
    <row r="39" spans="1:4" x14ac:dyDescent="0.35">
      <c r="A39" s="563" t="s">
        <v>1024</v>
      </c>
      <c r="B39" s="579">
        <f>'MIS Apr24'!AK8</f>
        <v>1082424.3899999999</v>
      </c>
      <c r="C39" s="565">
        <f>'MIS Apr24'!AK54</f>
        <v>-1007822.1327576307</v>
      </c>
      <c r="D39" s="576">
        <f>IFERROR(C39/B39,0)</f>
        <v>-0.93107855113799753</v>
      </c>
    </row>
    <row r="40" spans="1:4" ht="15" thickBot="1" x14ac:dyDescent="0.4">
      <c r="A40" s="567" t="s">
        <v>1025</v>
      </c>
      <c r="B40" s="580">
        <f>'MIS Apr24'!AM8</f>
        <v>2045986.2789999999</v>
      </c>
      <c r="C40" s="569">
        <f>'MIS Apr24'!AM54</f>
        <v>-757579.80675112735</v>
      </c>
      <c r="D40" s="570">
        <f>IFERROR(C40/B40,0)</f>
        <v>-0.37027609350410867</v>
      </c>
    </row>
    <row r="41" spans="1:4" ht="15" thickBot="1" x14ac:dyDescent="0.4">
      <c r="A41" s="571"/>
      <c r="B41" s="581"/>
      <c r="C41" s="573"/>
      <c r="D41" s="574"/>
    </row>
    <row r="42" spans="1:4" ht="15" thickBot="1" x14ac:dyDescent="0.4">
      <c r="A42" s="575" t="s">
        <v>1026</v>
      </c>
      <c r="B42" s="557">
        <f>SUM(B43:B49)</f>
        <v>15050917.997000001</v>
      </c>
      <c r="C42" s="557">
        <f>SUM(C43:C49)</f>
        <v>-2683841.2112003737</v>
      </c>
      <c r="D42" s="558">
        <f t="shared" ref="D42:D49" si="1">IFERROR(C42/B42,0)</f>
        <v>-0.17831744294503005</v>
      </c>
    </row>
    <row r="43" spans="1:4" x14ac:dyDescent="0.35">
      <c r="A43" s="559" t="s">
        <v>1027</v>
      </c>
      <c r="B43" s="578">
        <f>'MIS Apr24'!CA8</f>
        <v>5679446.9160000011</v>
      </c>
      <c r="C43" s="561">
        <f>'MIS Apr24'!CA54</f>
        <v>852964.06527395919</v>
      </c>
      <c r="D43" s="562">
        <f t="shared" si="1"/>
        <v>0.15018435384456352</v>
      </c>
    </row>
    <row r="44" spans="1:4" hidden="1" x14ac:dyDescent="0.35">
      <c r="A44" s="563" t="s">
        <v>1028</v>
      </c>
      <c r="B44" s="579" t="str">
        <f>'MIS Apr24'!BV7</f>
        <v>%</v>
      </c>
      <c r="C44" s="565">
        <f>'[1]MIS V2'!BU54</f>
        <v>0</v>
      </c>
      <c r="D44" s="576">
        <f t="shared" si="1"/>
        <v>0</v>
      </c>
    </row>
    <row r="45" spans="1:4" x14ac:dyDescent="0.35">
      <c r="A45" s="563" t="s">
        <v>1029</v>
      </c>
      <c r="B45" s="579">
        <f>'MIS Apr24'!BK8</f>
        <v>2297001.6439999999</v>
      </c>
      <c r="C45" s="565">
        <f>'MIS Apr24'!BK54</f>
        <v>-819902.1516151051</v>
      </c>
      <c r="D45" s="576">
        <f t="shared" si="1"/>
        <v>-0.35694452102669244</v>
      </c>
    </row>
    <row r="46" spans="1:4" x14ac:dyDescent="0.35">
      <c r="A46" s="563" t="s">
        <v>1030</v>
      </c>
      <c r="B46" s="579">
        <f>'MIS Apr24'!BI8</f>
        <v>1879293.6929999997</v>
      </c>
      <c r="C46" s="565">
        <f>'MIS Apr24'!BI54</f>
        <v>-472699.88217695267</v>
      </c>
      <c r="D46" s="576">
        <f t="shared" si="1"/>
        <v>-0.25153060638561547</v>
      </c>
    </row>
    <row r="47" spans="1:4" x14ac:dyDescent="0.35">
      <c r="A47" s="563" t="s">
        <v>1031</v>
      </c>
      <c r="B47" s="579">
        <f>'MIS Apr24'!BU8</f>
        <v>4955514.7439999999</v>
      </c>
      <c r="C47" s="565">
        <f>'MIS Apr24'!BU54</f>
        <v>-379310.52793016518</v>
      </c>
      <c r="D47" s="576">
        <f t="shared" si="1"/>
        <v>-7.6543113586620609E-2</v>
      </c>
    </row>
    <row r="48" spans="1:4" hidden="1" x14ac:dyDescent="0.35">
      <c r="A48" s="582" t="s">
        <v>1032</v>
      </c>
      <c r="B48" s="583" t="str">
        <f>'MIS Apr24'!CA7</f>
        <v>Amount</v>
      </c>
      <c r="C48" s="584">
        <f>'[1]MIS V2'!CA55</f>
        <v>0</v>
      </c>
      <c r="D48" s="576">
        <f t="shared" si="1"/>
        <v>0</v>
      </c>
    </row>
    <row r="49" spans="1:5" ht="15" thickBot="1" x14ac:dyDescent="0.4">
      <c r="A49" s="567" t="s">
        <v>1033</v>
      </c>
      <c r="B49" s="580">
        <f>'MIS Apr24'!BW8</f>
        <v>239661</v>
      </c>
      <c r="C49" s="569">
        <f>'MIS Apr24'!BW54</f>
        <v>-1864892.71475211</v>
      </c>
      <c r="D49" s="577">
        <f t="shared" si="1"/>
        <v>-7.7813775071960389</v>
      </c>
    </row>
    <row r="50" spans="1:5" ht="15" thickBot="1" x14ac:dyDescent="0.4">
      <c r="A50" s="571"/>
      <c r="B50" s="581"/>
      <c r="C50" s="573"/>
      <c r="D50" s="574"/>
    </row>
    <row r="51" spans="1:5" ht="15" thickBot="1" x14ac:dyDescent="0.4">
      <c r="A51" s="575" t="s">
        <v>1034</v>
      </c>
      <c r="B51" s="557">
        <f>SUM(B52:B56)</f>
        <v>9666447.1830000002</v>
      </c>
      <c r="C51" s="557">
        <f>SUM(C52:C57)</f>
        <v>-3382738.5956893181</v>
      </c>
      <c r="D51" s="558">
        <f t="shared" ref="D51:D56" si="2">IFERROR(C51/B51,0)</f>
        <v>-0.34994642102202839</v>
      </c>
    </row>
    <row r="52" spans="1:5" x14ac:dyDescent="0.35">
      <c r="A52" s="559" t="s">
        <v>1035</v>
      </c>
      <c r="B52" s="560">
        <f>'MIS Apr24'!CW8</f>
        <v>3979648.9809999997</v>
      </c>
      <c r="C52" s="561">
        <f>'MIS Apr24'!CW54</f>
        <v>-189114.36160084466</v>
      </c>
      <c r="D52" s="562">
        <f t="shared" si="2"/>
        <v>-4.7520362349476437E-2</v>
      </c>
    </row>
    <row r="53" spans="1:5" x14ac:dyDescent="0.35">
      <c r="A53" s="563" t="s">
        <v>1036</v>
      </c>
      <c r="B53" s="564">
        <f>'MIS Apr24'!CY8</f>
        <v>616235.96199999982</v>
      </c>
      <c r="C53" s="565">
        <f>'MIS Apr24'!CY54</f>
        <v>-1032721.9079753269</v>
      </c>
      <c r="D53" s="576">
        <f t="shared" si="2"/>
        <v>-1.6758546590231733</v>
      </c>
    </row>
    <row r="54" spans="1:5" x14ac:dyDescent="0.35">
      <c r="A54" s="563" t="s">
        <v>1037</v>
      </c>
      <c r="B54" s="564">
        <f>'MIS Apr24'!CM8</f>
        <v>1143587.5289999999</v>
      </c>
      <c r="C54" s="565">
        <f>'MIS Apr24'!CM54</f>
        <v>-531165.6790122278</v>
      </c>
      <c r="D54" s="576">
        <f t="shared" si="2"/>
        <v>-0.46447312999005946</v>
      </c>
    </row>
    <row r="55" spans="1:5" x14ac:dyDescent="0.35">
      <c r="A55" s="563" t="s">
        <v>1038</v>
      </c>
      <c r="B55" s="564">
        <f>'MIS Apr24'!CS8</f>
        <v>2681897.5730000003</v>
      </c>
      <c r="C55" s="565">
        <f>'MIS Apr24'!CS54</f>
        <v>-1071564.0898887769</v>
      </c>
      <c r="D55" s="576">
        <f t="shared" si="2"/>
        <v>-0.39955444259942913</v>
      </c>
    </row>
    <row r="56" spans="1:5" ht="15" thickBot="1" x14ac:dyDescent="0.4">
      <c r="A56" s="567" t="s">
        <v>1039</v>
      </c>
      <c r="B56" s="568">
        <f>'MIS Apr24'!CU8</f>
        <v>1245077.138</v>
      </c>
      <c r="C56" s="569">
        <f>'MIS Apr24'!CU54</f>
        <v>-558172.55721214251</v>
      </c>
      <c r="D56" s="577">
        <f t="shared" si="2"/>
        <v>-0.44830359515616008</v>
      </c>
    </row>
    <row r="57" spans="1:5" ht="15" thickBot="1" x14ac:dyDescent="0.4">
      <c r="A57" s="585"/>
      <c r="B57" s="586"/>
      <c r="C57" s="586"/>
      <c r="D57" s="587"/>
    </row>
    <row r="58" spans="1:5" x14ac:dyDescent="0.35">
      <c r="A58" s="588" t="s">
        <v>1040</v>
      </c>
      <c r="B58" s="589">
        <f>B4+B14+B20+B25+B31+B37+B42+B51</f>
        <v>82913727.832999989</v>
      </c>
      <c r="C58" s="589">
        <f>C4+C14+C20+C25+C31+C37+C42+C51</f>
        <v>-11632667.840789068</v>
      </c>
      <c r="D58" s="590">
        <f>IFERROR(C58/B58,0)</f>
        <v>-0.14029845412594297</v>
      </c>
    </row>
    <row r="59" spans="1:5" ht="15" thickBot="1" x14ac:dyDescent="0.4">
      <c r="A59" s="591" t="s">
        <v>1041</v>
      </c>
      <c r="B59" s="592"/>
      <c r="C59" s="592">
        <f>'MIS Apr24'!DA54</f>
        <v>-7189067.1715440517</v>
      </c>
      <c r="D59" s="593"/>
    </row>
    <row r="60" spans="1:5" ht="15" thickBot="1" x14ac:dyDescent="0.4">
      <c r="A60" s="594" t="s">
        <v>1042</v>
      </c>
      <c r="B60" s="145"/>
      <c r="C60" s="145">
        <f>C58+C59</f>
        <v>-18821735.012333121</v>
      </c>
      <c r="D60" s="595">
        <f>C60/B58</f>
        <v>-0.22700384489095418</v>
      </c>
      <c r="E60" s="46"/>
    </row>
  </sheetData>
  <mergeCells count="4">
    <mergeCell ref="A2:A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K72"/>
  <sheetViews>
    <sheetView workbookViewId="0">
      <pane xSplit="2" ySplit="8" topLeftCell="CW23" activePane="bottomRight" state="frozen"/>
      <selection activeCell="D70" sqref="D70"/>
      <selection pane="topRight" activeCell="D70" sqref="D70"/>
      <selection pane="bottomLeft" activeCell="D70" sqref="D70"/>
      <selection pane="bottomRight" activeCell="CW25" sqref="CW25"/>
    </sheetView>
  </sheetViews>
  <sheetFormatPr defaultRowHeight="14.5" outlineLevelRow="1" x14ac:dyDescent="0.35"/>
  <cols>
    <col min="1" max="1" width="0" hidden="1" customWidth="1"/>
    <col min="2" max="2" width="35.6328125" customWidth="1"/>
    <col min="3" max="3" width="12.36328125" bestFit="1" customWidth="1"/>
    <col min="4" max="6" width="10.54296875" customWidth="1"/>
    <col min="7" max="8" width="10.54296875" hidden="1" customWidth="1"/>
    <col min="9" max="16" width="10.54296875" customWidth="1"/>
    <col min="17" max="18" width="10.54296875" hidden="1" customWidth="1"/>
    <col min="19" max="22" width="10.54296875" customWidth="1"/>
    <col min="23" max="26" width="10.54296875" hidden="1" customWidth="1"/>
    <col min="27" max="30" width="10.54296875" customWidth="1"/>
    <col min="31" max="32" width="10.54296875" hidden="1" customWidth="1"/>
    <col min="33" max="34" width="10.54296875" customWidth="1"/>
    <col min="35" max="36" width="10.54296875" hidden="1" customWidth="1"/>
    <col min="37" max="46" width="10.54296875" customWidth="1"/>
    <col min="47" max="48" width="12" hidden="1" customWidth="1"/>
    <col min="49" max="64" width="10.54296875" customWidth="1"/>
    <col min="65" max="72" width="10.54296875" hidden="1" customWidth="1"/>
    <col min="73" max="76" width="10.54296875" customWidth="1"/>
    <col min="77" max="78" width="10.54296875" hidden="1" customWidth="1"/>
    <col min="79" max="84" width="10.54296875" customWidth="1"/>
    <col min="85" max="86" width="10.54296875" hidden="1" customWidth="1"/>
    <col min="87" max="92" width="10.54296875" customWidth="1"/>
    <col min="93" max="96" width="10.54296875" hidden="1" customWidth="1"/>
    <col min="97" max="104" width="10.54296875" customWidth="1"/>
    <col min="105" max="105" width="12" bestFit="1" customWidth="1"/>
    <col min="106" max="106" width="12" customWidth="1"/>
    <col min="107" max="107" width="14.36328125" bestFit="1" customWidth="1"/>
    <col min="108" max="108" width="14.36328125" customWidth="1"/>
    <col min="109" max="111" width="10.54296875" hidden="1" customWidth="1"/>
    <col min="112" max="112" width="12" hidden="1" customWidth="1"/>
    <col min="113" max="113" width="9.6328125" bestFit="1" customWidth="1"/>
    <col min="114" max="114" width="13.7265625" bestFit="1" customWidth="1"/>
    <col min="115" max="115" width="9.6328125" bestFit="1" customWidth="1"/>
  </cols>
  <sheetData>
    <row r="2" spans="1:114" x14ac:dyDescent="0.35">
      <c r="B2" s="14" t="s">
        <v>236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</row>
    <row r="3" spans="1:114" ht="15" thickBot="1" x14ac:dyDescent="0.4">
      <c r="B3" s="88" t="s">
        <v>270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</row>
    <row r="4" spans="1:114" ht="15" customHeight="1" thickBot="1" x14ac:dyDescent="0.4">
      <c r="B4" s="85" t="s">
        <v>316</v>
      </c>
      <c r="C4" s="785" t="s">
        <v>214</v>
      </c>
      <c r="D4" s="786"/>
      <c r="E4" s="785" t="s">
        <v>214</v>
      </c>
      <c r="F4" s="786"/>
      <c r="G4" s="785" t="s">
        <v>214</v>
      </c>
      <c r="H4" s="786"/>
      <c r="I4" s="785" t="s">
        <v>214</v>
      </c>
      <c r="J4" s="786"/>
      <c r="K4" s="785" t="s">
        <v>214</v>
      </c>
      <c r="L4" s="786"/>
      <c r="M4" s="785" t="s">
        <v>215</v>
      </c>
      <c r="N4" s="786"/>
      <c r="O4" s="785" t="s">
        <v>215</v>
      </c>
      <c r="P4" s="786"/>
      <c r="Q4" s="785" t="s">
        <v>215</v>
      </c>
      <c r="R4" s="786"/>
      <c r="S4" s="785" t="s">
        <v>215</v>
      </c>
      <c r="T4" s="786"/>
      <c r="U4" s="785" t="s">
        <v>215</v>
      </c>
      <c r="V4" s="786"/>
      <c r="W4" s="785" t="s">
        <v>226</v>
      </c>
      <c r="X4" s="786"/>
      <c r="Y4" s="785" t="s">
        <v>226</v>
      </c>
      <c r="Z4" s="786"/>
      <c r="AA4" s="785" t="s">
        <v>226</v>
      </c>
      <c r="AB4" s="786"/>
      <c r="AC4" s="785" t="s">
        <v>226</v>
      </c>
      <c r="AD4" s="786"/>
      <c r="AE4" s="785" t="s">
        <v>226</v>
      </c>
      <c r="AF4" s="786"/>
      <c r="AG4" s="785" t="s">
        <v>226</v>
      </c>
      <c r="AH4" s="786"/>
      <c r="AI4" s="785" t="s">
        <v>228</v>
      </c>
      <c r="AJ4" s="786"/>
      <c r="AK4" s="785" t="s">
        <v>228</v>
      </c>
      <c r="AL4" s="786"/>
      <c r="AM4" s="785" t="s">
        <v>228</v>
      </c>
      <c r="AN4" s="786"/>
      <c r="AO4" s="785" t="s">
        <v>228</v>
      </c>
      <c r="AP4" s="786"/>
      <c r="AQ4" s="785" t="s">
        <v>213</v>
      </c>
      <c r="AR4" s="786"/>
      <c r="AS4" s="785" t="s">
        <v>213</v>
      </c>
      <c r="AT4" s="786"/>
      <c r="AU4" s="785" t="s">
        <v>213</v>
      </c>
      <c r="AV4" s="786"/>
      <c r="AW4" s="785" t="s">
        <v>213</v>
      </c>
      <c r="AX4" s="786"/>
      <c r="AY4" s="785" t="s">
        <v>213</v>
      </c>
      <c r="AZ4" s="786"/>
      <c r="BA4" s="785" t="s">
        <v>213</v>
      </c>
      <c r="BB4" s="786"/>
      <c r="BC4" s="785" t="s">
        <v>213</v>
      </c>
      <c r="BD4" s="786"/>
      <c r="BE4" s="785" t="s">
        <v>213</v>
      </c>
      <c r="BF4" s="786"/>
      <c r="BG4" s="785" t="s">
        <v>213</v>
      </c>
      <c r="BH4" s="786"/>
      <c r="BI4" s="785" t="s">
        <v>233</v>
      </c>
      <c r="BJ4" s="786"/>
      <c r="BK4" s="785" t="s">
        <v>233</v>
      </c>
      <c r="BL4" s="786"/>
      <c r="BM4" s="785" t="s">
        <v>233</v>
      </c>
      <c r="BN4" s="786"/>
      <c r="BO4" s="785" t="s">
        <v>233</v>
      </c>
      <c r="BP4" s="786"/>
      <c r="BQ4" s="785" t="s">
        <v>233</v>
      </c>
      <c r="BR4" s="786"/>
      <c r="BS4" s="785" t="s">
        <v>233</v>
      </c>
      <c r="BT4" s="786"/>
      <c r="BU4" s="785" t="s">
        <v>233</v>
      </c>
      <c r="BV4" s="786"/>
      <c r="BW4" s="785" t="s">
        <v>233</v>
      </c>
      <c r="BX4" s="786"/>
      <c r="BY4" s="785" t="s">
        <v>233</v>
      </c>
      <c r="BZ4" s="786"/>
      <c r="CA4" s="785" t="s">
        <v>233</v>
      </c>
      <c r="CB4" s="786"/>
      <c r="CC4" s="785" t="s">
        <v>318</v>
      </c>
      <c r="CD4" s="786"/>
      <c r="CE4" s="785" t="s">
        <v>318</v>
      </c>
      <c r="CF4" s="786"/>
      <c r="CG4" s="785" t="s">
        <v>318</v>
      </c>
      <c r="CH4" s="786"/>
      <c r="CI4" s="785" t="s">
        <v>318</v>
      </c>
      <c r="CJ4" s="786"/>
      <c r="CK4" s="785" t="s">
        <v>318</v>
      </c>
      <c r="CL4" s="786"/>
      <c r="CM4" s="785" t="s">
        <v>235</v>
      </c>
      <c r="CN4" s="786"/>
      <c r="CO4" s="785" t="s">
        <v>318</v>
      </c>
      <c r="CP4" s="786"/>
      <c r="CQ4" s="785" t="s">
        <v>235</v>
      </c>
      <c r="CR4" s="786"/>
      <c r="CS4" s="785" t="s">
        <v>235</v>
      </c>
      <c r="CT4" s="786"/>
      <c r="CU4" s="785" t="s">
        <v>235</v>
      </c>
      <c r="CV4" s="786"/>
      <c r="CW4" s="785" t="s">
        <v>235</v>
      </c>
      <c r="CX4" s="786"/>
      <c r="CY4" s="785" t="s">
        <v>235</v>
      </c>
      <c r="CZ4" s="787"/>
      <c r="DA4" s="785" t="s">
        <v>210</v>
      </c>
      <c r="DB4" s="787"/>
      <c r="DC4" s="785" t="s">
        <v>328</v>
      </c>
      <c r="DD4" s="787"/>
      <c r="DE4" s="788" t="s">
        <v>327</v>
      </c>
      <c r="DF4" s="789"/>
      <c r="DG4" s="788" t="s">
        <v>329</v>
      </c>
      <c r="DH4" s="789"/>
    </row>
    <row r="5" spans="1:114" ht="15" customHeight="1" thickBot="1" x14ac:dyDescent="0.4">
      <c r="B5" s="500" t="s">
        <v>332</v>
      </c>
      <c r="C5" s="783" t="s">
        <v>216</v>
      </c>
      <c r="D5" s="784"/>
      <c r="E5" s="783" t="s">
        <v>217</v>
      </c>
      <c r="F5" s="784"/>
      <c r="G5" s="783" t="s">
        <v>218</v>
      </c>
      <c r="H5" s="784"/>
      <c r="I5" s="783" t="s">
        <v>219</v>
      </c>
      <c r="J5" s="784"/>
      <c r="K5" s="783" t="s">
        <v>220</v>
      </c>
      <c r="L5" s="784"/>
      <c r="M5" s="783" t="s">
        <v>216</v>
      </c>
      <c r="N5" s="784"/>
      <c r="O5" s="783" t="s">
        <v>217</v>
      </c>
      <c r="P5" s="784"/>
      <c r="Q5" s="783" t="s">
        <v>218</v>
      </c>
      <c r="R5" s="784"/>
      <c r="S5" s="783" t="s">
        <v>221</v>
      </c>
      <c r="T5" s="784"/>
      <c r="U5" s="783" t="s">
        <v>219</v>
      </c>
      <c r="V5" s="784"/>
      <c r="W5" s="783" t="s">
        <v>223</v>
      </c>
      <c r="X5" s="784"/>
      <c r="Y5" s="783" t="s">
        <v>218</v>
      </c>
      <c r="Z5" s="784"/>
      <c r="AA5" s="783" t="s">
        <v>224</v>
      </c>
      <c r="AB5" s="784"/>
      <c r="AC5" s="783" t="s">
        <v>221</v>
      </c>
      <c r="AD5" s="784"/>
      <c r="AE5" s="783" t="s">
        <v>227</v>
      </c>
      <c r="AF5" s="784"/>
      <c r="AG5" s="783" t="s">
        <v>219</v>
      </c>
      <c r="AH5" s="784"/>
      <c r="AI5" s="783" t="s">
        <v>218</v>
      </c>
      <c r="AJ5" s="784"/>
      <c r="AK5" s="783" t="s">
        <v>221</v>
      </c>
      <c r="AL5" s="784"/>
      <c r="AM5" s="783" t="s">
        <v>225</v>
      </c>
      <c r="AN5" s="784"/>
      <c r="AO5" s="783" t="s">
        <v>219</v>
      </c>
      <c r="AP5" s="784"/>
      <c r="AQ5" s="783" t="s">
        <v>216</v>
      </c>
      <c r="AR5" s="784"/>
      <c r="AS5" s="783" t="s">
        <v>217</v>
      </c>
      <c r="AT5" s="784"/>
      <c r="AU5" s="783" t="s">
        <v>218</v>
      </c>
      <c r="AV5" s="784"/>
      <c r="AW5" s="783" t="s">
        <v>221</v>
      </c>
      <c r="AX5" s="784"/>
      <c r="AY5" s="783" t="s">
        <v>225</v>
      </c>
      <c r="AZ5" s="784"/>
      <c r="BA5" s="783" t="s">
        <v>230</v>
      </c>
      <c r="BB5" s="784"/>
      <c r="BC5" s="783" t="s">
        <v>231</v>
      </c>
      <c r="BD5" s="784"/>
      <c r="BE5" s="783" t="s">
        <v>232</v>
      </c>
      <c r="BF5" s="784"/>
      <c r="BG5" s="783" t="s">
        <v>220</v>
      </c>
      <c r="BH5" s="784"/>
      <c r="BI5" s="783" t="s">
        <v>216</v>
      </c>
      <c r="BJ5" s="784"/>
      <c r="BK5" s="783" t="s">
        <v>217</v>
      </c>
      <c r="BL5" s="784"/>
      <c r="BM5" s="783" t="s">
        <v>218</v>
      </c>
      <c r="BN5" s="784"/>
      <c r="BO5" s="783" t="s">
        <v>218</v>
      </c>
      <c r="BP5" s="784"/>
      <c r="BQ5" s="783" t="s">
        <v>218</v>
      </c>
      <c r="BR5" s="784"/>
      <c r="BS5" s="783" t="s">
        <v>221</v>
      </c>
      <c r="BT5" s="784"/>
      <c r="BU5" s="783" t="s">
        <v>225</v>
      </c>
      <c r="BV5" s="784"/>
      <c r="BW5" s="783" t="s">
        <v>325</v>
      </c>
      <c r="BX5" s="784"/>
      <c r="BY5" s="783" t="s">
        <v>230</v>
      </c>
      <c r="BZ5" s="784"/>
      <c r="CA5" s="783" t="s">
        <v>219</v>
      </c>
      <c r="CB5" s="784"/>
      <c r="CC5" s="783" t="s">
        <v>216</v>
      </c>
      <c r="CD5" s="784"/>
      <c r="CE5" s="783" t="s">
        <v>217</v>
      </c>
      <c r="CF5" s="784"/>
      <c r="CG5" s="783" t="s">
        <v>218</v>
      </c>
      <c r="CH5" s="784"/>
      <c r="CI5" s="783" t="s">
        <v>221</v>
      </c>
      <c r="CJ5" s="784"/>
      <c r="CK5" s="783" t="s">
        <v>219</v>
      </c>
      <c r="CL5" s="784"/>
      <c r="CM5" s="783" t="s">
        <v>216</v>
      </c>
      <c r="CN5" s="784"/>
      <c r="CO5" s="783" t="s">
        <v>218</v>
      </c>
      <c r="CP5" s="784"/>
      <c r="CQ5" s="783" t="s">
        <v>218</v>
      </c>
      <c r="CR5" s="784"/>
      <c r="CS5" s="783" t="s">
        <v>225</v>
      </c>
      <c r="CT5" s="784"/>
      <c r="CU5" s="783" t="s">
        <v>230</v>
      </c>
      <c r="CV5" s="784"/>
      <c r="CW5" s="783" t="s">
        <v>219</v>
      </c>
      <c r="CX5" s="784"/>
      <c r="CY5" s="783" t="s">
        <v>220</v>
      </c>
      <c r="CZ5" s="792"/>
      <c r="DA5" s="783" t="s">
        <v>222</v>
      </c>
      <c r="DB5" s="784"/>
      <c r="DC5" s="783" t="s">
        <v>56</v>
      </c>
      <c r="DD5" s="792"/>
      <c r="DE5" s="790" t="s">
        <v>56</v>
      </c>
      <c r="DF5" s="791"/>
      <c r="DG5" s="790" t="s">
        <v>56</v>
      </c>
      <c r="DH5" s="791"/>
    </row>
    <row r="6" spans="1:114" s="551" customFormat="1" ht="15.5" thickTop="1" thickBot="1" x14ac:dyDescent="0.4">
      <c r="A6" s="116"/>
      <c r="B6" s="553" t="s">
        <v>986</v>
      </c>
      <c r="C6" s="554">
        <f>((C9+C10+C12+C13)*1.05)+(C11*1.1)</f>
        <v>1267464.1455000003</v>
      </c>
      <c r="D6" s="555">
        <f>C6/C8</f>
        <v>1.05</v>
      </c>
      <c r="E6" s="554">
        <f>((E9+E10+E12+E13)*1.05)+(E11*1.1)</f>
        <v>1728692.5760999999</v>
      </c>
      <c r="F6" s="555">
        <f>E6/E8</f>
        <v>1.05</v>
      </c>
      <c r="G6" s="554"/>
      <c r="H6" s="554"/>
      <c r="I6" s="554">
        <f>((I9+I10+I12+I13)*1.05)+(I11*1.1)</f>
        <v>3204951.2827499998</v>
      </c>
      <c r="J6" s="555">
        <f>I6/I8</f>
        <v>1.05</v>
      </c>
      <c r="K6" s="554">
        <f>((K9+K10+K12+K13)*1.05)+(K11*1.1)</f>
        <v>1010157.9799499999</v>
      </c>
      <c r="L6" s="555">
        <f>K6/K8</f>
        <v>1.05</v>
      </c>
      <c r="M6" s="554">
        <f>((M9+M10+M12+M13)*1.05)+(M11*1.1)</f>
        <v>2456712.3801000002</v>
      </c>
      <c r="N6" s="555">
        <f>M6/M8</f>
        <v>1.0577223104292159</v>
      </c>
      <c r="O6" s="554">
        <f>((O9+O10+O12+O13)*1.05)+(O11*1.1)</f>
        <v>3564744.1244000006</v>
      </c>
      <c r="P6" s="555">
        <f>O6/O8</f>
        <v>1.0588263366832091</v>
      </c>
      <c r="Q6" s="554">
        <f>((Q9+Q10+Q12+Q13)*1.05)+(Q11*1.1)</f>
        <v>0</v>
      </c>
      <c r="R6" s="555" t="e">
        <f>Q6/Q8</f>
        <v>#DIV/0!</v>
      </c>
      <c r="S6" s="554">
        <f>((S9+S10+S12+S13)*1.05)+(S11*1.1)</f>
        <v>4028427.03565</v>
      </c>
      <c r="T6" s="555">
        <f>S6/S8</f>
        <v>1.0713474995074219</v>
      </c>
      <c r="U6" s="554">
        <f>((U9+U10+U12+U13)*1.05)+(U11*1.1)</f>
        <v>2975405.1793500003</v>
      </c>
      <c r="V6" s="555">
        <f>U6/U8</f>
        <v>1.0559802245060093</v>
      </c>
      <c r="W6" s="554">
        <f>((W9+W10+W12+W13)*1.05)+(W11*1.1)</f>
        <v>0</v>
      </c>
      <c r="X6" s="555" t="e">
        <f>W6/W8</f>
        <v>#DIV/0!</v>
      </c>
      <c r="Y6" s="554">
        <f>((Y9+Y10+Y12+Y13)*1.05)+(Y11*1.1)</f>
        <v>0</v>
      </c>
      <c r="Z6" s="555" t="e">
        <f>Y6/Y8</f>
        <v>#DIV/0!</v>
      </c>
      <c r="AA6" s="554">
        <f>((AA9+AA10+AA12+AA13)*1.05)+(AA11*1.1)</f>
        <v>3303601.9768499997</v>
      </c>
      <c r="AB6" s="555">
        <f>AA6/AA8</f>
        <v>1.05</v>
      </c>
      <c r="AC6" s="554">
        <f>((AC9+AC10+AC12+AC13)*1.05)+(AC11*1.1)</f>
        <v>2428260.4625500003</v>
      </c>
      <c r="AD6" s="555">
        <f>AC6/AC8</f>
        <v>1.069445495122374</v>
      </c>
      <c r="AE6" s="554">
        <f>((AE9+AE10+AE12+AE13)*1.05)+(AE11*1.1)</f>
        <v>0</v>
      </c>
      <c r="AF6" s="555" t="e">
        <f>AE6/AE8</f>
        <v>#DIV/0!</v>
      </c>
      <c r="AG6" s="554">
        <f>((AG9+AG10+AG12+AG13)*1.05)+(AG11*1.1)</f>
        <v>3947657.9933000007</v>
      </c>
      <c r="AH6" s="555">
        <f>AG6/AG8</f>
        <v>1.0621245219036135</v>
      </c>
      <c r="AI6" s="554">
        <f>((AI9+AI10+AI12+AI13)*1.05)+(AI11*1.1)</f>
        <v>0</v>
      </c>
      <c r="AJ6" s="555" t="e">
        <f>AI6/AI8</f>
        <v>#DIV/0!</v>
      </c>
      <c r="AK6" s="554">
        <f>((AK9+AK10+AK12+AK13)*1.05)+(AK11*1.1)</f>
        <v>1151407.3765000002</v>
      </c>
      <c r="AL6" s="555">
        <f>AK6/AK8</f>
        <v>1.0637300740239235</v>
      </c>
      <c r="AM6" s="554">
        <f>((AM9+AM10+AM12+AM13)*1.05)+(AM11*1.1)</f>
        <v>2168649.12145</v>
      </c>
      <c r="AN6" s="555">
        <f>AM6/AM8</f>
        <v>1.0599529154760281</v>
      </c>
      <c r="AO6" s="554">
        <f>((AO9+AO10+AO12+AO13)*1.05)+(AO11*1.1)</f>
        <v>1858143.7533500001</v>
      </c>
      <c r="AP6" s="555">
        <f>AO6/AO8</f>
        <v>1.0545064304896805</v>
      </c>
      <c r="AQ6" s="554">
        <f>((AQ9+AQ10+AQ12+AQ13)*1.05)+(AQ11*1.1)</f>
        <v>1555594.1274999999</v>
      </c>
      <c r="AR6" s="555">
        <f>AQ6/AQ8</f>
        <v>1.0536449812602411</v>
      </c>
      <c r="AS6" s="554">
        <f>((AS9+AS10+AS12+AS13)*1.05)+(AS11*1.1)</f>
        <v>1959725.7634500002</v>
      </c>
      <c r="AT6" s="555">
        <f>AS6/AS8</f>
        <v>1.05</v>
      </c>
      <c r="AU6" s="554">
        <f>((AU9+AU10+AU12+AU13)*1.05)+(AU11*1.1)</f>
        <v>0</v>
      </c>
      <c r="AV6" s="555" t="e">
        <f>AU6/AU8</f>
        <v>#DIV/0!</v>
      </c>
      <c r="AW6" s="554">
        <f>((AW9+AW10+AW12+AW13)*1.05)+(AW11*1.1)</f>
        <v>3948693.6460500006</v>
      </c>
      <c r="AX6" s="555">
        <f>AW6/AW8</f>
        <v>1.0656285524705547</v>
      </c>
      <c r="AY6" s="554">
        <f>((AY9+AY10+AY12+AY13)*1.05)+(AY11*1.1)</f>
        <v>4398114.2571</v>
      </c>
      <c r="AZ6" s="555">
        <f>AY6/AY8</f>
        <v>1.0546680347716946</v>
      </c>
      <c r="BA6" s="554">
        <f>((BA9+BA10+BA12+BA13)*1.05)+(BA11*1.1)</f>
        <v>345825.51779999997</v>
      </c>
      <c r="BB6" s="555">
        <f>BA6/BA8</f>
        <v>1.0505039495244155</v>
      </c>
      <c r="BC6" s="554">
        <f>((BC9+BC10+BC12+BC13)*1.05)+(BC11*1.1)</f>
        <v>2211362.1260000002</v>
      </c>
      <c r="BD6" s="555">
        <f>BC6/BC8</f>
        <v>1.0612442103155415</v>
      </c>
      <c r="BE6" s="554">
        <f>((BE9+BE10+BE12+BE13)*1.05)+(BE11*1.1)</f>
        <v>1685197.2826500002</v>
      </c>
      <c r="BF6" s="555">
        <f>BE6/BE8</f>
        <v>1.05</v>
      </c>
      <c r="BG6" s="554">
        <f>((BG9+BG10+BG12+BG13)*1.05)+(BG11*1.1)</f>
        <v>1948258.1423500001</v>
      </c>
      <c r="BH6" s="555">
        <f>BG6/BG8</f>
        <v>1.0588234614442158</v>
      </c>
      <c r="BI6" s="554">
        <f>((BI9+BI10+BI12+BI13)*1.05)+(BI11*1.1)</f>
        <v>1986980.8336499999</v>
      </c>
      <c r="BJ6" s="555">
        <f>BI6/BI8</f>
        <v>1.0573019220205515</v>
      </c>
      <c r="BK6" s="554">
        <f>((BK9+BK10+BK12+BK13)*1.05)+(BK11*1.1)</f>
        <v>2423208.8947000001</v>
      </c>
      <c r="BL6" s="555">
        <f>BK6/BK8</f>
        <v>1.0549443449592935</v>
      </c>
      <c r="BM6" s="554">
        <f>((BM9+BM10+BM12+BM13)*1.05)+(BM11*1.1)</f>
        <v>0</v>
      </c>
      <c r="BN6" s="555" t="e">
        <f>BM6/BM8</f>
        <v>#DIV/0!</v>
      </c>
      <c r="BO6" s="554">
        <f>((BO9+BO10+BO12+BO13)*1.05)+(BO11*1.1)</f>
        <v>0</v>
      </c>
      <c r="BP6" s="555" t="e">
        <f>BO6/BO8</f>
        <v>#DIV/0!</v>
      </c>
      <c r="BQ6" s="554">
        <f>((BQ9+BQ10+BQ12+BQ13)*1.05)+(BQ11*1.1)</f>
        <v>0</v>
      </c>
      <c r="BR6" s="555" t="e">
        <f>BQ6/BQ8</f>
        <v>#DIV/0!</v>
      </c>
      <c r="BS6" s="554">
        <f>((BS9+BS10+BS12+BS13)*1.05)+(BS11*1.1)</f>
        <v>0</v>
      </c>
      <c r="BT6" s="555" t="e">
        <f>BS6/BS8</f>
        <v>#DIV/0!</v>
      </c>
      <c r="BU6" s="554">
        <f>((BU9+BU10+BU12+BU13)*1.05)+(BU11*1.1)</f>
        <v>5251399.9637000002</v>
      </c>
      <c r="BV6" s="555">
        <f>BU6/BU8</f>
        <v>1.0597082714884967</v>
      </c>
      <c r="BW6" s="554">
        <f>((BW9+BW10+BW12+BW13)*1.05)+(BW11*1.1)</f>
        <v>251644.05000000002</v>
      </c>
      <c r="BX6" s="555">
        <f>BW6/BW8</f>
        <v>1.05</v>
      </c>
      <c r="BY6" s="554">
        <f>((BY9+BY10+BY12+BY13)*1.05)+(BY11*1.1)</f>
        <v>0</v>
      </c>
      <c r="BZ6" s="555" t="e">
        <f>BY6/BY8</f>
        <v>#DIV/0!</v>
      </c>
      <c r="CA6" s="554">
        <f>((CA9+CA10+CA12+CA13)*1.05)+(CA11*1.1)</f>
        <v>5992960.0898000011</v>
      </c>
      <c r="CB6" s="555">
        <f>CA6/CA8</f>
        <v>1.0552013564765925</v>
      </c>
      <c r="CC6" s="554">
        <f>((CC9+CC10+CC12+CC13)*1.05)+(CC11*1.1)</f>
        <v>2284514.6448499998</v>
      </c>
      <c r="CD6" s="555">
        <f>CC6/CC8</f>
        <v>1.0595337497151063</v>
      </c>
      <c r="CE6" s="554">
        <f>((CE9+CE10+CE12+CE13)*1.05)+(CE11*1.1)</f>
        <v>1702977.4331999999</v>
      </c>
      <c r="CF6" s="555">
        <f>CE6/CE8</f>
        <v>1.0553225697713549</v>
      </c>
      <c r="CG6" s="554">
        <f>((CG9+CG10+CG12+CG13)*1.05)+(CG11*1.1)</f>
        <v>0</v>
      </c>
      <c r="CH6" s="555" t="e">
        <f>CG6/CG8</f>
        <v>#DIV/0!</v>
      </c>
      <c r="CI6" s="554">
        <f>((CI9+CI10+CI12+CI13)*1.05)+(CI11*1.1)</f>
        <v>2260910.8874000004</v>
      </c>
      <c r="CJ6" s="555">
        <f>CI6/CI8</f>
        <v>1.0726037312592449</v>
      </c>
      <c r="CK6" s="554">
        <f>((CK9+CK10+CK12+CK13)*1.05)+(CK11*1.1)</f>
        <v>2198118.4250000003</v>
      </c>
      <c r="CL6" s="555">
        <f>CK6/CK8</f>
        <v>1.0552088784812133</v>
      </c>
      <c r="CM6" s="554">
        <f>((CM9+CM10+CM12+CM13)*1.05)+(CM11*1.1)</f>
        <v>1200901.90545</v>
      </c>
      <c r="CN6" s="555">
        <f>CM6/CM8</f>
        <v>1.0501180495559603</v>
      </c>
      <c r="CO6" s="554">
        <f>((CO9+CO10+CO12+CO13)*1.05)+(CO11*1.1)</f>
        <v>0</v>
      </c>
      <c r="CP6" s="555" t="e">
        <f>CO6/CO8</f>
        <v>#DIV/0!</v>
      </c>
      <c r="CQ6" s="554">
        <f>((CQ9+CQ10+CQ12+CQ13)*1.05)+(CQ11*1.1)</f>
        <v>0</v>
      </c>
      <c r="CR6" s="555" t="e">
        <f>CQ6/CQ8</f>
        <v>#DIV/0!</v>
      </c>
      <c r="CS6" s="554">
        <f>((CS9+CS10+CS12+CS13)*1.05)+(CS11*1.1)</f>
        <v>2826620.23465</v>
      </c>
      <c r="CT6" s="555">
        <f>CS6/CS8</f>
        <v>1.0539627848233262</v>
      </c>
      <c r="CU6" s="554">
        <f>((CU9+CU10+CU12+CU13)*1.05)+(CU11*1.1)</f>
        <v>1307330.9949</v>
      </c>
      <c r="CV6" s="555">
        <f>CU6/CU8</f>
        <v>1.05</v>
      </c>
      <c r="CW6" s="554">
        <f>((CW9+CW10+CW12+CW13)*1.05)+(CW11*1.1)</f>
        <v>4191057.7195499996</v>
      </c>
      <c r="CX6" s="555">
        <f>CW6/CW8</f>
        <v>1.0531224586789756</v>
      </c>
      <c r="CY6" s="554">
        <f>((CY9+CY10+CY12+CY13)*1.05)+(CY11*1.1)</f>
        <v>648549.68459999992</v>
      </c>
      <c r="CZ6" s="555">
        <f>CY6/CY8</f>
        <v>1.0524372555199888</v>
      </c>
      <c r="DA6" s="554">
        <f>((DA9+DA10+DA12+DA13)*1.05)+(DA11*1.1)</f>
        <v>0</v>
      </c>
      <c r="DB6" s="555" t="e">
        <f>DA6/DA8</f>
        <v>#DIV/0!</v>
      </c>
      <c r="DC6" s="554">
        <f>((DC9+DC10+DC12+DC13)*1.05)+(DC11*1.1)</f>
        <v>87674222.012150005</v>
      </c>
      <c r="DD6" s="555">
        <f>DC6/DC8</f>
        <v>1.057415030098976</v>
      </c>
      <c r="DE6" s="550"/>
      <c r="DF6" s="550"/>
      <c r="DG6" s="549"/>
      <c r="DH6" s="550"/>
    </row>
    <row r="7" spans="1:114" s="64" customFormat="1" ht="15.5" thickTop="1" thickBot="1" x14ac:dyDescent="0.4">
      <c r="B7" s="519"/>
      <c r="C7" s="538" t="s">
        <v>326</v>
      </c>
      <c r="D7" s="539" t="s">
        <v>984</v>
      </c>
      <c r="E7" s="538" t="s">
        <v>326</v>
      </c>
      <c r="F7" s="539" t="s">
        <v>984</v>
      </c>
      <c r="G7" s="538" t="s">
        <v>326</v>
      </c>
      <c r="H7" s="539" t="s">
        <v>984</v>
      </c>
      <c r="I7" s="538" t="s">
        <v>326</v>
      </c>
      <c r="J7" s="539" t="s">
        <v>984</v>
      </c>
      <c r="K7" s="538" t="s">
        <v>326</v>
      </c>
      <c r="L7" s="539" t="s">
        <v>984</v>
      </c>
      <c r="M7" s="538" t="s">
        <v>326</v>
      </c>
      <c r="N7" s="539" t="s">
        <v>984</v>
      </c>
      <c r="O7" s="538" t="s">
        <v>326</v>
      </c>
      <c r="P7" s="539" t="s">
        <v>984</v>
      </c>
      <c r="Q7" s="538" t="s">
        <v>326</v>
      </c>
      <c r="R7" s="539" t="s">
        <v>984</v>
      </c>
      <c r="S7" s="538" t="s">
        <v>326</v>
      </c>
      <c r="T7" s="539" t="s">
        <v>984</v>
      </c>
      <c r="U7" s="538" t="s">
        <v>326</v>
      </c>
      <c r="V7" s="539" t="s">
        <v>984</v>
      </c>
      <c r="W7" s="538" t="s">
        <v>326</v>
      </c>
      <c r="X7" s="539" t="s">
        <v>984</v>
      </c>
      <c r="Y7" s="538" t="s">
        <v>326</v>
      </c>
      <c r="Z7" s="539" t="s">
        <v>984</v>
      </c>
      <c r="AA7" s="538" t="s">
        <v>326</v>
      </c>
      <c r="AB7" s="539" t="s">
        <v>984</v>
      </c>
      <c r="AC7" s="538" t="s">
        <v>326</v>
      </c>
      <c r="AD7" s="539" t="s">
        <v>984</v>
      </c>
      <c r="AE7" s="538" t="s">
        <v>326</v>
      </c>
      <c r="AF7" s="539" t="s">
        <v>984</v>
      </c>
      <c r="AG7" s="538" t="s">
        <v>326</v>
      </c>
      <c r="AH7" s="539" t="s">
        <v>984</v>
      </c>
      <c r="AI7" s="538" t="s">
        <v>326</v>
      </c>
      <c r="AJ7" s="539" t="s">
        <v>984</v>
      </c>
      <c r="AK7" s="538" t="s">
        <v>326</v>
      </c>
      <c r="AL7" s="539" t="s">
        <v>984</v>
      </c>
      <c r="AM7" s="538" t="s">
        <v>326</v>
      </c>
      <c r="AN7" s="539" t="s">
        <v>984</v>
      </c>
      <c r="AO7" s="538" t="s">
        <v>326</v>
      </c>
      <c r="AP7" s="539" t="s">
        <v>984</v>
      </c>
      <c r="AQ7" s="538" t="s">
        <v>326</v>
      </c>
      <c r="AR7" s="539" t="s">
        <v>984</v>
      </c>
      <c r="AS7" s="538" t="s">
        <v>326</v>
      </c>
      <c r="AT7" s="539" t="s">
        <v>984</v>
      </c>
      <c r="AU7" s="538" t="s">
        <v>326</v>
      </c>
      <c r="AV7" s="539" t="s">
        <v>984</v>
      </c>
      <c r="AW7" s="538" t="s">
        <v>326</v>
      </c>
      <c r="AX7" s="539" t="s">
        <v>984</v>
      </c>
      <c r="AY7" s="538" t="s">
        <v>326</v>
      </c>
      <c r="AZ7" s="539" t="s">
        <v>984</v>
      </c>
      <c r="BA7" s="538" t="s">
        <v>326</v>
      </c>
      <c r="BB7" s="539" t="s">
        <v>984</v>
      </c>
      <c r="BC7" s="538" t="s">
        <v>326</v>
      </c>
      <c r="BD7" s="539" t="s">
        <v>984</v>
      </c>
      <c r="BE7" s="538" t="s">
        <v>326</v>
      </c>
      <c r="BF7" s="539" t="s">
        <v>984</v>
      </c>
      <c r="BG7" s="538" t="s">
        <v>326</v>
      </c>
      <c r="BH7" s="539" t="s">
        <v>984</v>
      </c>
      <c r="BI7" s="538" t="s">
        <v>326</v>
      </c>
      <c r="BJ7" s="539" t="s">
        <v>984</v>
      </c>
      <c r="BK7" s="538" t="s">
        <v>326</v>
      </c>
      <c r="BL7" s="539" t="s">
        <v>984</v>
      </c>
      <c r="BM7" s="538" t="s">
        <v>326</v>
      </c>
      <c r="BN7" s="539" t="s">
        <v>984</v>
      </c>
      <c r="BO7" s="538" t="s">
        <v>326</v>
      </c>
      <c r="BP7" s="539" t="s">
        <v>984</v>
      </c>
      <c r="BQ7" s="538" t="s">
        <v>326</v>
      </c>
      <c r="BR7" s="539" t="s">
        <v>984</v>
      </c>
      <c r="BS7" s="538" t="s">
        <v>326</v>
      </c>
      <c r="BT7" s="539" t="s">
        <v>984</v>
      </c>
      <c r="BU7" s="538" t="s">
        <v>326</v>
      </c>
      <c r="BV7" s="539" t="s">
        <v>984</v>
      </c>
      <c r="BW7" s="538" t="s">
        <v>326</v>
      </c>
      <c r="BX7" s="539" t="s">
        <v>984</v>
      </c>
      <c r="BY7" s="538" t="s">
        <v>326</v>
      </c>
      <c r="BZ7" s="539" t="s">
        <v>984</v>
      </c>
      <c r="CA7" s="538" t="s">
        <v>326</v>
      </c>
      <c r="CB7" s="539" t="s">
        <v>984</v>
      </c>
      <c r="CC7" s="538" t="s">
        <v>326</v>
      </c>
      <c r="CD7" s="539" t="s">
        <v>984</v>
      </c>
      <c r="CE7" s="538" t="s">
        <v>326</v>
      </c>
      <c r="CF7" s="539" t="s">
        <v>984</v>
      </c>
      <c r="CG7" s="538" t="s">
        <v>326</v>
      </c>
      <c r="CH7" s="539" t="s">
        <v>984</v>
      </c>
      <c r="CI7" s="538" t="s">
        <v>326</v>
      </c>
      <c r="CJ7" s="539" t="s">
        <v>984</v>
      </c>
      <c r="CK7" s="538" t="s">
        <v>326</v>
      </c>
      <c r="CL7" s="539" t="s">
        <v>984</v>
      </c>
      <c r="CM7" s="538" t="s">
        <v>326</v>
      </c>
      <c r="CN7" s="539" t="s">
        <v>984</v>
      </c>
      <c r="CO7" s="538" t="s">
        <v>326</v>
      </c>
      <c r="CP7" s="539" t="s">
        <v>984</v>
      </c>
      <c r="CQ7" s="538" t="s">
        <v>326</v>
      </c>
      <c r="CR7" s="539" t="s">
        <v>984</v>
      </c>
      <c r="CS7" s="538" t="s">
        <v>326</v>
      </c>
      <c r="CT7" s="539" t="s">
        <v>984</v>
      </c>
      <c r="CU7" s="538" t="s">
        <v>326</v>
      </c>
      <c r="CV7" s="539" t="s">
        <v>984</v>
      </c>
      <c r="CW7" s="538" t="s">
        <v>326</v>
      </c>
      <c r="CX7" s="539" t="s">
        <v>984</v>
      </c>
      <c r="CY7" s="538" t="s">
        <v>326</v>
      </c>
      <c r="CZ7" s="552" t="s">
        <v>984</v>
      </c>
      <c r="DA7" s="538" t="s">
        <v>326</v>
      </c>
      <c r="DB7" s="539" t="s">
        <v>984</v>
      </c>
      <c r="DC7" s="538" t="s">
        <v>326</v>
      </c>
      <c r="DD7" s="552" t="s">
        <v>984</v>
      </c>
      <c r="DE7" s="547" t="s">
        <v>326</v>
      </c>
      <c r="DF7" s="548" t="s">
        <v>984</v>
      </c>
      <c r="DG7" s="547" t="s">
        <v>326</v>
      </c>
      <c r="DH7" s="548" t="s">
        <v>984</v>
      </c>
    </row>
    <row r="8" spans="1:114" x14ac:dyDescent="0.35">
      <c r="B8" s="533" t="s">
        <v>238</v>
      </c>
      <c r="C8" s="537">
        <f>SUM(C9:C13)</f>
        <v>1207108.7100000002</v>
      </c>
      <c r="D8" s="536">
        <v>1</v>
      </c>
      <c r="E8" s="537">
        <f t="shared" ref="E8:DE8" si="0">SUM(E9:E13)</f>
        <v>1646373.882</v>
      </c>
      <c r="F8" s="537"/>
      <c r="G8" s="537">
        <f t="shared" si="0"/>
        <v>0</v>
      </c>
      <c r="H8" s="537"/>
      <c r="I8" s="537">
        <f t="shared" si="0"/>
        <v>3052334.5549999997</v>
      </c>
      <c r="J8" s="537"/>
      <c r="K8" s="537">
        <f t="shared" si="0"/>
        <v>962055.21899999992</v>
      </c>
      <c r="L8" s="537"/>
      <c r="M8" s="537">
        <f t="shared" si="0"/>
        <v>2322644.0019999999</v>
      </c>
      <c r="N8" s="537"/>
      <c r="O8" s="537">
        <f t="shared" si="0"/>
        <v>3366693.858</v>
      </c>
      <c r="P8" s="537"/>
      <c r="Q8" s="537">
        <f t="shared" si="0"/>
        <v>0</v>
      </c>
      <c r="R8" s="537"/>
      <c r="S8" s="537">
        <f t="shared" si="0"/>
        <v>3760149.7529999996</v>
      </c>
      <c r="T8" s="537"/>
      <c r="U8" s="537">
        <f t="shared" si="0"/>
        <v>2817671.307</v>
      </c>
      <c r="V8" s="537"/>
      <c r="W8" s="537">
        <f t="shared" si="0"/>
        <v>0</v>
      </c>
      <c r="X8" s="537"/>
      <c r="Y8" s="537">
        <f t="shared" si="0"/>
        <v>0</v>
      </c>
      <c r="Z8" s="537"/>
      <c r="AA8" s="537">
        <f t="shared" si="0"/>
        <v>3146287.5969999996</v>
      </c>
      <c r="AB8" s="537"/>
      <c r="AC8" s="537">
        <f t="shared" si="0"/>
        <v>2270578.9810000001</v>
      </c>
      <c r="AD8" s="537"/>
      <c r="AE8" s="537">
        <f t="shared" si="0"/>
        <v>0</v>
      </c>
      <c r="AF8" s="537"/>
      <c r="AG8" s="537">
        <f t="shared" si="0"/>
        <v>3716756.2860000003</v>
      </c>
      <c r="AH8" s="537"/>
      <c r="AI8" s="537">
        <f t="shared" si="0"/>
        <v>0</v>
      </c>
      <c r="AJ8" s="537"/>
      <c r="AK8" s="537">
        <f t="shared" si="0"/>
        <v>1082424.3899999999</v>
      </c>
      <c r="AL8" s="537"/>
      <c r="AM8" s="537">
        <f t="shared" si="0"/>
        <v>2045986.2789999999</v>
      </c>
      <c r="AN8" s="537"/>
      <c r="AO8" s="537">
        <f t="shared" si="0"/>
        <v>1762098.0769999998</v>
      </c>
      <c r="AP8" s="537"/>
      <c r="AQ8" s="537">
        <f t="shared" si="0"/>
        <v>1476393.0499999998</v>
      </c>
      <c r="AR8" s="537"/>
      <c r="AS8" s="537">
        <f t="shared" si="0"/>
        <v>1866405.4890000001</v>
      </c>
      <c r="AT8" s="537"/>
      <c r="AU8" s="537">
        <f t="shared" si="0"/>
        <v>0</v>
      </c>
      <c r="AV8" s="537"/>
      <c r="AW8" s="537">
        <f t="shared" si="0"/>
        <v>3705506.611</v>
      </c>
      <c r="AX8" s="537"/>
      <c r="AY8" s="537">
        <f t="shared" si="0"/>
        <v>4170140.852</v>
      </c>
      <c r="AZ8" s="537"/>
      <c r="BA8" s="537">
        <f t="shared" si="0"/>
        <v>329199.636</v>
      </c>
      <c r="BB8" s="537"/>
      <c r="BC8" s="537">
        <f t="shared" si="0"/>
        <v>2083744.82</v>
      </c>
      <c r="BD8" s="537"/>
      <c r="BE8" s="537">
        <f t="shared" si="0"/>
        <v>1604949.7930000001</v>
      </c>
      <c r="BF8" s="537"/>
      <c r="BG8" s="537">
        <f t="shared" si="0"/>
        <v>1840021.6969999999</v>
      </c>
      <c r="BH8" s="537"/>
      <c r="BI8" s="537">
        <f t="shared" si="0"/>
        <v>1879293.6929999997</v>
      </c>
      <c r="BJ8" s="537"/>
      <c r="BK8" s="537">
        <f t="shared" si="0"/>
        <v>2297001.6439999999</v>
      </c>
      <c r="BL8" s="537"/>
      <c r="BM8" s="537">
        <f t="shared" si="0"/>
        <v>0</v>
      </c>
      <c r="BN8" s="537"/>
      <c r="BO8" s="537">
        <f t="shared" si="0"/>
        <v>0</v>
      </c>
      <c r="BP8" s="537"/>
      <c r="BQ8" s="537">
        <f t="shared" si="0"/>
        <v>0</v>
      </c>
      <c r="BR8" s="537"/>
      <c r="BS8" s="537">
        <f t="shared" si="0"/>
        <v>0</v>
      </c>
      <c r="BT8" s="537"/>
      <c r="BU8" s="537">
        <f t="shared" si="0"/>
        <v>4955514.7439999999</v>
      </c>
      <c r="BV8" s="537"/>
      <c r="BW8" s="537">
        <f t="shared" si="0"/>
        <v>239661</v>
      </c>
      <c r="BX8" s="537"/>
      <c r="BY8" s="537">
        <f t="shared" si="0"/>
        <v>0</v>
      </c>
      <c r="BZ8" s="537"/>
      <c r="CA8" s="537">
        <f t="shared" si="0"/>
        <v>5679446.9160000011</v>
      </c>
      <c r="CB8" s="537"/>
      <c r="CC8" s="537">
        <f t="shared" si="0"/>
        <v>2156150.8969999999</v>
      </c>
      <c r="CD8" s="537"/>
      <c r="CE8" s="537">
        <f t="shared" si="0"/>
        <v>1613703.2239999997</v>
      </c>
      <c r="CF8" s="537"/>
      <c r="CG8" s="537">
        <f t="shared" si="0"/>
        <v>0</v>
      </c>
      <c r="CH8" s="537"/>
      <c r="CI8" s="537">
        <f t="shared" si="0"/>
        <v>2107871.548</v>
      </c>
      <c r="CJ8" s="537"/>
      <c r="CK8" s="537">
        <f t="shared" si="0"/>
        <v>2083112.1400000001</v>
      </c>
      <c r="CL8" s="537"/>
      <c r="CM8" s="537">
        <f t="shared" si="0"/>
        <v>1143587.5289999999</v>
      </c>
      <c r="CN8" s="537"/>
      <c r="CO8" s="537">
        <f t="shared" si="0"/>
        <v>0</v>
      </c>
      <c r="CP8" s="537"/>
      <c r="CQ8" s="537">
        <f t="shared" si="0"/>
        <v>0</v>
      </c>
      <c r="CR8" s="537"/>
      <c r="CS8" s="537">
        <f t="shared" si="0"/>
        <v>2681897.5730000003</v>
      </c>
      <c r="CT8" s="537"/>
      <c r="CU8" s="537">
        <f t="shared" si="0"/>
        <v>1245077.138</v>
      </c>
      <c r="CV8" s="537"/>
      <c r="CW8" s="537">
        <f t="shared" si="0"/>
        <v>3979648.9809999997</v>
      </c>
      <c r="CX8" s="537"/>
      <c r="CY8" s="537">
        <f t="shared" si="0"/>
        <v>616235.96199999982</v>
      </c>
      <c r="CZ8" s="537"/>
      <c r="DA8" s="537">
        <f>SUM(DA9:DA13)</f>
        <v>0</v>
      </c>
      <c r="DB8" s="537"/>
      <c r="DC8" s="537">
        <f t="shared" si="0"/>
        <v>82913727.833000004</v>
      </c>
      <c r="DD8" s="537"/>
      <c r="DE8" s="534">
        <f t="shared" si="0"/>
        <v>0</v>
      </c>
      <c r="DF8" s="534"/>
      <c r="DG8" s="534">
        <f>SUM(DG9:DG13)</f>
        <v>-82913727.833000004</v>
      </c>
      <c r="DH8" s="534">
        <f>DE8-DC8</f>
        <v>-82913727.833000004</v>
      </c>
      <c r="DJ8" s="308"/>
    </row>
    <row r="9" spans="1:114" outlineLevel="1" x14ac:dyDescent="0.35">
      <c r="B9" s="41" t="s">
        <v>66</v>
      </c>
      <c r="C9" s="87">
        <f>-SUMIF('TB Apr 24'!$D$13:$D$103,'MIS Apr24'!$B9,'TB Apr 24'!E$13:E$103)</f>
        <v>949018.26</v>
      </c>
      <c r="D9" s="546">
        <f>IFERROR(C9/C$8,0)</f>
        <v>0.78619121222313093</v>
      </c>
      <c r="E9" s="87">
        <f>-SUMIF('TB Apr 24'!$D$13:$D$103,'MIS Apr24'!$B9,'TB Apr 24'!F$13:F$103)</f>
        <v>1367528.98</v>
      </c>
      <c r="F9" s="546">
        <f>IFERROR(E9/E$8,0)</f>
        <v>0.83063087610375486</v>
      </c>
      <c r="G9" s="87">
        <f>-SUMIF('TB Apr 24'!$D$13:$D$103,'MIS Apr24'!$B9,'TB Apr 24'!G$13:G$103)</f>
        <v>0</v>
      </c>
      <c r="H9" s="546">
        <f>IFERROR(G9/G$8,0)</f>
        <v>0</v>
      </c>
      <c r="I9" s="87">
        <f>-SUMIF('TB Apr 24'!$D$13:$D$103,'MIS Apr24'!$B9,'TB Apr 24'!H$13:H$103)</f>
        <v>2418690.38</v>
      </c>
      <c r="J9" s="546">
        <f>IFERROR(I9/I$8,0)</f>
        <v>0.7924067091656013</v>
      </c>
      <c r="K9" s="87">
        <f>-SUMIF('TB Apr 24'!$D$13:$D$103,'MIS Apr24'!$B9,'TB Apr 24'!I$13:I$103)</f>
        <v>814874.14999999991</v>
      </c>
      <c r="L9" s="546">
        <f>IFERROR(K9/K$8,0)</f>
        <v>0.8470139072131575</v>
      </c>
      <c r="M9" s="87">
        <f>-SUMIF('TB Apr 24'!$D$13:$D$103,'MIS Apr24'!$B9,'TB Apr 24'!J$13:J$103)</f>
        <v>1427800.6500000001</v>
      </c>
      <c r="N9" s="546">
        <f>IFERROR(M9/M$8,0)</f>
        <v>0.61473073306565218</v>
      </c>
      <c r="O9" s="87">
        <f>-SUMIF('TB Apr 24'!$D$13:$D$103,'MIS Apr24'!$B9,'TB Apr 24'!K$13:K$103)</f>
        <v>2166868.0300000003</v>
      </c>
      <c r="P9" s="546">
        <f>IFERROR(O9/O$8,0)</f>
        <v>0.64361896905210092</v>
      </c>
      <c r="Q9" s="87">
        <f>-SUMIF('TB Apr 24'!$D$13:$D$103,'MIS Apr24'!$B9,'TB Apr 24'!L$13:L$103)</f>
        <v>0</v>
      </c>
      <c r="R9" s="546">
        <f>IFERROR(Q9/Q$8,0)</f>
        <v>0</v>
      </c>
      <c r="S9" s="87">
        <f>-SUMIF('TB Apr 24'!$D$13:$D$103,'MIS Apr24'!$B9,'TB Apr 24'!M$13:M$103)</f>
        <v>1573640.44</v>
      </c>
      <c r="T9" s="546">
        <f>IFERROR(S9/S$8,0)</f>
        <v>0.41850472544198164</v>
      </c>
      <c r="U9" s="87">
        <f>-SUMIF('TB Apr 24'!$D$13:$D$103,'MIS Apr24'!$B9,'TB Apr 24'!N$13:N$103)</f>
        <v>1904519.47</v>
      </c>
      <c r="V9" s="546">
        <f>IFERROR(U9/U$8,0)</f>
        <v>0.67591967355048199</v>
      </c>
      <c r="W9" s="87">
        <f>-SUMIF('TB Apr 24'!$D$13:$D$103,'MIS Apr24'!$B9,'TB Apr 24'!P$13:P$103)</f>
        <v>0</v>
      </c>
      <c r="X9" s="546">
        <f>IFERROR(W9/W$8,0)</f>
        <v>0</v>
      </c>
      <c r="Y9" s="87">
        <f>-SUMIF('TB Apr 24'!$D$13:$D$103,'MIS Apr24'!$B9,'TB Apr 24'!Q$13:Q$103)</f>
        <v>0</v>
      </c>
      <c r="Z9" s="546">
        <f>IFERROR(Y9/Y$8,0)</f>
        <v>0</v>
      </c>
      <c r="AA9" s="87">
        <f>-SUMIF('TB Apr 24'!$D$13:$D$103,'MIS Apr24'!$B9,'TB Apr 24'!R$13:R$103)</f>
        <v>2466668.2599999998</v>
      </c>
      <c r="AB9" s="546">
        <f>IFERROR(AA9/AA$8,0)</f>
        <v>0.78399325679953091</v>
      </c>
      <c r="AC9" s="87">
        <f>-SUMIF('TB Apr 24'!$D$13:$D$103,'MIS Apr24'!$B9,'TB Apr 24'!S$13:S$103)</f>
        <v>1043146.66</v>
      </c>
      <c r="AD9" s="546">
        <f>IFERROR(AC9/AC$8,0)</f>
        <v>0.45941879526277529</v>
      </c>
      <c r="AE9" s="87">
        <f>-SUMIF('TB Apr 24'!$D$13:$D$103,'MIS Apr24'!$B9,'TB Apr 24'!T$13:T$103)</f>
        <v>0</v>
      </c>
      <c r="AF9" s="546">
        <f>IFERROR(AE9/AE$8,0)</f>
        <v>0</v>
      </c>
      <c r="AG9" s="87">
        <f>-SUMIF('TB Apr 24'!$D$13:$D$103,'MIS Apr24'!$B9,'TB Apr 24'!U$13:U$103)</f>
        <v>2290625.09</v>
      </c>
      <c r="AH9" s="546">
        <f>IFERROR(AG9/AG$8,0)</f>
        <v>0.61629682275056752</v>
      </c>
      <c r="AI9" s="87">
        <f>-SUMIF('TB Apr 24'!$D$13:$D$103,'MIS Apr24'!$B9,'TB Apr 24'!V$13:V$103)</f>
        <v>0</v>
      </c>
      <c r="AJ9" s="546">
        <f>IFERROR(AI9/AI$8,0)</f>
        <v>0</v>
      </c>
      <c r="AK9" s="87">
        <f>-SUMIF('TB Apr 24'!$D$13:$D$103,'MIS Apr24'!$B9,'TB Apr 24'!W$13:W$103)</f>
        <v>541458.46000000008</v>
      </c>
      <c r="AL9" s="546">
        <f>IFERROR(AK9/AK$8,0)</f>
        <v>0.50022751242698815</v>
      </c>
      <c r="AM9" s="87">
        <f>-SUMIF('TB Apr 24'!$D$13:$D$103,'MIS Apr24'!$B9,'TB Apr 24'!X$13:X$103)</f>
        <v>1192009.8999999999</v>
      </c>
      <c r="AN9" s="546">
        <f>IFERROR(AM9/AM$8,0)</f>
        <v>0.582608941337871</v>
      </c>
      <c r="AO9" s="87">
        <f>-SUMIF('TB Apr 24'!$D$13:$D$103,'MIS Apr24'!$B9,'TB Apr 24'!Y$13:Y$103)</f>
        <v>1128446.8899999999</v>
      </c>
      <c r="AP9" s="546">
        <f>IFERROR(AO9/AO$8,0)</f>
        <v>0.64039959224131204</v>
      </c>
      <c r="AQ9" s="87">
        <f>-SUMIF('TB Apr 24'!$D$13:$D$103,'MIS Apr24'!$B9,'TB Apr 24'!Z$13:Z$103)</f>
        <v>1022435.26</v>
      </c>
      <c r="AR9" s="546">
        <f>IFERROR(AQ9/AQ$8,0)</f>
        <v>0.6925224011315958</v>
      </c>
      <c r="AS9" s="87">
        <f>-SUMIF('TB Apr 24'!$D$13:$D$103,'MIS Apr24'!$B9,'TB Apr 24'!AA$13:AA$103)</f>
        <v>1512030.08</v>
      </c>
      <c r="AT9" s="546">
        <f>IFERROR(AS9/AS$8,0)</f>
        <v>0.81012946485178283</v>
      </c>
      <c r="AU9" s="87">
        <f>-SUMIF('TB Apr 24'!$D$13:$D$103,'MIS Apr24'!$B9,'TB Apr 24'!AB$13:AB$103)</f>
        <v>0</v>
      </c>
      <c r="AV9" s="546">
        <f>IFERROR(AU9/AU$8,0)</f>
        <v>0</v>
      </c>
      <c r="AW9" s="87">
        <f>-SUMIF('TB Apr 24'!$D$13:$D$103,'MIS Apr24'!$B9,'TB Apr 24'!AC$13:AC$103)</f>
        <v>1925308.9000000001</v>
      </c>
      <c r="AX9" s="546">
        <f>IFERROR(AW9/AW$8,0)</f>
        <v>0.51958047903210181</v>
      </c>
      <c r="AY9" s="87">
        <f>-SUMIF('TB Apr 24'!$D$13:$D$103,'MIS Apr24'!$B9,'TB Apr 24'!AD$13:AD$103)</f>
        <v>3245624.49</v>
      </c>
      <c r="AZ9" s="546">
        <f>IFERROR(AY9/AY$8,0)</f>
        <v>0.77830092680044571</v>
      </c>
      <c r="BA9" s="87">
        <f>-SUMIF('TB Apr 24'!$D$13:$D$103,'MIS Apr24'!$B9,'TB Apr 24'!AE$13:AE$103)</f>
        <v>225718.32</v>
      </c>
      <c r="BB9" s="546">
        <f>IFERROR(BA9/BA$8,0)</f>
        <v>0.68565786628026526</v>
      </c>
      <c r="BC9" s="87">
        <f>-SUMIF('TB Apr 24'!$D$13:$D$103,'MIS Apr24'!$B9,'TB Apr 24'!AF$13:AF$103)</f>
        <v>1333536.47</v>
      </c>
      <c r="BD9" s="546">
        <f>IFERROR(BC9/BC$8,0)</f>
        <v>0.63997110260362877</v>
      </c>
      <c r="BE9" s="87">
        <f>-SUMIF('TB Apr 24'!$D$13:$D$103,'MIS Apr24'!$B9,'TB Apr 24'!AG$13:AG$103)</f>
        <v>1316456.2</v>
      </c>
      <c r="BF9" s="546">
        <f>IFERROR(BE9/BE$8,0)</f>
        <v>0.82024759013754389</v>
      </c>
      <c r="BG9" s="87">
        <f>-SUMIF('TB Apr 24'!$D$13:$D$103,'MIS Apr24'!$B9,'TB Apr 24'!AH$13:AH$103)</f>
        <v>1266805.04</v>
      </c>
      <c r="BH9" s="546">
        <f>IFERROR(BG9/BG$8,0)</f>
        <v>0.6884728816325475</v>
      </c>
      <c r="BI9" s="87">
        <f>-SUMIF('TB Apr 24'!$D$13:$D$103,'MIS Apr24'!$B9,'TB Apr 24'!AI$13:AI$103)</f>
        <v>1190789.77</v>
      </c>
      <c r="BJ9" s="546">
        <f>IFERROR(BI9/BI$8,0)</f>
        <v>0.63363686816778997</v>
      </c>
      <c r="BK9" s="87">
        <f>-SUMIF('TB Apr 24'!$D$13:$D$103,'MIS Apr24'!$B9,'TB Apr 24'!AJ$13:AJ$103)</f>
        <v>1619618.45</v>
      </c>
      <c r="BL9" s="546">
        <f>IFERROR(BK9/BK$8,0)</f>
        <v>0.70510112791194857</v>
      </c>
      <c r="BM9" s="87">
        <f>-SUMIF('TB Apr 24'!$D$13:$D$103,'MIS Apr24'!$B9,'TB Apr 24'!AK$13:AK$103)</f>
        <v>0</v>
      </c>
      <c r="BN9" s="546">
        <f>IFERROR(BM9/BM$8,0)</f>
        <v>0</v>
      </c>
      <c r="BO9" s="87">
        <f>-SUMIF('TB Apr 24'!$D$13:$D$103,'MIS Apr24'!$B9,'TB Apr 24'!AL$13:AL$103)</f>
        <v>0</v>
      </c>
      <c r="BP9" s="546">
        <f>IFERROR(BO9/BO$8,0)</f>
        <v>0</v>
      </c>
      <c r="BQ9" s="87">
        <f>-SUMIF('TB Apr 24'!$D$13:$D$103,'MIS Apr24'!$B9,'TB Apr 24'!AM$13:AM$103)</f>
        <v>0</v>
      </c>
      <c r="BR9" s="546">
        <f>IFERROR(BQ9/BQ$8,0)</f>
        <v>0</v>
      </c>
      <c r="BS9" s="87">
        <f>-SUMIF('TB Apr 24'!$D$13:$D$103,'MIS Apr24'!$B9,'TB Apr 24'!AN$13:AN$103)</f>
        <v>0</v>
      </c>
      <c r="BT9" s="546">
        <f>IFERROR(BS9/BS$8,0)</f>
        <v>0</v>
      </c>
      <c r="BU9" s="87">
        <f>-SUMIF('TB Apr 24'!$D$13:$D$103,'MIS Apr24'!$B9,'TB Apr 24'!AO$13:AO$103)</f>
        <v>3164982.73</v>
      </c>
      <c r="BV9" s="546">
        <f>IFERROR(BU9/BU$8,0)</f>
        <v>0.63867890491741008</v>
      </c>
      <c r="BW9" s="87">
        <f>-SUMIF('TB Apr 24'!$D$13:$D$103,'MIS Apr24'!$B9,'TB Apr 24'!AP$13:AP$103)</f>
        <v>142519</v>
      </c>
      <c r="BX9" s="546">
        <f>IFERROR(BW9/BW$8,0)</f>
        <v>0.59466913682242839</v>
      </c>
      <c r="BY9" s="87">
        <f>-SUMIF('TB Apr 24'!$D$13:$D$103,'MIS Apr24'!$B9,'TB Apr 24'!AQ$13:AQ$103)</f>
        <v>0</v>
      </c>
      <c r="BZ9" s="546">
        <f>IFERROR(BY9/BY$8,0)</f>
        <v>0</v>
      </c>
      <c r="CA9" s="87">
        <f>-SUMIF('TB Apr 24'!$D$13:$D$103,'MIS Apr24'!$B9,'TB Apr 24'!AR$13:AR$103)</f>
        <v>3885223.31</v>
      </c>
      <c r="CB9" s="546">
        <f>IFERROR(CA9/CA$8,0)</f>
        <v>0.68408480041509723</v>
      </c>
      <c r="CC9" s="87">
        <f>-SUMIF('TB Apr 24'!$D$13:$D$103,'MIS Apr24'!$B9,'TB Apr 24'!AS$13:AS$103)</f>
        <v>1335087.48</v>
      </c>
      <c r="CD9" s="546">
        <f>IFERROR(CC9/CC$8,0)</f>
        <v>0.61919946412730131</v>
      </c>
      <c r="CE9" s="87">
        <f>-SUMIF('TB Apr 24'!$D$13:$D$103,'MIS Apr24'!$B9,'TB Apr 24'!AT$13:AT$103)</f>
        <v>1298003.47</v>
      </c>
      <c r="CF9" s="546">
        <f>IFERROR(CE9/CE$8,0)</f>
        <v>0.80436318815955976</v>
      </c>
      <c r="CG9" s="87">
        <f>-SUMIF('TB Apr 24'!$D$13:$D$103,'MIS Apr24'!$B9,'TB Apr 24'!AU$13:AU$103)</f>
        <v>0</v>
      </c>
      <c r="CH9" s="546">
        <f>IFERROR(CG9/CG$8,0)</f>
        <v>0</v>
      </c>
      <c r="CI9" s="87">
        <f>-SUMIF('TB Apr 24'!$D$13:$D$103,'MIS Apr24'!$B9,'TB Apr 24'!AV$13:AV$103)</f>
        <v>887087.39</v>
      </c>
      <c r="CJ9" s="546">
        <f>IFERROR(CI9/CI$8,0)</f>
        <v>0.42084508937069254</v>
      </c>
      <c r="CK9" s="87">
        <f>-SUMIF('TB Apr 24'!$D$13:$D$103,'MIS Apr24'!$B9,'TB Apr 24'!AW$13:AW$103)</f>
        <v>1618928.07</v>
      </c>
      <c r="CL9" s="546">
        <f>IFERROR(CK9/CK$8,0)</f>
        <v>0.77716798770132456</v>
      </c>
      <c r="CM9" s="87">
        <f>-SUMIF('TB Apr 24'!$D$13:$D$103,'MIS Apr24'!$B9,'TB Apr 24'!AX$13:AX$103)</f>
        <v>870835.67999999993</v>
      </c>
      <c r="CN9" s="546">
        <f>IFERROR(CM9/CM$8,0)</f>
        <v>0.7614945580610647</v>
      </c>
      <c r="CO9" s="87">
        <f>-SUMIF('TB Apr 24'!$D$13:$D$103,'MIS Apr24'!$B9,'TB Apr 24'!AY$13:AY$103)</f>
        <v>0</v>
      </c>
      <c r="CP9" s="546">
        <f>IFERROR(CO9/CO$8,0)</f>
        <v>0</v>
      </c>
      <c r="CQ9" s="87">
        <f>-SUMIF('TB Apr 24'!$D$13:$D$103,'MIS Apr24'!$B9,'TB Apr 24'!AZ$13:AZ$103)</f>
        <v>0</v>
      </c>
      <c r="CR9" s="546">
        <f>IFERROR(CQ9/CQ$8,0)</f>
        <v>0</v>
      </c>
      <c r="CS9" s="87">
        <f>-SUMIF('TB Apr 24'!$D$13:$D$103,'MIS Apr24'!$B9,'TB Apr 24'!BA$13:BA$103)</f>
        <v>2023288.95</v>
      </c>
      <c r="CT9" s="546">
        <f>IFERROR(CS9/CS$8,0)</f>
        <v>0.75442439352250379</v>
      </c>
      <c r="CU9" s="87">
        <f>-SUMIF('TB Apr 24'!$D$13:$D$103,'MIS Apr24'!$B9,'TB Apr 24'!BB$13:BB$103)</f>
        <v>734301.99</v>
      </c>
      <c r="CV9" s="546">
        <f>IFERROR(CU9/CU$8,0)</f>
        <v>0.58976425442967206</v>
      </c>
      <c r="CW9" s="87">
        <f>-SUMIF('TB Apr 24'!$D$13:$D$103,'MIS Apr24'!$B9,'TB Apr 24'!BC$13:BC$103)</f>
        <v>2755334.55</v>
      </c>
      <c r="CX9" s="546">
        <f>IFERROR(CW9/CW$8,0)</f>
        <v>0.69235617592274279</v>
      </c>
      <c r="CY9" s="87">
        <f>-SUMIF('TB Apr 24'!$D$13:$D$103,'MIS Apr24'!$B9,'TB Apr 24'!BD$13:BD$103)</f>
        <v>465434.75999999995</v>
      </c>
      <c r="CZ9" s="546">
        <f>IFERROR(CY9/CY$8,0)</f>
        <v>0.75528659263803255</v>
      </c>
      <c r="DA9" s="87">
        <f>-SUMIF('TB Apr 24'!$D$13:$D$103,'MIS Apr24'!$B9,'TB Apr 24'!O$13:O$103)</f>
        <v>0</v>
      </c>
      <c r="DB9" s="546">
        <f>IFERROR(DA9/DA$8,0)</f>
        <v>0</v>
      </c>
      <c r="DC9" s="87">
        <f>SUM(C9,E9,I9,K9,M9,O9,S9,U9,AA9,AC9,AG9,AK9,AM9,AO9,AQ9,AS9,AW9,AY9,BA9,BC9,BE9,BG9,BI9,BK9,BU9,BW9,CA9,CC9,CE9,CI9,CK9,CM9,CS9,CU9,CW9,CY9,DA9)</f>
        <v>55124645.979999997</v>
      </c>
      <c r="DD9" s="546">
        <f>IFERROR(DC9/DC$8,0)</f>
        <v>0.66484341520657286</v>
      </c>
      <c r="DE9" s="87">
        <f>Budget!C5</f>
        <v>0</v>
      </c>
      <c r="DF9" s="546">
        <f>IFERROR(DE9/DE$8,0)</f>
        <v>0</v>
      </c>
      <c r="DG9" s="87">
        <f>DE9-DC9</f>
        <v>-55124645.979999997</v>
      </c>
      <c r="DH9" s="546">
        <f>IFERROR(DG9/DG$8,0)</f>
        <v>0.66484341520657286</v>
      </c>
      <c r="DI9" s="345"/>
    </row>
    <row r="10" spans="1:114" outlineLevel="1" x14ac:dyDescent="0.35">
      <c r="B10" s="41" t="s">
        <v>252</v>
      </c>
      <c r="C10" s="87">
        <f>-SUMIF('TB Apr 24'!$D$13:$D$103,'MIS Apr24'!$B10,'TB Apr 24'!E$13:E$103)</f>
        <v>176597.09</v>
      </c>
      <c r="D10" s="546">
        <f>IFERROR(C10/C$8,0)</f>
        <v>0.14629758574105556</v>
      </c>
      <c r="E10" s="87">
        <f>-SUMIF('TB Apr 24'!$D$13:$D$103,'MIS Apr24'!$B10,'TB Apr 24'!F$13:F$103)</f>
        <v>168776.09</v>
      </c>
      <c r="F10" s="546">
        <f>IFERROR(E10/E$8,0)</f>
        <v>0.10251382862984461</v>
      </c>
      <c r="G10" s="87">
        <f>-SUMIF('TB Apr 24'!$D$13:$D$103,'MIS Apr24'!$B10,'TB Apr 24'!G$13:G$103)</f>
        <v>0</v>
      </c>
      <c r="H10" s="546">
        <f>IFERROR(G10/G$8,0)</f>
        <v>0</v>
      </c>
      <c r="I10" s="87">
        <f>-SUMIF('TB Apr 24'!$D$13:$D$103,'MIS Apr24'!$B10,'TB Apr 24'!H$13:H$103)</f>
        <v>404033.54</v>
      </c>
      <c r="J10" s="546">
        <f>IFERROR(I10/I$8,0)</f>
        <v>0.13236869442707599</v>
      </c>
      <c r="K10" s="87">
        <f>-SUMIF('TB Apr 24'!$D$13:$D$103,'MIS Apr24'!$B10,'TB Apr 24'!I$13:I$103)</f>
        <v>81266.420000000013</v>
      </c>
      <c r="L10" s="546">
        <f>IFERROR(K10/K$8,0)</f>
        <v>8.4471679374570313E-2</v>
      </c>
      <c r="M10" s="87">
        <f>-SUMIF('TB Apr 24'!$D$13:$D$103,'MIS Apr24'!$B10,'TB Apr 24'!J$13:J$103)</f>
        <v>353862.42</v>
      </c>
      <c r="N10" s="546">
        <f>IFERROR(M10/M$8,0)</f>
        <v>0.15235327484336533</v>
      </c>
      <c r="O10" s="87">
        <f>-SUMIF('TB Apr 24'!$D$13:$D$103,'MIS Apr24'!$B10,'TB Apr 24'!K$13:K$103)</f>
        <v>351603.13</v>
      </c>
      <c r="P10" s="546">
        <f>IFERROR(O10/O$8,0)</f>
        <v>0.10443572977819594</v>
      </c>
      <c r="Q10" s="87">
        <f>-SUMIF('TB Apr 24'!$D$13:$D$103,'MIS Apr24'!$B10,'TB Apr 24'!L$13:L$103)</f>
        <v>0</v>
      </c>
      <c r="R10" s="546">
        <f>IFERROR(Q10/Q$8,0)</f>
        <v>0</v>
      </c>
      <c r="S10" s="87">
        <f>-SUMIF('TB Apr 24'!$D$13:$D$103,'MIS Apr24'!$B10,'TB Apr 24'!M$13:M$103)</f>
        <v>309537.02</v>
      </c>
      <c r="T10" s="546">
        <f>IFERROR(S10/S$8,0)</f>
        <v>8.2320396881278166E-2</v>
      </c>
      <c r="U10" s="87">
        <f>-SUMIF('TB Apr 24'!$D$13:$D$103,'MIS Apr24'!$B10,'TB Apr 24'!N$13:N$103)</f>
        <v>364928.3</v>
      </c>
      <c r="V10" s="546">
        <f>IFERROR(U10/U$8,0)</f>
        <v>0.12951414847196724</v>
      </c>
      <c r="W10" s="87">
        <f>-SUMIF('TB Apr 24'!$D$13:$D$103,'MIS Apr24'!$B10,'TB Apr 24'!P$13:P$103)</f>
        <v>0</v>
      </c>
      <c r="X10" s="546">
        <f>IFERROR(W10/W$8,0)</f>
        <v>0</v>
      </c>
      <c r="Y10" s="87">
        <f>-SUMIF('TB Apr 24'!$D$13:$D$103,'MIS Apr24'!$B10,'TB Apr 24'!Q$13:Q$103)</f>
        <v>0</v>
      </c>
      <c r="Z10" s="546">
        <f>IFERROR(Y10/Y$8,0)</f>
        <v>0</v>
      </c>
      <c r="AA10" s="87">
        <f>-SUMIF('TB Apr 24'!$D$13:$D$103,'MIS Apr24'!$B10,'TB Apr 24'!R$13:R$103)</f>
        <v>267034.34999999998</v>
      </c>
      <c r="AB10" s="546">
        <f>IFERROR(AA10/AA$8,0)</f>
        <v>8.4872835609376113E-2</v>
      </c>
      <c r="AC10" s="87">
        <f>-SUMIF('TB Apr 24'!$D$13:$D$103,'MIS Apr24'!$B10,'TB Apr 24'!S$13:S$103)</f>
        <v>162365.70000000001</v>
      </c>
      <c r="AD10" s="546">
        <f>IFERROR(AC10/AC$8,0)</f>
        <v>7.1508501293573806E-2</v>
      </c>
      <c r="AE10" s="87">
        <f>-SUMIF('TB Apr 24'!$D$13:$D$103,'MIS Apr24'!$B10,'TB Apr 24'!T$13:T$103)</f>
        <v>0</v>
      </c>
      <c r="AF10" s="546">
        <f>IFERROR(AE10/AE$8,0)</f>
        <v>0</v>
      </c>
      <c r="AG10" s="87">
        <f>-SUMIF('TB Apr 24'!$D$13:$D$103,'MIS Apr24'!$B10,'TB Apr 24'!U$13:U$103)</f>
        <v>239174.22</v>
      </c>
      <c r="AH10" s="546">
        <f>IFERROR(AG10/AG$8,0)</f>
        <v>6.4350256405270256E-2</v>
      </c>
      <c r="AI10" s="87">
        <f>-SUMIF('TB Apr 24'!$D$13:$D$103,'MIS Apr24'!$B10,'TB Apr 24'!V$13:V$103)</f>
        <v>0</v>
      </c>
      <c r="AJ10" s="546">
        <f>IFERROR(AI10/AI$8,0)</f>
        <v>0</v>
      </c>
      <c r="AK10" s="87">
        <f>-SUMIF('TB Apr 24'!$D$13:$D$103,'MIS Apr24'!$B10,'TB Apr 24'!W$13:W$103)</f>
        <v>164228.06</v>
      </c>
      <c r="AL10" s="546">
        <f>IFERROR(AK10/AK$8,0)</f>
        <v>0.15172243116214335</v>
      </c>
      <c r="AM10" s="87">
        <f>-SUMIF('TB Apr 24'!$D$13:$D$103,'MIS Apr24'!$B10,'TB Apr 24'!X$13:X$103)</f>
        <v>281762.88</v>
      </c>
      <c r="AN10" s="546">
        <f>IFERROR(AM10/AM$8,0)</f>
        <v>0.13771494114697336</v>
      </c>
      <c r="AO10" s="87">
        <f>-SUMIF('TB Apr 24'!$D$13:$D$103,'MIS Apr24'!$B10,'TB Apr 24'!Y$13:Y$103)</f>
        <v>327717.46000000002</v>
      </c>
      <c r="AP10" s="546">
        <f>IFERROR(AO10/AO$8,0)</f>
        <v>0.18598139585847812</v>
      </c>
      <c r="AQ10" s="87">
        <f>-SUMIF('TB Apr 24'!$D$13:$D$103,'MIS Apr24'!$B10,'TB Apr 24'!Z$13:Z$103)</f>
        <v>238327.7</v>
      </c>
      <c r="AR10" s="546">
        <f>IFERROR(AQ10/AQ$8,0)</f>
        <v>0.1614256447495469</v>
      </c>
      <c r="AS10" s="87">
        <f>-SUMIF('TB Apr 24'!$D$13:$D$103,'MIS Apr24'!$B10,'TB Apr 24'!AA$13:AA$103)</f>
        <v>213208.67</v>
      </c>
      <c r="AT10" s="546">
        <f>IFERROR(AS10/AS$8,0)</f>
        <v>0.11423491371868763</v>
      </c>
      <c r="AU10" s="87">
        <f>-SUMIF('TB Apr 24'!$D$13:$D$103,'MIS Apr24'!$B10,'TB Apr 24'!AB$13:AB$103)</f>
        <v>0</v>
      </c>
      <c r="AV10" s="546">
        <f>IFERROR(AU10/AU$8,0)</f>
        <v>0</v>
      </c>
      <c r="AW10" s="87">
        <f>-SUMIF('TB Apr 24'!$D$13:$D$103,'MIS Apr24'!$B10,'TB Apr 24'!AC$13:AC$103)</f>
        <v>314557.96999999997</v>
      </c>
      <c r="AX10" s="546">
        <f>IFERROR(AW10/AW$8,0)</f>
        <v>8.4889329050504822E-2</v>
      </c>
      <c r="AY10" s="87">
        <f>-SUMIF('TB Apr 24'!$D$13:$D$103,'MIS Apr24'!$B10,'TB Apr 24'!AD$13:AD$103)</f>
        <v>224420.77</v>
      </c>
      <c r="AZ10" s="546">
        <f>IFERROR(AY10/AY$8,0)</f>
        <v>5.3816112684147772E-2</v>
      </c>
      <c r="BA10" s="87">
        <f>-SUMIF('TB Apr 24'!$D$13:$D$103,'MIS Apr24'!$B10,'TB Apr 24'!AE$13:AE$103)</f>
        <v>78345.8</v>
      </c>
      <c r="BB10" s="546">
        <f>IFERROR(BA10/BA$8,0)</f>
        <v>0.23798872001182894</v>
      </c>
      <c r="BC10" s="87">
        <f>-SUMIF('TB Apr 24'!$D$13:$D$103,'MIS Apr24'!$B10,'TB Apr 24'!AF$13:AF$103)</f>
        <v>103445.98</v>
      </c>
      <c r="BD10" s="546">
        <f>IFERROR(BC10/BC$8,0)</f>
        <v>4.9644264982503947E-2</v>
      </c>
      <c r="BE10" s="87">
        <f>-SUMIF('TB Apr 24'!$D$13:$D$103,'MIS Apr24'!$B10,'TB Apr 24'!AG$13:AG$103)</f>
        <v>169331.98</v>
      </c>
      <c r="BF10" s="546">
        <f>IFERROR(BE10/BE$8,0)</f>
        <v>0.10550609167871958</v>
      </c>
      <c r="BG10" s="87">
        <f>-SUMIF('TB Apr 24'!$D$13:$D$103,'MIS Apr24'!$B10,'TB Apr 24'!AH$13:AH$103)</f>
        <v>125558.47</v>
      </c>
      <c r="BH10" s="546">
        <f>IFERROR(BG10/BG$8,0)</f>
        <v>6.8237494266895057E-2</v>
      </c>
      <c r="BI10" s="87">
        <f>-SUMIF('TB Apr 24'!$D$13:$D$103,'MIS Apr24'!$B10,'TB Apr 24'!AI$13:AI$103)</f>
        <v>324037.96999999997</v>
      </c>
      <c r="BJ10" s="546">
        <f>IFERROR(BI10/BI$8,0)</f>
        <v>0.17242540173841792</v>
      </c>
      <c r="BK10" s="87">
        <f>-SUMIF('TB Apr 24'!$D$13:$D$103,'MIS Apr24'!$B10,'TB Apr 24'!AJ$13:AJ$103)</f>
        <v>151343.49</v>
      </c>
      <c r="BL10" s="546">
        <f>IFERROR(BK10/BK$8,0)</f>
        <v>6.5887410396646626E-2</v>
      </c>
      <c r="BM10" s="87">
        <f>-SUMIF('TB Apr 24'!$D$13:$D$103,'MIS Apr24'!$B10,'TB Apr 24'!AK$13:AK$103)</f>
        <v>0</v>
      </c>
      <c r="BN10" s="546">
        <f>IFERROR(BM10/BM$8,0)</f>
        <v>0</v>
      </c>
      <c r="BO10" s="87">
        <f>-SUMIF('TB Apr 24'!$D$13:$D$103,'MIS Apr24'!$B10,'TB Apr 24'!AL$13:AL$103)</f>
        <v>0</v>
      </c>
      <c r="BP10" s="546">
        <f>IFERROR(BO10/BO$8,0)</f>
        <v>0</v>
      </c>
      <c r="BQ10" s="87">
        <f>-SUMIF('TB Apr 24'!$D$13:$D$103,'MIS Apr24'!$B10,'TB Apr 24'!AM$13:AM$103)</f>
        <v>0</v>
      </c>
      <c r="BR10" s="546">
        <f>IFERROR(BQ10/BQ$8,0)</f>
        <v>0</v>
      </c>
      <c r="BS10" s="87">
        <f>-SUMIF('TB Apr 24'!$D$13:$D$103,'MIS Apr24'!$B10,'TB Apr 24'!AN$13:AN$103)</f>
        <v>0</v>
      </c>
      <c r="BT10" s="546">
        <f>IFERROR(BS10/BS$8,0)</f>
        <v>0</v>
      </c>
      <c r="BU10" s="87">
        <f>-SUMIF('TB Apr 24'!$D$13:$D$103,'MIS Apr24'!$B10,'TB Apr 24'!AO$13:AO$103)</f>
        <v>404459.15</v>
      </c>
      <c r="BV10" s="546">
        <f>IFERROR(BU10/BU$8,0)</f>
        <v>8.1617989430806948E-2</v>
      </c>
      <c r="BW10" s="87">
        <f>-SUMIF('TB Apr 24'!$D$13:$D$103,'MIS Apr24'!$B10,'TB Apr 24'!AP$13:AP$103)</f>
        <v>79710</v>
      </c>
      <c r="BX10" s="546">
        <f>IFERROR(BW10/BW$8,0)</f>
        <v>0.33259479014107429</v>
      </c>
      <c r="BY10" s="87">
        <f>-SUMIF('TB Apr 24'!$D$13:$D$103,'MIS Apr24'!$B10,'TB Apr 24'!AQ$13:AQ$103)</f>
        <v>0</v>
      </c>
      <c r="BZ10" s="546">
        <f>IFERROR(BY10/BY$8,0)</f>
        <v>0</v>
      </c>
      <c r="CA10" s="87">
        <f>-SUMIF('TB Apr 24'!$D$13:$D$103,'MIS Apr24'!$B10,'TB Apr 24'!AR$13:AR$103)</f>
        <v>754993.53</v>
      </c>
      <c r="CB10" s="546">
        <f>IFERROR(CA10/CA$8,0)</f>
        <v>0.13293434046774</v>
      </c>
      <c r="CC10" s="87">
        <f>-SUMIF('TB Apr 24'!$D$13:$D$103,'MIS Apr24'!$B10,'TB Apr 24'!AS$13:AS$103)</f>
        <v>242009.09</v>
      </c>
      <c r="CD10" s="546">
        <f>IFERROR(CC10/CC$8,0)</f>
        <v>0.11224125840947578</v>
      </c>
      <c r="CE10" s="87">
        <f>-SUMIF('TB Apr 24'!$D$13:$D$103,'MIS Apr24'!$B10,'TB Apr 24'!AT$13:AT$103)</f>
        <v>136767.69</v>
      </c>
      <c r="CF10" s="546">
        <f>IFERROR(CE10/CE$8,0)</f>
        <v>8.4753929945671366E-2</v>
      </c>
      <c r="CG10" s="87">
        <f>-SUMIF('TB Apr 24'!$D$13:$D$103,'MIS Apr24'!$B10,'TB Apr 24'!AU$13:AU$103)</f>
        <v>0</v>
      </c>
      <c r="CH10" s="546">
        <f>IFERROR(CG10/CG$8,0)</f>
        <v>0</v>
      </c>
      <c r="CI10" s="87">
        <f>-SUMIF('TB Apr 24'!$D$13:$D$103,'MIS Apr24'!$B10,'TB Apr 24'!AV$13:AV$103)</f>
        <v>125820.44</v>
      </c>
      <c r="CJ10" s="546">
        <f>IFERROR(CI10/CI$8,0)</f>
        <v>5.9690753034444398E-2</v>
      </c>
      <c r="CK10" s="87">
        <f>-SUMIF('TB Apr 24'!$D$13:$D$103,'MIS Apr24'!$B10,'TB Apr 24'!AW$13:AW$103)</f>
        <v>133851.37</v>
      </c>
      <c r="CL10" s="546">
        <f>IFERROR(CK10/CK$8,0)</f>
        <v>6.4255479784204025E-2</v>
      </c>
      <c r="CM10" s="87">
        <f>-SUMIF('TB Apr 24'!$D$13:$D$103,'MIS Apr24'!$B10,'TB Apr 24'!AX$13:AX$103)</f>
        <v>181686.16999999998</v>
      </c>
      <c r="CN10" s="546">
        <f>IFERROR(CM10/CM$8,0)</f>
        <v>0.15887386438961421</v>
      </c>
      <c r="CO10" s="87">
        <f>-SUMIF('TB Apr 24'!$D$13:$D$103,'MIS Apr24'!$B10,'TB Apr 24'!AY$13:AY$103)</f>
        <v>0</v>
      </c>
      <c r="CP10" s="546">
        <f>IFERROR(CO10/CO$8,0)</f>
        <v>0</v>
      </c>
      <c r="CQ10" s="87">
        <f>-SUMIF('TB Apr 24'!$D$13:$D$103,'MIS Apr24'!$B10,'TB Apr 24'!AZ$13:AZ$103)</f>
        <v>0</v>
      </c>
      <c r="CR10" s="546">
        <f>IFERROR(CQ10/CQ$8,0)</f>
        <v>0</v>
      </c>
      <c r="CS10" s="87">
        <f>-SUMIF('TB Apr 24'!$D$13:$D$103,'MIS Apr24'!$B10,'TB Apr 24'!BA$13:BA$103)</f>
        <v>256082.11</v>
      </c>
      <c r="CT10" s="546">
        <f>IFERROR(CS10/CS$8,0)</f>
        <v>9.5485417705025818E-2</v>
      </c>
      <c r="CU10" s="87">
        <f>-SUMIF('TB Apr 24'!$D$13:$D$103,'MIS Apr24'!$B10,'TB Apr 24'!BB$13:BB$103)</f>
        <v>421422.35</v>
      </c>
      <c r="CV10" s="546">
        <f>IFERROR(CU10/CU$8,0)</f>
        <v>0.33847087633216183</v>
      </c>
      <c r="CW10" s="87">
        <f>-SUMIF('TB Apr 24'!$D$13:$D$103,'MIS Apr24'!$B10,'TB Apr 24'!BC$13:BC$103)</f>
        <v>634797.46</v>
      </c>
      <c r="CX10" s="546">
        <f>IFERROR(CW10/CW$8,0)</f>
        <v>0.15951091742782025</v>
      </c>
      <c r="CY10" s="87">
        <f>-SUMIF('TB Apr 24'!$D$13:$D$103,'MIS Apr24'!$B10,'TB Apr 24'!BD$13:BD$103)</f>
        <v>72961.16</v>
      </c>
      <c r="CZ10" s="546">
        <f>IFERROR(CY10/CY$8,0)</f>
        <v>0.11839808855556538</v>
      </c>
      <c r="DA10" s="87">
        <f>-SUMIF('TB Apr 24'!$D$13:$D$103,'MIS Apr24'!$B10,'TB Apr 24'!O$13:O$103)</f>
        <v>0</v>
      </c>
      <c r="DB10" s="546">
        <f>IFERROR(DA10/DA$8,0)</f>
        <v>0</v>
      </c>
      <c r="DC10" s="87">
        <f>SUM(C10,E10,I10,K10,M10,O10,S10,U10,AA10,AC10,AG10,AK10,AM10,AO10,AQ10,AS10,AW10,AY10,BA10,BC10,BE10,BG10,BI10,BK10,BU10,BW10,CA10,CC10,CE10,CI10,CK10,CM10,CS10,CU10,CW10,CY10,DA10)</f>
        <v>9040026.0000000019</v>
      </c>
      <c r="DD10" s="546">
        <f>IFERROR(DC10/DC$8,0)</f>
        <v>0.10902930354558289</v>
      </c>
      <c r="DE10" s="87"/>
      <c r="DF10" s="546">
        <f>IFERROR(DE10/DE$8,0)</f>
        <v>0</v>
      </c>
      <c r="DG10" s="87">
        <f>DE10-DC10</f>
        <v>-9040026.0000000019</v>
      </c>
      <c r="DH10" s="546">
        <f>IFERROR(DG10/DG$8,0)</f>
        <v>0.10902930354558289</v>
      </c>
      <c r="DI10" s="345"/>
    </row>
    <row r="11" spans="1:114" outlineLevel="1" x14ac:dyDescent="0.35">
      <c r="B11" s="41" t="s">
        <v>70</v>
      </c>
      <c r="C11" s="87">
        <f>-SUMIF('TB Apr 24'!$D$13:$D$103,'MIS Apr24'!$B11,'TB Apr 24'!E$13:E$103)</f>
        <v>0</v>
      </c>
      <c r="D11" s="546">
        <f>IFERROR(C11/C$8,0)</f>
        <v>0</v>
      </c>
      <c r="E11" s="87">
        <f>-SUMIF('TB Apr 24'!$D$13:$D$103,'MIS Apr24'!$B11,'TB Apr 24'!F$13:F$103)</f>
        <v>0</v>
      </c>
      <c r="F11" s="546">
        <f>IFERROR(E11/E$8,0)</f>
        <v>0</v>
      </c>
      <c r="G11" s="87">
        <f>-SUMIF('TB Apr 24'!$D$13:$D$103,'MIS Apr24'!$B11,'TB Apr 24'!G$13:G$103)</f>
        <v>0</v>
      </c>
      <c r="H11" s="546">
        <f>IFERROR(G11/G$8,0)</f>
        <v>0</v>
      </c>
      <c r="I11" s="87">
        <f>-SUMIF('TB Apr 24'!$D$13:$D$103,'MIS Apr24'!$B11,'TB Apr 24'!H$13:H$103)</f>
        <v>0</v>
      </c>
      <c r="J11" s="546">
        <f>IFERROR(I11/I$8,0)</f>
        <v>0</v>
      </c>
      <c r="K11" s="87">
        <f>-SUMIF('TB Apr 24'!$D$13:$D$103,'MIS Apr24'!$B11,'TB Apr 24'!I$13:I$103)</f>
        <v>0</v>
      </c>
      <c r="L11" s="546">
        <f>IFERROR(K11/K$8,0)</f>
        <v>0</v>
      </c>
      <c r="M11" s="87">
        <f>-SUMIF('TB Apr 24'!$D$13:$D$103,'MIS Apr24'!$B11,'TB Apr 24'!J$13:J$103)</f>
        <v>358723.56</v>
      </c>
      <c r="N11" s="546">
        <f>IFERROR(M11/M$8,0)</f>
        <v>0.15444620858431496</v>
      </c>
      <c r="O11" s="87">
        <f>-SUMIF('TB Apr 24'!$D$13:$D$103,'MIS Apr24'!$B11,'TB Apr 24'!K$13:K$103)</f>
        <v>594311.47</v>
      </c>
      <c r="P11" s="546">
        <f>IFERROR(O11/O$8,0)</f>
        <v>0.17652673366418098</v>
      </c>
      <c r="Q11" s="87">
        <f>-SUMIF('TB Apr 24'!$D$13:$D$103,'MIS Apr24'!$B11,'TB Apr 24'!L$13:L$103)</f>
        <v>0</v>
      </c>
      <c r="R11" s="546">
        <f>IFERROR(Q11/Q$8,0)</f>
        <v>0</v>
      </c>
      <c r="S11" s="87">
        <f>-SUMIF('TB Apr 24'!$D$13:$D$103,'MIS Apr24'!$B11,'TB Apr 24'!M$13:M$103)</f>
        <v>1605395.9</v>
      </c>
      <c r="T11" s="546">
        <f>IFERROR(S11/S$8,0)</f>
        <v>0.4269499901484376</v>
      </c>
      <c r="U11" s="87">
        <f>-SUMIF('TB Apr 24'!$D$13:$D$103,'MIS Apr24'!$B11,'TB Apr 24'!N$13:N$103)</f>
        <v>337006.14</v>
      </c>
      <c r="V11" s="546">
        <f>IFERROR(U11/U$8,0)</f>
        <v>0.11960449012018136</v>
      </c>
      <c r="W11" s="87">
        <f>-SUMIF('TB Apr 24'!$D$13:$D$103,'MIS Apr24'!$B11,'TB Apr 24'!P$13:P$103)</f>
        <v>0</v>
      </c>
      <c r="X11" s="546">
        <f>IFERROR(W11/W$8,0)</f>
        <v>0</v>
      </c>
      <c r="Y11" s="87">
        <f>-SUMIF('TB Apr 24'!$D$13:$D$103,'MIS Apr24'!$B11,'TB Apr 24'!Q$13:Q$103)</f>
        <v>0</v>
      </c>
      <c r="Z11" s="546">
        <f>IFERROR(Y11/Y$8,0)</f>
        <v>0</v>
      </c>
      <c r="AA11" s="87">
        <f>-SUMIF('TB Apr 24'!$D$13:$D$103,'MIS Apr24'!$B11,'TB Apr 24'!R$13:R$103)</f>
        <v>0</v>
      </c>
      <c r="AB11" s="546">
        <f>IFERROR(AA11/AA$8,0)</f>
        <v>0</v>
      </c>
      <c r="AC11" s="87">
        <f>-SUMIF('TB Apr 24'!$D$13:$D$103,'MIS Apr24'!$B11,'TB Apr 24'!S$13:S$103)</f>
        <v>883050.65</v>
      </c>
      <c r="AD11" s="546">
        <f>IFERROR(AC11/AC$8,0)</f>
        <v>0.3889099024474762</v>
      </c>
      <c r="AE11" s="87">
        <f>-SUMIF('TB Apr 24'!$D$13:$D$103,'MIS Apr24'!$B11,'TB Apr 24'!T$13:T$103)</f>
        <v>0</v>
      </c>
      <c r="AF11" s="546">
        <f>IFERROR(AE11/AE$8,0)</f>
        <v>0</v>
      </c>
      <c r="AG11" s="87">
        <f>-SUMIF('TB Apr 24'!$D$13:$D$103,'MIS Apr24'!$B11,'TB Apr 24'!U$13:U$103)</f>
        <v>901277.86</v>
      </c>
      <c r="AH11" s="546">
        <f>IFERROR(AG11/AG$8,0)</f>
        <v>0.24249043807226911</v>
      </c>
      <c r="AI11" s="87">
        <f>-SUMIF('TB Apr 24'!$D$13:$D$103,'MIS Apr24'!$B11,'TB Apr 24'!V$13:V$103)</f>
        <v>0</v>
      </c>
      <c r="AJ11" s="546">
        <f>IFERROR(AI11/AI$8,0)</f>
        <v>0</v>
      </c>
      <c r="AK11" s="87">
        <f>-SUMIF('TB Apr 24'!$D$13:$D$103,'MIS Apr24'!$B11,'TB Apr 24'!W$13:W$103)</f>
        <v>297235.34000000003</v>
      </c>
      <c r="AL11" s="546">
        <f>IFERROR(AK11/AK$8,0)</f>
        <v>0.27460148047846561</v>
      </c>
      <c r="AM11" s="87">
        <f>-SUMIF('TB Apr 24'!$D$13:$D$103,'MIS Apr24'!$B11,'TB Apr 24'!X$13:X$103)</f>
        <v>407270.57</v>
      </c>
      <c r="AN11" s="546">
        <f>IFERROR(AM11/AM$8,0)</f>
        <v>0.19905830952055961</v>
      </c>
      <c r="AO11" s="87">
        <f>-SUMIF('TB Apr 24'!$D$13:$D$103,'MIS Apr24'!$B11,'TB Apr 24'!Y$13:Y$103)</f>
        <v>158815.45000000001</v>
      </c>
      <c r="AP11" s="546">
        <f>IFERROR(AO11/AO$8,0)</f>
        <v>9.0128609793607997E-2</v>
      </c>
      <c r="AQ11" s="87">
        <f>-SUMIF('TB Apr 24'!$D$13:$D$103,'MIS Apr24'!$B11,'TB Apr 24'!Z$13:Z$103)</f>
        <v>107628.5</v>
      </c>
      <c r="AR11" s="546">
        <f>IFERROR(AQ11/AQ$8,0)</f>
        <v>7.2899625204819282E-2</v>
      </c>
      <c r="AS11" s="87">
        <f>-SUMIF('TB Apr 24'!$D$13:$D$103,'MIS Apr24'!$B11,'TB Apr 24'!AA$13:AA$103)</f>
        <v>0</v>
      </c>
      <c r="AT11" s="546">
        <f>IFERROR(AS11/AS$8,0)</f>
        <v>0</v>
      </c>
      <c r="AU11" s="87">
        <f>-SUMIF('TB Apr 24'!$D$13:$D$103,'MIS Apr24'!$B11,'TB Apr 24'!AB$13:AB$103)</f>
        <v>0</v>
      </c>
      <c r="AV11" s="546">
        <f>IFERROR(AU11/AU$8,0)</f>
        <v>0</v>
      </c>
      <c r="AW11" s="87">
        <f>-SUMIF('TB Apr 24'!$D$13:$D$103,'MIS Apr24'!$B11,'TB Apr 24'!AC$13:AC$103)</f>
        <v>1158234.0900000001</v>
      </c>
      <c r="AX11" s="546">
        <f>IFERROR(AW11/AW$8,0)</f>
        <v>0.3125710494110896</v>
      </c>
      <c r="AY11" s="87">
        <f>-SUMIF('TB Apr 24'!$D$13:$D$103,'MIS Apr24'!$B11,'TB Apr 24'!AD$13:AD$103)</f>
        <v>389327.25</v>
      </c>
      <c r="AZ11" s="546">
        <f>IFERROR(AY11/AY$8,0)</f>
        <v>9.3360695433891305E-2</v>
      </c>
      <c r="BA11" s="87">
        <f>-SUMIF('TB Apr 24'!$D$13:$D$103,'MIS Apr24'!$B11,'TB Apr 24'!AE$13:AE$103)</f>
        <v>3318</v>
      </c>
      <c r="BB11" s="546">
        <f>IFERROR(BA11/BA$8,0)</f>
        <v>1.007899048831269E-2</v>
      </c>
      <c r="BC11" s="87">
        <f>-SUMIF('TB Apr 24'!$D$13:$D$103,'MIS Apr24'!$B11,'TB Apr 24'!AF$13:AF$103)</f>
        <v>468601.3</v>
      </c>
      <c r="BD11" s="546">
        <f>IFERROR(BC11/BC$8,0)</f>
        <v>0.22488420631082839</v>
      </c>
      <c r="BE11" s="87">
        <f>-SUMIF('TB Apr 24'!$D$13:$D$103,'MIS Apr24'!$B11,'TB Apr 24'!AG$13:AG$103)</f>
        <v>0</v>
      </c>
      <c r="BF11" s="546">
        <f>IFERROR(BE11/BE$8,0)</f>
        <v>0</v>
      </c>
      <c r="BG11" s="87">
        <f>-SUMIF('TB Apr 24'!$D$13:$D$103,'MIS Apr24'!$B11,'TB Apr 24'!AH$13:AH$103)</f>
        <v>324707.21000000002</v>
      </c>
      <c r="BH11" s="546">
        <f>IFERROR(BG11/BG$8,0)</f>
        <v>0.17646922888431571</v>
      </c>
      <c r="BI11" s="87">
        <f>-SUMIF('TB Apr 24'!$D$13:$D$103,'MIS Apr24'!$B11,'TB Apr 24'!AI$13:AI$103)</f>
        <v>274449.12</v>
      </c>
      <c r="BJ11" s="546">
        <f>IFERROR(BI11/BI$8,0)</f>
        <v>0.14603844041102734</v>
      </c>
      <c r="BK11" s="87">
        <f>-SUMIF('TB Apr 24'!$D$13:$D$103,'MIS Apr24'!$B11,'TB Apr 24'!AJ$13:AJ$103)</f>
        <v>227143.37</v>
      </c>
      <c r="BL11" s="546">
        <f>IFERROR(BK11/BK$8,0)</f>
        <v>9.8886899185867544E-2</v>
      </c>
      <c r="BM11" s="87">
        <f>-SUMIF('TB Apr 24'!$D$13:$D$103,'MIS Apr24'!$B11,'TB Apr 24'!AK$13:AK$103)</f>
        <v>0</v>
      </c>
      <c r="BN11" s="546">
        <f>IFERROR(BM11/BM$8,0)</f>
        <v>0</v>
      </c>
      <c r="BO11" s="87">
        <f>-SUMIF('TB Apr 24'!$D$13:$D$103,'MIS Apr24'!$B11,'TB Apr 24'!AL$13:AL$103)</f>
        <v>0</v>
      </c>
      <c r="BP11" s="546">
        <f>IFERROR(BO11/BO$8,0)</f>
        <v>0</v>
      </c>
      <c r="BQ11" s="87">
        <f>-SUMIF('TB Apr 24'!$D$13:$D$103,'MIS Apr24'!$B11,'TB Apr 24'!AM$13:AM$103)</f>
        <v>0</v>
      </c>
      <c r="BR11" s="546">
        <f>IFERROR(BQ11/BQ$8,0)</f>
        <v>0</v>
      </c>
      <c r="BS11" s="87">
        <f>-SUMIF('TB Apr 24'!$D$13:$D$103,'MIS Apr24'!$B11,'TB Apr 24'!AN$13:AN$103)</f>
        <v>0</v>
      </c>
      <c r="BT11" s="546">
        <f>IFERROR(BS11/BS$8,0)</f>
        <v>0</v>
      </c>
      <c r="BU11" s="87">
        <f>-SUMIF('TB Apr 24'!$D$13:$D$103,'MIS Apr24'!$B11,'TB Apr 24'!AO$13:AO$103)</f>
        <v>962189.65</v>
      </c>
      <c r="BV11" s="546">
        <f>IFERROR(BU11/BU$8,0)</f>
        <v>0.19416542976993312</v>
      </c>
      <c r="BW11" s="87">
        <f>-SUMIF('TB Apr 24'!$D$13:$D$103,'MIS Apr24'!$B11,'TB Apr 24'!AP$13:AP$103)</f>
        <v>0</v>
      </c>
      <c r="BX11" s="546">
        <f>IFERROR(BW11/BW$8,0)</f>
        <v>0</v>
      </c>
      <c r="BY11" s="87">
        <f>-SUMIF('TB Apr 24'!$D$13:$D$103,'MIS Apr24'!$B11,'TB Apr 24'!AQ$13:AQ$103)</f>
        <v>0</v>
      </c>
      <c r="BZ11" s="546">
        <f>IFERROR(BY11/BY$8,0)</f>
        <v>0</v>
      </c>
      <c r="CA11" s="87">
        <f>-SUMIF('TB Apr 24'!$D$13:$D$103,'MIS Apr24'!$B11,'TB Apr 24'!AR$13:AR$103)</f>
        <v>590816.56000000006</v>
      </c>
      <c r="CB11" s="546">
        <f>IFERROR(CA11/CA$8,0)</f>
        <v>0.10402712953185034</v>
      </c>
      <c r="CC11" s="87">
        <f>-SUMIF('TB Apr 24'!$D$13:$D$103,'MIS Apr24'!$B11,'TB Apr 24'!AS$13:AS$103)</f>
        <v>411124.06</v>
      </c>
      <c r="CD11" s="546">
        <f>IFERROR(CC11/CC$8,0)</f>
        <v>0.19067499430212653</v>
      </c>
      <c r="CE11" s="87">
        <f>-SUMIF('TB Apr 24'!$D$13:$D$103,'MIS Apr24'!$B11,'TB Apr 24'!AT$13:AT$103)</f>
        <v>171780.96</v>
      </c>
      <c r="CF11" s="546">
        <f>IFERROR(CE11/CE$8,0)</f>
        <v>0.10645139542709374</v>
      </c>
      <c r="CG11" s="87">
        <f>-SUMIF('TB Apr 24'!$D$13:$D$103,'MIS Apr24'!$B11,'TB Apr 24'!AU$13:AU$103)</f>
        <v>0</v>
      </c>
      <c r="CH11" s="546">
        <f>IFERROR(CG11/CG$8,0)</f>
        <v>0</v>
      </c>
      <c r="CI11" s="87">
        <f>-SUMIF('TB Apr 24'!$D$13:$D$103,'MIS Apr24'!$B11,'TB Apr 24'!AV$13:AV$103)</f>
        <v>952915.24</v>
      </c>
      <c r="CJ11" s="546">
        <f>IFERROR(CI11/CI$8,0)</f>
        <v>0.45207462518489289</v>
      </c>
      <c r="CK11" s="87">
        <f>-SUMIF('TB Apr 24'!$D$13:$D$103,'MIS Apr24'!$B11,'TB Apr 24'!AW$13:AW$103)</f>
        <v>217013.56</v>
      </c>
      <c r="CL11" s="546">
        <f>IFERROR(CK11/CK$8,0)</f>
        <v>0.10417756962426419</v>
      </c>
      <c r="CM11" s="87">
        <f>-SUMIF('TB Apr 24'!$D$13:$D$103,'MIS Apr24'!$B11,'TB Apr 24'!AX$13:AX$103)</f>
        <v>2700</v>
      </c>
      <c r="CN11" s="546">
        <f>IFERROR(CM11/CM$8,0)</f>
        <v>2.3609911192027351E-3</v>
      </c>
      <c r="CO11" s="87">
        <f>-SUMIF('TB Apr 24'!$D$13:$D$103,'MIS Apr24'!$B11,'TB Apr 24'!AY$13:AY$103)</f>
        <v>0</v>
      </c>
      <c r="CP11" s="546">
        <f>IFERROR(CO11/CO$8,0)</f>
        <v>0</v>
      </c>
      <c r="CQ11" s="87">
        <f>-SUMIF('TB Apr 24'!$D$13:$D$103,'MIS Apr24'!$B11,'TB Apr 24'!AZ$13:AZ$103)</f>
        <v>0</v>
      </c>
      <c r="CR11" s="546">
        <f>IFERROR(CQ11/CQ$8,0)</f>
        <v>0</v>
      </c>
      <c r="CS11" s="87">
        <f>-SUMIF('TB Apr 24'!$D$13:$D$103,'MIS Apr24'!$B11,'TB Apr 24'!BA$13:BA$103)</f>
        <v>212555.66</v>
      </c>
      <c r="CT11" s="546">
        <f>IFERROR(CS11/CS$8,0)</f>
        <v>7.9255696466525707E-2</v>
      </c>
      <c r="CU11" s="87">
        <f>-SUMIF('TB Apr 24'!$D$13:$D$103,'MIS Apr24'!$B11,'TB Apr 24'!BB$13:BB$103)</f>
        <v>0</v>
      </c>
      <c r="CV11" s="546">
        <f>IFERROR(CU11/CU$8,0)</f>
        <v>0</v>
      </c>
      <c r="CW11" s="87">
        <f>-SUMIF('TB Apr 24'!$D$13:$D$103,'MIS Apr24'!$B11,'TB Apr 24'!BC$13:BC$103)</f>
        <v>248525.79</v>
      </c>
      <c r="CX11" s="546">
        <f>IFERROR(CW11/CW$8,0)</f>
        <v>6.2449173579512747E-2</v>
      </c>
      <c r="CY11" s="87">
        <f>-SUMIF('TB Apr 24'!$D$13:$D$103,'MIS Apr24'!$B11,'TB Apr 24'!BD$13:BD$103)</f>
        <v>30038.49</v>
      </c>
      <c r="CZ11" s="546">
        <f>IFERROR(CY11/CY$8,0)</f>
        <v>4.8745110399772501E-2</v>
      </c>
      <c r="DA11" s="87">
        <f>-SUMIF('TB Apr 24'!$D$13:$D$103,'MIS Apr24'!$B11,'TB Apr 24'!O$13:O$103)</f>
        <v>0</v>
      </c>
      <c r="DB11" s="546">
        <f>IFERROR(DA11/DA$8,0)</f>
        <v>0</v>
      </c>
      <c r="DC11" s="87">
        <f>SUM(C11,E11,I11,K11,M11,O11,S11,U11,AA11,AC11,AG11,AK11,AM11,AO11,AQ11,AS11,AW11,AY11,BA11,BC11,BE11,BG11,BI11,BK11,BU11,BW11,CA11,CC11,CE11,CI11,CK11,CM11,CS11,CU11,CW11,CY11,DA11)</f>
        <v>12296155.750000002</v>
      </c>
      <c r="DD11" s="546">
        <f>IFERROR(DC11/DC$8,0)</f>
        <v>0.14830060197952022</v>
      </c>
      <c r="DE11" s="87"/>
      <c r="DF11" s="546">
        <f>IFERROR(DE11/DE$8,0)</f>
        <v>0</v>
      </c>
      <c r="DG11" s="87">
        <f>DE11-DC11</f>
        <v>-12296155.750000002</v>
      </c>
      <c r="DH11" s="546">
        <f>IFERROR(DG11/DG$8,0)</f>
        <v>0.14830060197952022</v>
      </c>
      <c r="DI11" s="345"/>
    </row>
    <row r="12" spans="1:114" outlineLevel="1" x14ac:dyDescent="0.35">
      <c r="B12" s="41" t="s">
        <v>967</v>
      </c>
      <c r="C12" s="87">
        <f>-SUMIF('TB Apr 24'!$D$13:$D$103,'MIS Apr24'!$B12,'TB Apr 24'!E$13:E$103)+C29</f>
        <v>75848.5</v>
      </c>
      <c r="D12" s="546">
        <f>IFERROR(C12/C$8,0)</f>
        <v>6.2834854368667412E-2</v>
      </c>
      <c r="E12" s="87">
        <f>-SUMIF('TB Apr 24'!$D$13:$D$103,'MIS Apr24'!$B12,'TB Apr 24'!F$13:F$103)+E29</f>
        <v>108319.76199999999</v>
      </c>
      <c r="F12" s="87"/>
      <c r="G12" s="87">
        <f>-SUMIF('TB Apr 24'!$D$13:$D$103,'MIS Apr24'!$B12,'TB Apr 24'!G$13:G$103)+G29</f>
        <v>0</v>
      </c>
      <c r="H12" s="87"/>
      <c r="I12" s="87">
        <f>-SUMIF('TB Apr 24'!$D$13:$D$103,'MIS Apr24'!$B12,'TB Apr 24'!H$13:H$103)+I29</f>
        <v>225027.54499999998</v>
      </c>
      <c r="J12" s="87"/>
      <c r="K12" s="87">
        <f>-SUMIF('TB Apr 24'!$D$13:$D$103,'MIS Apr24'!$B12,'TB Apr 24'!I$13:I$103)+K29</f>
        <v>37544.569000000003</v>
      </c>
      <c r="L12" s="87"/>
      <c r="M12" s="87">
        <f>-SUMIF('TB Apr 24'!$D$13:$D$103,'MIS Apr24'!$B12,'TB Apr 24'!J$13:J$103)+M29</f>
        <v>180810.06200000001</v>
      </c>
      <c r="N12" s="87"/>
      <c r="O12" s="87">
        <f>-SUMIF('TB Apr 24'!$D$13:$D$103,'MIS Apr24'!$B12,'TB Apr 24'!K$13:K$103)+O29</f>
        <v>252591.038</v>
      </c>
      <c r="P12" s="87"/>
      <c r="Q12" s="87">
        <f>-SUMIF('TB Apr 24'!$D$13:$D$103,'MIS Apr24'!$B12,'TB Apr 24'!L$13:L$103)+Q29</f>
        <v>0</v>
      </c>
      <c r="R12" s="87"/>
      <c r="S12" s="87">
        <f>-SUMIF('TB Apr 24'!$D$13:$D$103,'MIS Apr24'!$B12,'TB Apr 24'!M$13:M$103)+S29</f>
        <v>249218.09299999999</v>
      </c>
      <c r="T12" s="87"/>
      <c r="U12" s="87">
        <f>-SUMIF('TB Apr 24'!$D$13:$D$103,'MIS Apr24'!$B12,'TB Apr 24'!N$13:N$103)+U29</f>
        <v>210306.807</v>
      </c>
      <c r="V12" s="87"/>
      <c r="W12" s="87">
        <f>-SUMIF('TB Apr 24'!$D$13:$D$103,'MIS Apr24'!$B12,'TB Apr 24'!P$13:P$103)+W29</f>
        <v>0</v>
      </c>
      <c r="X12" s="87"/>
      <c r="Y12" s="87">
        <f>-SUMIF('TB Apr 24'!$D$13:$D$103,'MIS Apr24'!$B12,'TB Apr 24'!Q$13:Q$103)+Y29</f>
        <v>0</v>
      </c>
      <c r="Z12" s="87"/>
      <c r="AA12" s="87">
        <f>-SUMIF('TB Apr 24'!$D$13:$D$103,'MIS Apr24'!$B12,'TB Apr 24'!R$13:R$103)+AA29</f>
        <v>164273.10699999999</v>
      </c>
      <c r="AB12" s="87"/>
      <c r="AC12" s="87">
        <f>-SUMIF('TB Apr 24'!$D$13:$D$103,'MIS Apr24'!$B12,'TB Apr 24'!S$13:S$103)+AC29</f>
        <v>178632.19099999999</v>
      </c>
      <c r="AD12" s="87"/>
      <c r="AE12" s="87">
        <f>-SUMIF('TB Apr 24'!$D$13:$D$103,'MIS Apr24'!$B12,'TB Apr 24'!T$13:T$103)+AE29</f>
        <v>0</v>
      </c>
      <c r="AF12" s="87"/>
      <c r="AG12" s="87">
        <f>-SUMIF('TB Apr 24'!$D$13:$D$103,'MIS Apr24'!$B12,'TB Apr 24'!U$13:U$103)+AG29</f>
        <v>282731.37600000005</v>
      </c>
      <c r="AH12" s="87"/>
      <c r="AI12" s="87">
        <f>-SUMIF('TB Apr 24'!$D$13:$D$103,'MIS Apr24'!$B12,'TB Apr 24'!V$13:V$103)+AI29</f>
        <v>0</v>
      </c>
      <c r="AJ12" s="87"/>
      <c r="AK12" s="87">
        <f>-SUMIF('TB Apr 24'!$D$13:$D$103,'MIS Apr24'!$B12,'TB Apr 24'!W$13:W$103)+AK29</f>
        <v>79114.399999999994</v>
      </c>
      <c r="AL12" s="87"/>
      <c r="AM12" s="87">
        <f>-SUMIF('TB Apr 24'!$D$13:$D$103,'MIS Apr24'!$B12,'TB Apr 24'!X$13:X$103)+AM29</f>
        <v>161726.06900000002</v>
      </c>
      <c r="AN12" s="87"/>
      <c r="AO12" s="87">
        <f>-SUMIF('TB Apr 24'!$D$13:$D$103,'MIS Apr24'!$B12,'TB Apr 24'!Y$13:Y$103)+AO29</f>
        <v>144783.20699999999</v>
      </c>
      <c r="AP12" s="87"/>
      <c r="AQ12" s="87">
        <f>-SUMIF('TB Apr 24'!$D$13:$D$103,'MIS Apr24'!$B12,'TB Apr 24'!Z$13:Z$103)+AQ29</f>
        <v>107488.20000000001</v>
      </c>
      <c r="AR12" s="87"/>
      <c r="AS12" s="87">
        <f>-SUMIF('TB Apr 24'!$D$13:$D$103,'MIS Apr24'!$B12,'TB Apr 24'!AA$13:AA$103)+AS29</f>
        <v>136999.96899999998</v>
      </c>
      <c r="AT12" s="87"/>
      <c r="AU12" s="87">
        <f>-SUMIF('TB Apr 24'!$D$13:$D$103,'MIS Apr24'!$B12,'TB Apr 24'!AB$13:AB$103)+AU29</f>
        <v>0</v>
      </c>
      <c r="AV12" s="87"/>
      <c r="AW12" s="87">
        <f>-SUMIF('TB Apr 24'!$D$13:$D$103,'MIS Apr24'!$B12,'TB Apr 24'!AC$13:AC$103)+AW29</f>
        <v>300976.93099999998</v>
      </c>
      <c r="AX12" s="87"/>
      <c r="AY12" s="87">
        <f>-SUMIF('TB Apr 24'!$D$13:$D$103,'MIS Apr24'!$B12,'TB Apr 24'!AD$13:AD$103)+AY29</f>
        <v>292109.06200000003</v>
      </c>
      <c r="AZ12" s="87"/>
      <c r="BA12" s="87">
        <f>-SUMIF('TB Apr 24'!$D$13:$D$103,'MIS Apr24'!$B12,'TB Apr 24'!AE$13:AE$103)+BA29</f>
        <v>21158.475999999999</v>
      </c>
      <c r="BB12" s="87"/>
      <c r="BC12" s="87">
        <f>-SUMIF('TB Apr 24'!$D$13:$D$103,'MIS Apr24'!$B12,'TB Apr 24'!AF$13:AF$103)+BC29</f>
        <v>176217.3</v>
      </c>
      <c r="BD12" s="87"/>
      <c r="BE12" s="87">
        <f>-SUMIF('TB Apr 24'!$D$13:$D$103,'MIS Apr24'!$B12,'TB Apr 24'!AG$13:AG$103)+BE29</f>
        <v>114059.79300000001</v>
      </c>
      <c r="BF12" s="87"/>
      <c r="BG12" s="87">
        <f>-SUMIF('TB Apr 24'!$D$13:$D$103,'MIS Apr24'!$B12,'TB Apr 24'!AH$13:AH$103)+BG29</f>
        <v>91940.407000000007</v>
      </c>
      <c r="BH12" s="87"/>
      <c r="BI12" s="87">
        <f>-SUMIF('TB Apr 24'!$D$13:$D$103,'MIS Apr24'!$B12,'TB Apr 24'!AI$13:AI$103)+BI29</f>
        <v>89993.883000000002</v>
      </c>
      <c r="BJ12" s="87"/>
      <c r="BK12" s="87">
        <f>-SUMIF('TB Apr 24'!$D$13:$D$103,'MIS Apr24'!$B12,'TB Apr 24'!AJ$13:AJ$103)+BK29</f>
        <v>298869.554</v>
      </c>
      <c r="BL12" s="87"/>
      <c r="BM12" s="87">
        <f>-SUMIF('TB Apr 24'!$D$13:$D$103,'MIS Apr24'!$B12,'TB Apr 24'!AK$13:AK$103)+BM29</f>
        <v>0</v>
      </c>
      <c r="BN12" s="87"/>
      <c r="BO12" s="87">
        <f>-SUMIF('TB Apr 24'!$D$13:$D$103,'MIS Apr24'!$B12,'TB Apr 24'!AL$13:AL$103)+BO29</f>
        <v>0</v>
      </c>
      <c r="BP12" s="87"/>
      <c r="BQ12" s="87">
        <f>-SUMIF('TB Apr 24'!$D$13:$D$103,'MIS Apr24'!$B12,'TB Apr 24'!AM$13:AM$103)+BQ29</f>
        <v>0</v>
      </c>
      <c r="BR12" s="87"/>
      <c r="BS12" s="87">
        <f>-SUMIF('TB Apr 24'!$D$13:$D$103,'MIS Apr24'!$B12,'TB Apr 24'!AN$13:AN$103)+BS29</f>
        <v>0</v>
      </c>
      <c r="BT12" s="87"/>
      <c r="BU12" s="87">
        <f>-SUMIF('TB Apr 24'!$D$13:$D$103,'MIS Apr24'!$B12,'TB Apr 24'!AO$13:AO$103)+BU29</f>
        <v>423741.32400000002</v>
      </c>
      <c r="BV12" s="87"/>
      <c r="BW12" s="87">
        <f>-SUMIF('TB Apr 24'!$D$13:$D$103,'MIS Apr24'!$B12,'TB Apr 24'!AP$13:AP$103)+BW29</f>
        <v>17432</v>
      </c>
      <c r="BX12" s="87"/>
      <c r="BY12" s="87">
        <f>-SUMIF('TB Apr 24'!$D$13:$D$103,'MIS Apr24'!$B12,'TB Apr 24'!AQ$13:AQ$103)+BY29</f>
        <v>0</v>
      </c>
      <c r="BZ12" s="87"/>
      <c r="CA12" s="87">
        <f>-SUMIF('TB Apr 24'!$D$13:$D$103,'MIS Apr24'!$B12,'TB Apr 24'!AR$13:AR$103)+CA29</f>
        <v>447220.86600000004</v>
      </c>
      <c r="CB12" s="87"/>
      <c r="CC12" s="87">
        <f>-SUMIF('TB Apr 24'!$D$13:$D$103,'MIS Apr24'!$B12,'TB Apr 24'!AS$13:AS$103)+CC29</f>
        <v>165117.80700000003</v>
      </c>
      <c r="CD12" s="87"/>
      <c r="CE12" s="87">
        <f>-SUMIF('TB Apr 24'!$D$13:$D$103,'MIS Apr24'!$B12,'TB Apr 24'!AT$13:AT$103)+CE29</f>
        <v>-3501.8060000000114</v>
      </c>
      <c r="CF12" s="87"/>
      <c r="CG12" s="87">
        <f>-SUMIF('TB Apr 24'!$D$13:$D$103,'MIS Apr24'!$B12,'TB Apr 24'!AU$13:AU$103)+CG29</f>
        <v>0</v>
      </c>
      <c r="CH12" s="87"/>
      <c r="CI12" s="87">
        <f>-SUMIF('TB Apr 24'!$D$13:$D$103,'MIS Apr24'!$B12,'TB Apr 24'!AV$13:AV$103)+CI29</f>
        <v>141564.13800000001</v>
      </c>
      <c r="CJ12" s="87"/>
      <c r="CK12" s="87">
        <f>-SUMIF('TB Apr 24'!$D$13:$D$103,'MIS Apr24'!$B12,'TB Apr 24'!AW$13:AW$103)+CK29</f>
        <v>112169.60000000001</v>
      </c>
      <c r="CL12" s="87"/>
      <c r="CM12" s="87">
        <f>-SUMIF('TB Apr 24'!$D$13:$D$103,'MIS Apr24'!$B12,'TB Apr 24'!AX$13:AX$103)+CM29</f>
        <v>88354.168999999994</v>
      </c>
      <c r="CN12" s="87"/>
      <c r="CO12" s="87">
        <f>-SUMIF('TB Apr 24'!$D$13:$D$103,'MIS Apr24'!$B12,'TB Apr 24'!AY$13:AY$103)+CO29</f>
        <v>0</v>
      </c>
      <c r="CP12" s="87"/>
      <c r="CQ12" s="87">
        <f>-SUMIF('TB Apr 24'!$D$13:$D$103,'MIS Apr24'!$B12,'TB Apr 24'!AZ$13:AZ$103)+CQ29</f>
        <v>0</v>
      </c>
      <c r="CR12" s="87"/>
      <c r="CS12" s="87">
        <f>-SUMIF('TB Apr 24'!$D$13:$D$103,'MIS Apr24'!$B12,'TB Apr 24'!BA$13:BA$103)+CS29</f>
        <v>189964.693</v>
      </c>
      <c r="CT12" s="87"/>
      <c r="CU12" s="87">
        <f>-SUMIF('TB Apr 24'!$D$13:$D$103,'MIS Apr24'!$B12,'TB Apr 24'!BB$13:BB$103)+CU29</f>
        <v>89349.937999999995</v>
      </c>
      <c r="CV12" s="87"/>
      <c r="CW12" s="87">
        <f>-SUMIF('TB Apr 24'!$D$13:$D$103,'MIS Apr24'!$B12,'TB Apr 24'!BC$13:BC$103)+CW29</f>
        <v>340946.43099999998</v>
      </c>
      <c r="CX12" s="87"/>
      <c r="CY12" s="87">
        <f>-SUMIF('TB Apr 24'!$D$13:$D$103,'MIS Apr24'!$B12,'TB Apr 24'!BD$13:BD$103)+CY29</f>
        <v>47371.862000000001</v>
      </c>
      <c r="CZ12" s="87"/>
      <c r="DA12" s="87">
        <f>-SUMIF('TB Apr 24'!$D$13:$D$103,'MIS Apr24'!$B12,'TB Apr 24'!O$13:O$103)+DA29</f>
        <v>0</v>
      </c>
      <c r="DB12" s="87"/>
      <c r="DC12" s="87">
        <f>SUM(C12,E12,I12,K12,M12,O12,S12,U12,AA12,AC12,AG12,AK12,AM12,AO12,AQ12,AS12,AW12,AY12,BA12,BC12,BE12,BG12,BI12,BK12,BU12,BW12,CA12,CC12,CE12,CI12,CK12,CM12,CS12,CU12,CW12,CY12,DA12)</f>
        <v>6040471.3229999999</v>
      </c>
      <c r="DD12" s="87"/>
      <c r="DE12" s="87"/>
      <c r="DF12" s="87"/>
      <c r="DG12" s="87">
        <f>DE12-DC12</f>
        <v>-6040471.3229999999</v>
      </c>
      <c r="DH12" s="87"/>
      <c r="DI12" s="345"/>
    </row>
    <row r="13" spans="1:114" outlineLevel="1" x14ac:dyDescent="0.35">
      <c r="B13" s="41" t="s">
        <v>253</v>
      </c>
      <c r="C13" s="87">
        <f>-SUMIF('TB Apr 24'!$D$13:$D$103,'MIS Apr24'!$B13,'TB Apr 24'!E$13:E$103)</f>
        <v>5644.86</v>
      </c>
      <c r="D13" s="546">
        <f>IFERROR(C13/C$8,0)</f>
        <v>4.6763476671459019E-3</v>
      </c>
      <c r="E13" s="87">
        <f>-SUMIF('TB Apr 24'!$D$13:$D$103,'MIS Apr24'!$B13,'TB Apr 24'!F$13:F$103)</f>
        <v>1749.05</v>
      </c>
      <c r="F13" s="87"/>
      <c r="G13" s="87">
        <f>-SUMIF('TB Apr 24'!$D$13:$D$103,'MIS Apr24'!$B13,'TB Apr 24'!G$13:G$103)</f>
        <v>0</v>
      </c>
      <c r="H13" s="87"/>
      <c r="I13" s="87">
        <f>-SUMIF('TB Apr 24'!$D$13:$D$103,'MIS Apr24'!$B13,'TB Apr 24'!H$13:H$103)</f>
        <v>4583.0899999999992</v>
      </c>
      <c r="J13" s="87"/>
      <c r="K13" s="87">
        <f>-SUMIF('TB Apr 24'!$D$13:$D$103,'MIS Apr24'!$B13,'TB Apr 24'!I$13:I$103)</f>
        <v>28370.079999999998</v>
      </c>
      <c r="L13" s="87"/>
      <c r="M13" s="87">
        <f>-SUMIF('TB Apr 24'!$D$13:$D$103,'MIS Apr24'!$B13,'TB Apr 24'!J$13:J$103)</f>
        <v>1447.31</v>
      </c>
      <c r="N13" s="87"/>
      <c r="O13" s="87">
        <f>-SUMIF('TB Apr 24'!$D$13:$D$103,'MIS Apr24'!$B13,'TB Apr 24'!K$13:K$103)</f>
        <v>1320.19</v>
      </c>
      <c r="P13" s="87"/>
      <c r="Q13" s="87">
        <f>-SUMIF('TB Apr 24'!$D$13:$D$103,'MIS Apr24'!$B13,'TB Apr 24'!L$13:L$103)</f>
        <v>0</v>
      </c>
      <c r="R13" s="87"/>
      <c r="S13" s="87">
        <f>-SUMIF('TB Apr 24'!$D$13:$D$103,'MIS Apr24'!$B13,'TB Apr 24'!M$13:M$103)</f>
        <v>22358.3</v>
      </c>
      <c r="T13" s="87"/>
      <c r="U13" s="87">
        <f>-SUMIF('TB Apr 24'!$D$13:$D$103,'MIS Apr24'!$B13,'TB Apr 24'!N$13:N$103)</f>
        <v>910.58999999999992</v>
      </c>
      <c r="V13" s="87"/>
      <c r="W13" s="87">
        <f>-SUMIF('TB Apr 24'!$D$13:$D$103,'MIS Apr24'!$B13,'TB Apr 24'!P$13:P$103)</f>
        <v>0</v>
      </c>
      <c r="X13" s="87"/>
      <c r="Y13" s="87">
        <f>-SUMIF('TB Apr 24'!$D$13:$D$103,'MIS Apr24'!$B13,'TB Apr 24'!Q$13:Q$103)</f>
        <v>0</v>
      </c>
      <c r="Z13" s="87"/>
      <c r="AA13" s="87">
        <f>-SUMIF('TB Apr 24'!$D$13:$D$103,'MIS Apr24'!$B13,'TB Apr 24'!R$13:R$103)</f>
        <v>248311.88</v>
      </c>
      <c r="AB13" s="87"/>
      <c r="AC13" s="87">
        <f>-SUMIF('TB Apr 24'!$D$13:$D$103,'MIS Apr24'!$B13,'TB Apr 24'!S$13:S$103)</f>
        <v>3383.7799999999997</v>
      </c>
      <c r="AD13" s="87"/>
      <c r="AE13" s="87">
        <f>-SUMIF('TB Apr 24'!$D$13:$D$103,'MIS Apr24'!$B13,'TB Apr 24'!T$13:T$103)</f>
        <v>0</v>
      </c>
      <c r="AF13" s="87"/>
      <c r="AG13" s="87">
        <f>-SUMIF('TB Apr 24'!$D$13:$D$103,'MIS Apr24'!$B13,'TB Apr 24'!U$13:U$103)</f>
        <v>2947.7400000000002</v>
      </c>
      <c r="AH13" s="87"/>
      <c r="AI13" s="87">
        <f>-SUMIF('TB Apr 24'!$D$13:$D$103,'MIS Apr24'!$B13,'TB Apr 24'!V$13:V$103)</f>
        <v>0</v>
      </c>
      <c r="AJ13" s="87"/>
      <c r="AK13" s="87">
        <f>-SUMIF('TB Apr 24'!$D$13:$D$103,'MIS Apr24'!$B13,'TB Apr 24'!W$13:W$103)</f>
        <v>388.13</v>
      </c>
      <c r="AL13" s="87"/>
      <c r="AM13" s="87">
        <f>-SUMIF('TB Apr 24'!$D$13:$D$103,'MIS Apr24'!$B13,'TB Apr 24'!X$13:X$103)</f>
        <v>3216.86</v>
      </c>
      <c r="AN13" s="87"/>
      <c r="AO13" s="87">
        <f>-SUMIF('TB Apr 24'!$D$13:$D$103,'MIS Apr24'!$B13,'TB Apr 24'!Y$13:Y$103)</f>
        <v>2335.0700000000002</v>
      </c>
      <c r="AP13" s="87"/>
      <c r="AQ13" s="87">
        <f>-SUMIF('TB Apr 24'!$D$13:$D$103,'MIS Apr24'!$B13,'TB Apr 24'!Z$13:Z$103)</f>
        <v>513.39</v>
      </c>
      <c r="AR13" s="87"/>
      <c r="AS13" s="87">
        <f>-SUMIF('TB Apr 24'!$D$13:$D$103,'MIS Apr24'!$B13,'TB Apr 24'!AA$13:AA$103)</f>
        <v>4166.7700000000004</v>
      </c>
      <c r="AT13" s="87"/>
      <c r="AU13" s="87">
        <f>-SUMIF('TB Apr 24'!$D$13:$D$103,'MIS Apr24'!$B13,'TB Apr 24'!AB$13:AB$103)</f>
        <v>0</v>
      </c>
      <c r="AV13" s="87"/>
      <c r="AW13" s="87">
        <f>-SUMIF('TB Apr 24'!$D$13:$D$103,'MIS Apr24'!$B13,'TB Apr 24'!AC$13:AC$103)</f>
        <v>6428.7199999999993</v>
      </c>
      <c r="AX13" s="87"/>
      <c r="AY13" s="87">
        <f>-SUMIF('TB Apr 24'!$D$13:$D$103,'MIS Apr24'!$B13,'TB Apr 24'!AD$13:AD$103)</f>
        <v>18659.28</v>
      </c>
      <c r="AZ13" s="87"/>
      <c r="BA13" s="87">
        <f>-SUMIF('TB Apr 24'!$D$13:$D$103,'MIS Apr24'!$B13,'TB Apr 24'!AE$13:AE$103)</f>
        <v>659.04</v>
      </c>
      <c r="BB13" s="87"/>
      <c r="BC13" s="87">
        <f>-SUMIF('TB Apr 24'!$D$13:$D$103,'MIS Apr24'!$B13,'TB Apr 24'!AF$13:AF$103)</f>
        <v>1943.77</v>
      </c>
      <c r="BD13" s="87"/>
      <c r="BE13" s="87">
        <f>-SUMIF('TB Apr 24'!$D$13:$D$103,'MIS Apr24'!$B13,'TB Apr 24'!AG$13:AG$103)</f>
        <v>5101.82</v>
      </c>
      <c r="BF13" s="87"/>
      <c r="BG13" s="87">
        <f>-SUMIF('TB Apr 24'!$D$13:$D$103,'MIS Apr24'!$B13,'TB Apr 24'!AH$13:AH$103)</f>
        <v>31010.57</v>
      </c>
      <c r="BH13" s="87"/>
      <c r="BI13" s="87">
        <f>-SUMIF('TB Apr 24'!$D$13:$D$103,'MIS Apr24'!$B13,'TB Apr 24'!AI$13:AI$103)</f>
        <v>22.95</v>
      </c>
      <c r="BJ13" s="87"/>
      <c r="BK13" s="87">
        <f>-SUMIF('TB Apr 24'!$D$13:$D$103,'MIS Apr24'!$B13,'TB Apr 24'!AJ$13:AJ$103)</f>
        <v>26.78</v>
      </c>
      <c r="BL13" s="87"/>
      <c r="BM13" s="87">
        <f>-SUMIF('TB Apr 24'!$D$13:$D$103,'MIS Apr24'!$B13,'TB Apr 24'!AK$13:AK$103)</f>
        <v>0</v>
      </c>
      <c r="BN13" s="87"/>
      <c r="BO13" s="87">
        <f>-SUMIF('TB Apr 24'!$D$13:$D$103,'MIS Apr24'!$B13,'TB Apr 24'!AL$13:AL$103)</f>
        <v>0</v>
      </c>
      <c r="BP13" s="87"/>
      <c r="BQ13" s="87">
        <f>-SUMIF('TB Apr 24'!$D$13:$D$103,'MIS Apr24'!$B13,'TB Apr 24'!AM$13:AM$103)</f>
        <v>0</v>
      </c>
      <c r="BR13" s="87"/>
      <c r="BS13" s="87">
        <f>-SUMIF('TB Apr 24'!$D$13:$D$103,'MIS Apr24'!$B13,'TB Apr 24'!AN$13:AN$103)</f>
        <v>0</v>
      </c>
      <c r="BT13" s="87"/>
      <c r="BU13" s="87">
        <f>-SUMIF('TB Apr 24'!$D$13:$D$103,'MIS Apr24'!$B13,'TB Apr 24'!AO$13:AO$103)</f>
        <v>141.89000000000001</v>
      </c>
      <c r="BV13" s="87"/>
      <c r="BW13" s="87">
        <f>-SUMIF('TB Apr 24'!$D$13:$D$103,'MIS Apr24'!$B13,'TB Apr 24'!AP$13:AP$103)</f>
        <v>0</v>
      </c>
      <c r="BX13" s="87"/>
      <c r="BY13" s="87">
        <f>-SUMIF('TB Apr 24'!$D$13:$D$103,'MIS Apr24'!$B13,'TB Apr 24'!AQ$13:AQ$103)</f>
        <v>0</v>
      </c>
      <c r="BZ13" s="87"/>
      <c r="CA13" s="87">
        <f>-SUMIF('TB Apr 24'!$D$13:$D$103,'MIS Apr24'!$B13,'TB Apr 24'!AR$13:AR$103)</f>
        <v>1192.6500000000001</v>
      </c>
      <c r="CB13" s="87"/>
      <c r="CC13" s="87">
        <f>-SUMIF('TB Apr 24'!$D$13:$D$103,'MIS Apr24'!$B13,'TB Apr 24'!AS$13:AS$103)</f>
        <v>2812.4599999999996</v>
      </c>
      <c r="CD13" s="87"/>
      <c r="CE13" s="87">
        <f>-SUMIF('TB Apr 24'!$D$13:$D$103,'MIS Apr24'!$B13,'TB Apr 24'!AT$13:AT$103)</f>
        <v>10652.91</v>
      </c>
      <c r="CF13" s="87"/>
      <c r="CG13" s="87">
        <f>-SUMIF('TB Apr 24'!$D$13:$D$103,'MIS Apr24'!$B13,'TB Apr 24'!AU$13:AU$103)</f>
        <v>0</v>
      </c>
      <c r="CH13" s="87"/>
      <c r="CI13" s="87">
        <f>-SUMIF('TB Apr 24'!$D$13:$D$103,'MIS Apr24'!$B13,'TB Apr 24'!AV$13:AV$103)</f>
        <v>484.34</v>
      </c>
      <c r="CJ13" s="87"/>
      <c r="CK13" s="87">
        <f>-SUMIF('TB Apr 24'!$D$13:$D$103,'MIS Apr24'!$B13,'TB Apr 24'!AW$13:AW$103)</f>
        <v>1149.54</v>
      </c>
      <c r="CL13" s="87"/>
      <c r="CM13" s="87">
        <f>-SUMIF('TB Apr 24'!$D$13:$D$103,'MIS Apr24'!$B13,'TB Apr 24'!AX$13:AX$103)</f>
        <v>11.51</v>
      </c>
      <c r="CN13" s="87"/>
      <c r="CO13" s="87">
        <f>-SUMIF('TB Apr 24'!$D$13:$D$103,'MIS Apr24'!$B13,'TB Apr 24'!AY$13:AY$103)</f>
        <v>0</v>
      </c>
      <c r="CP13" s="87"/>
      <c r="CQ13" s="87">
        <f>-SUMIF('TB Apr 24'!$D$13:$D$103,'MIS Apr24'!$B13,'TB Apr 24'!AZ$13:AZ$103)</f>
        <v>0</v>
      </c>
      <c r="CR13" s="87"/>
      <c r="CS13" s="87">
        <f>-SUMIF('TB Apr 24'!$D$13:$D$103,'MIS Apr24'!$B13,'TB Apr 24'!BA$13:BA$103)</f>
        <v>6.16</v>
      </c>
      <c r="CT13" s="87"/>
      <c r="CU13" s="87">
        <f>-SUMIF('TB Apr 24'!$D$13:$D$103,'MIS Apr24'!$B13,'TB Apr 24'!BB$13:BB$103)</f>
        <v>2.86</v>
      </c>
      <c r="CV13" s="87"/>
      <c r="CW13" s="87">
        <f>-SUMIF('TB Apr 24'!$D$13:$D$103,'MIS Apr24'!$B13,'TB Apr 24'!BC$13:BC$103)</f>
        <v>44.75</v>
      </c>
      <c r="CX13" s="87"/>
      <c r="CY13" s="87">
        <f>-SUMIF('TB Apr 24'!$D$13:$D$103,'MIS Apr24'!$B13,'TB Apr 24'!BD$13:BD$103)</f>
        <v>429.69</v>
      </c>
      <c r="CZ13" s="87"/>
      <c r="DA13" s="87">
        <f>-SUMIF('TB Apr 24'!$D$13:$D$103,'MIS Apr24'!$B13,'TB Apr 24'!O$13:O$103)</f>
        <v>0</v>
      </c>
      <c r="DB13" s="87"/>
      <c r="DC13" s="87">
        <f>SUM(C13,E13,I13,K13,M13,O13,S13,U13,AA13,AC13,AG13,AK13,AM13,AO13,AQ13,AS13,AW13,AY13,BA13,BC13,BE13,BG13,BI13,BK13,BU13,BW13,CA13,CC13,CE13,CI13,CK13,CM13,CS13,CU13,CW13,CY13,DA13)</f>
        <v>412428.78</v>
      </c>
      <c r="DD13" s="87"/>
      <c r="DE13" s="87"/>
      <c r="DF13" s="87"/>
      <c r="DG13" s="87">
        <f>DE13-DC13</f>
        <v>-412428.78</v>
      </c>
      <c r="DH13" s="87"/>
      <c r="DI13" s="345"/>
    </row>
    <row r="14" spans="1:114" ht="13" customHeight="1" outlineLevel="1" x14ac:dyDescent="0.35">
      <c r="B14" s="535" t="s">
        <v>564</v>
      </c>
      <c r="C14" s="536">
        <f>IFERROR(C15/C8,0)</f>
        <v>0.26308296623922134</v>
      </c>
      <c r="D14" s="536"/>
      <c r="E14" s="536">
        <f t="shared" ref="E14:DC14" si="1">IFERROR(E15/E8,0)</f>
        <v>0.36799973968488886</v>
      </c>
      <c r="F14" s="536"/>
      <c r="G14" s="536">
        <f t="shared" ca="1" si="1"/>
        <v>0</v>
      </c>
      <c r="H14" s="536"/>
      <c r="I14" s="536">
        <f t="shared" si="1"/>
        <v>0.26126067298019368</v>
      </c>
      <c r="J14" s="536"/>
      <c r="K14" s="536">
        <f t="shared" si="1"/>
        <v>0.40347917908857583</v>
      </c>
      <c r="L14" s="536"/>
      <c r="M14" s="536">
        <f t="shared" si="1"/>
        <v>0.33796073521387959</v>
      </c>
      <c r="N14" s="536"/>
      <c r="O14" s="536">
        <f t="shared" si="1"/>
        <v>0.30232740732089702</v>
      </c>
      <c r="P14" s="536"/>
      <c r="Q14" s="536">
        <f t="shared" ca="1" si="1"/>
        <v>0</v>
      </c>
      <c r="R14" s="536"/>
      <c r="S14" s="536">
        <f t="shared" si="1"/>
        <v>0.32342177293897451</v>
      </c>
      <c r="T14" s="536"/>
      <c r="U14" s="536">
        <f t="shared" si="1"/>
        <v>0.37321879754150505</v>
      </c>
      <c r="V14" s="536"/>
      <c r="W14" s="536">
        <f t="shared" ca="1" si="1"/>
        <v>0</v>
      </c>
      <c r="X14" s="536"/>
      <c r="Y14" s="536">
        <f t="shared" ca="1" si="1"/>
        <v>0</v>
      </c>
      <c r="Z14" s="536"/>
      <c r="AA14" s="536">
        <f t="shared" si="1"/>
        <v>0.23350312943435605</v>
      </c>
      <c r="AB14" s="536"/>
      <c r="AC14" s="536">
        <f t="shared" si="1"/>
        <v>0.27420785166151823</v>
      </c>
      <c r="AD14" s="536"/>
      <c r="AE14" s="536">
        <f t="shared" ca="1" si="1"/>
        <v>0</v>
      </c>
      <c r="AF14" s="536"/>
      <c r="AG14" s="536">
        <f t="shared" si="1"/>
        <v>0.24418442592498785</v>
      </c>
      <c r="AH14" s="536"/>
      <c r="AI14" s="536">
        <f t="shared" ca="1" si="1"/>
        <v>0</v>
      </c>
      <c r="AJ14" s="536"/>
      <c r="AK14" s="536">
        <f t="shared" si="1"/>
        <v>0.35206158833874762</v>
      </c>
      <c r="AL14" s="536"/>
      <c r="AM14" s="536">
        <f t="shared" si="1"/>
        <v>0.33485471873978295</v>
      </c>
      <c r="AN14" s="536"/>
      <c r="AO14" s="536">
        <f t="shared" si="1"/>
        <v>0.27203180473137761</v>
      </c>
      <c r="AP14" s="536"/>
      <c r="AQ14" s="536">
        <f t="shared" si="1"/>
        <v>0.28625360626767687</v>
      </c>
      <c r="AR14" s="536"/>
      <c r="AS14" s="536">
        <f t="shared" si="1"/>
        <v>0.2728610017789071</v>
      </c>
      <c r="AT14" s="536"/>
      <c r="AU14" s="536">
        <f t="shared" ca="1" si="1"/>
        <v>0</v>
      </c>
      <c r="AV14" s="536"/>
      <c r="AW14" s="536">
        <f t="shared" si="1"/>
        <v>0.26878466504236753</v>
      </c>
      <c r="AX14" s="536"/>
      <c r="AY14" s="536">
        <f t="shared" si="1"/>
        <v>0.28483101293755914</v>
      </c>
      <c r="AZ14" s="536"/>
      <c r="BA14" s="536">
        <f t="shared" si="1"/>
        <v>0.55657791507084431</v>
      </c>
      <c r="BB14" s="536"/>
      <c r="BC14" s="536">
        <f t="shared" si="1"/>
        <v>0.3357484701884571</v>
      </c>
      <c r="BD14" s="536"/>
      <c r="BE14" s="536">
        <f t="shared" si="1"/>
        <v>0.31072020581269361</v>
      </c>
      <c r="BF14" s="536"/>
      <c r="BG14" s="536">
        <f t="shared" si="1"/>
        <v>0.44219512983312775</v>
      </c>
      <c r="BH14" s="536"/>
      <c r="BI14" s="536">
        <f t="shared" si="1"/>
        <v>0.27696371014568544</v>
      </c>
      <c r="BJ14" s="536"/>
      <c r="BK14" s="536">
        <f t="shared" si="1"/>
        <v>0.37026445677217756</v>
      </c>
      <c r="BL14" s="536"/>
      <c r="BM14" s="536">
        <f t="shared" ca="1" si="1"/>
        <v>0</v>
      </c>
      <c r="BN14" s="536"/>
      <c r="BO14" s="536">
        <f t="shared" ca="1" si="1"/>
        <v>0</v>
      </c>
      <c r="BP14" s="536"/>
      <c r="BQ14" s="536">
        <f t="shared" ca="1" si="1"/>
        <v>0</v>
      </c>
      <c r="BR14" s="536"/>
      <c r="BS14" s="536">
        <f t="shared" ca="1" si="1"/>
        <v>0</v>
      </c>
      <c r="BT14" s="536"/>
      <c r="BU14" s="536">
        <f t="shared" si="1"/>
        <v>0.29597762218986434</v>
      </c>
      <c r="BV14" s="536"/>
      <c r="BW14" s="536">
        <f t="shared" si="1"/>
        <v>3.1174071500995155</v>
      </c>
      <c r="BX14" s="536"/>
      <c r="BY14" s="536">
        <f t="shared" ca="1" si="1"/>
        <v>0</v>
      </c>
      <c r="BZ14" s="536"/>
      <c r="CA14" s="536">
        <f t="shared" si="1"/>
        <v>0.23298756453486286</v>
      </c>
      <c r="CB14" s="536"/>
      <c r="CC14" s="536">
        <f t="shared" si="1"/>
        <v>0.24218434838051134</v>
      </c>
      <c r="CD14" s="536"/>
      <c r="CE14" s="536">
        <f t="shared" si="1"/>
        <v>0.29015558315572909</v>
      </c>
      <c r="CF14" s="536"/>
      <c r="CG14" s="536">
        <f t="shared" ca="1" si="1"/>
        <v>0</v>
      </c>
      <c r="CH14" s="536"/>
      <c r="CI14" s="536">
        <f t="shared" si="1"/>
        <v>0.36466548482488459</v>
      </c>
      <c r="CJ14" s="536"/>
      <c r="CK14" s="536">
        <f t="shared" si="1"/>
        <v>0.26133014615334149</v>
      </c>
      <c r="CL14" s="536"/>
      <c r="CM14" s="536">
        <f t="shared" si="1"/>
        <v>0.2548828714037672</v>
      </c>
      <c r="CN14" s="536"/>
      <c r="CO14" s="536">
        <f t="shared" ca="1" si="1"/>
        <v>0</v>
      </c>
      <c r="CP14" s="536"/>
      <c r="CQ14" s="536">
        <f t="shared" ca="1" si="1"/>
        <v>0</v>
      </c>
      <c r="CR14" s="536"/>
      <c r="CS14" s="536">
        <f t="shared" si="1"/>
        <v>0.49162502302251693</v>
      </c>
      <c r="CT14" s="536"/>
      <c r="CU14" s="536">
        <f t="shared" si="1"/>
        <v>0.27787160525310356</v>
      </c>
      <c r="CV14" s="536"/>
      <c r="CW14" s="536">
        <f t="shared" si="1"/>
        <v>0.28173988814449769</v>
      </c>
      <c r="CX14" s="536"/>
      <c r="CY14" s="536">
        <f t="shared" si="1"/>
        <v>0.28424156936929557</v>
      </c>
      <c r="CZ14" s="536"/>
      <c r="DA14" s="536">
        <f>IFERROR(DA15/DA8,0)</f>
        <v>0</v>
      </c>
      <c r="DB14" s="536"/>
      <c r="DC14" s="536">
        <f t="shared" si="1"/>
        <v>0.31074078226451746</v>
      </c>
      <c r="DD14" s="536"/>
      <c r="DE14" s="540"/>
      <c r="DF14" s="536"/>
      <c r="DG14" s="540"/>
      <c r="DH14" s="536"/>
    </row>
    <row r="15" spans="1:114" x14ac:dyDescent="0.35">
      <c r="B15" s="535" t="s">
        <v>239</v>
      </c>
      <c r="C15" s="537">
        <f>SUM(C16:C18)</f>
        <v>317569.74000000005</v>
      </c>
      <c r="D15" s="537"/>
      <c r="E15" s="537">
        <f>SUM(E16:E18)</f>
        <v>605865.15999999992</v>
      </c>
      <c r="F15" s="537"/>
      <c r="G15" s="537">
        <f ca="1">SUM(G16:G49)</f>
        <v>0</v>
      </c>
      <c r="H15" s="537"/>
      <c r="I15" s="537">
        <f>SUM(I16:I18)</f>
        <v>797454.98</v>
      </c>
      <c r="J15" s="537"/>
      <c r="K15" s="537">
        <f>SUM(K16:K18)</f>
        <v>388169.25</v>
      </c>
      <c r="L15" s="537"/>
      <c r="M15" s="537">
        <f>SUM(M16:M18)</f>
        <v>784962.47455602756</v>
      </c>
      <c r="N15" s="537"/>
      <c r="O15" s="537">
        <f>SUM(O16:O18)</f>
        <v>1017843.8253323282</v>
      </c>
      <c r="P15" s="537"/>
      <c r="Q15" s="537">
        <f ca="1">SUM(Q16:Q49)</f>
        <v>0</v>
      </c>
      <c r="R15" s="537"/>
      <c r="S15" s="537">
        <f>SUM(S16:S18)</f>
        <v>1216114.2996313069</v>
      </c>
      <c r="T15" s="537"/>
      <c r="U15" s="537">
        <f>SUM(U16:U18)</f>
        <v>1051607.897065741</v>
      </c>
      <c r="V15" s="537"/>
      <c r="W15" s="537">
        <f ca="1">SUM(W16:W49)</f>
        <v>0</v>
      </c>
      <c r="X15" s="537"/>
      <c r="Y15" s="537">
        <f ca="1">SUM(Y16:Y49)</f>
        <v>0</v>
      </c>
      <c r="Z15" s="537"/>
      <c r="AA15" s="537">
        <f>SUM(AA16:AA18)</f>
        <v>734668</v>
      </c>
      <c r="AB15" s="537"/>
      <c r="AC15" s="537">
        <f>SUM(AC16:AC18)</f>
        <v>622610.58440780931</v>
      </c>
      <c r="AD15" s="537"/>
      <c r="AE15" s="537">
        <f ca="1">SUM(AE16:AE49)</f>
        <v>0</v>
      </c>
      <c r="AF15" s="537"/>
      <c r="AG15" s="537">
        <f>SUM(AG16:AG18)</f>
        <v>907574</v>
      </c>
      <c r="AH15" s="537"/>
      <c r="AI15" s="537">
        <f ca="1">SUM(AI16:AI49)</f>
        <v>0</v>
      </c>
      <c r="AJ15" s="537"/>
      <c r="AK15" s="537">
        <f>SUM(AK16:AK18)</f>
        <v>381080.05</v>
      </c>
      <c r="AL15" s="537"/>
      <c r="AM15" s="537">
        <f>SUM(AM16:AM18)</f>
        <v>685108.16</v>
      </c>
      <c r="AN15" s="537"/>
      <c r="AO15" s="537">
        <f>SUM(AO16:AO18)</f>
        <v>479346.72</v>
      </c>
      <c r="AP15" s="537"/>
      <c r="AQ15" s="537">
        <f>SUM(AQ16:AQ18)</f>
        <v>422622.83483103453</v>
      </c>
      <c r="AR15" s="537"/>
      <c r="AS15" s="537">
        <f>SUM(AS16:AS18)</f>
        <v>509269.27145419095</v>
      </c>
      <c r="AT15" s="537"/>
      <c r="AU15" s="537">
        <f ca="1">SUM(AU16:AU49)</f>
        <v>0</v>
      </c>
      <c r="AV15" s="537"/>
      <c r="AW15" s="537">
        <f>SUM(AW16:AW18)</f>
        <v>995983.35324991343</v>
      </c>
      <c r="AX15" s="537"/>
      <c r="AY15" s="537">
        <f>SUM(AY16:AY18)</f>
        <v>1187785.4429674558</v>
      </c>
      <c r="AZ15" s="537"/>
      <c r="BA15" s="537">
        <f>SUM(BA16:BA18)</f>
        <v>183225.24704696087</v>
      </c>
      <c r="BB15" s="537"/>
      <c r="BC15" s="537">
        <f>SUM(BC16:BC18)</f>
        <v>699614.13557812199</v>
      </c>
      <c r="BD15" s="537"/>
      <c r="BE15" s="537">
        <f>SUM(BE16:BE18)</f>
        <v>498690.33</v>
      </c>
      <c r="BF15" s="537"/>
      <c r="BG15" s="537">
        <f>SUM(BG16:BG18)</f>
        <v>813648.63320068701</v>
      </c>
      <c r="BH15" s="537"/>
      <c r="BI15" s="537">
        <f>SUM(BI16:BI18)</f>
        <v>520496.15366666665</v>
      </c>
      <c r="BJ15" s="537"/>
      <c r="BK15" s="537">
        <f>SUM(BK16:BK18)</f>
        <v>850498.06592045876</v>
      </c>
      <c r="BL15" s="537"/>
      <c r="BM15" s="537">
        <f ca="1">SUM(BM16:BM49)</f>
        <v>0</v>
      </c>
      <c r="BN15" s="537"/>
      <c r="BO15" s="537">
        <f ca="1">SUM(BO16:BO49)</f>
        <v>0</v>
      </c>
      <c r="BP15" s="537"/>
      <c r="BQ15" s="537">
        <f ca="1">SUM(BQ16:BQ49)</f>
        <v>0</v>
      </c>
      <c r="BR15" s="537"/>
      <c r="BS15" s="537">
        <f ca="1">SUM(BS16:BS49)</f>
        <v>0</v>
      </c>
      <c r="BT15" s="537"/>
      <c r="BU15" s="537">
        <f>SUM(BU16:BU18)</f>
        <v>1466721.4706559344</v>
      </c>
      <c r="BV15" s="537"/>
      <c r="BW15" s="537">
        <f>SUM(BW16:BW18)</f>
        <v>747120.91500000004</v>
      </c>
      <c r="BX15" s="537"/>
      <c r="BY15" s="537">
        <f ca="1">SUM(BY16:BY49)</f>
        <v>0</v>
      </c>
      <c r="BZ15" s="537"/>
      <c r="CA15" s="537">
        <f>SUM(CA16:CA18)</f>
        <v>1323240.504863878</v>
      </c>
      <c r="CB15" s="537"/>
      <c r="CC15" s="537">
        <f>SUM(CC16:CC18)</f>
        <v>522186</v>
      </c>
      <c r="CD15" s="537"/>
      <c r="CE15" s="537">
        <f>SUM(CE16:CE18)</f>
        <v>468225</v>
      </c>
      <c r="CF15" s="537"/>
      <c r="CG15" s="537">
        <f ca="1">SUM(CG16:CG49)</f>
        <v>0</v>
      </c>
      <c r="CH15" s="537"/>
      <c r="CI15" s="537">
        <f>SUM(CI16:CI18)</f>
        <v>768668</v>
      </c>
      <c r="CJ15" s="537"/>
      <c r="CK15" s="537">
        <f>SUM(CK16:CK18)</f>
        <v>544380</v>
      </c>
      <c r="CL15" s="537"/>
      <c r="CM15" s="537">
        <f>SUM(CM16:CM18)</f>
        <v>291480.87309305888</v>
      </c>
      <c r="CN15" s="537"/>
      <c r="CO15" s="537">
        <f ca="1">SUM(CO16:CO49)</f>
        <v>0</v>
      </c>
      <c r="CP15" s="537"/>
      <c r="CQ15" s="537">
        <f ca="1">SUM(CQ16:CQ49)</f>
        <v>0</v>
      </c>
      <c r="CR15" s="537"/>
      <c r="CS15" s="537">
        <f>SUM(CS16:CS18)</f>
        <v>1318487.9560701575</v>
      </c>
      <c r="CT15" s="537"/>
      <c r="CU15" s="537">
        <f>SUM(CU16:CU18)</f>
        <v>345971.58299999993</v>
      </c>
      <c r="CV15" s="537"/>
      <c r="CW15" s="537">
        <f>SUM(CW16:CW18)</f>
        <v>1121225.8587613041</v>
      </c>
      <c r="CX15" s="537"/>
      <c r="CY15" s="537">
        <f>SUM(CY16:CY18)</f>
        <v>175159.87694067752</v>
      </c>
      <c r="CZ15" s="537"/>
      <c r="DA15" s="537">
        <f>SUM(DA16:DA18)</f>
        <v>0</v>
      </c>
      <c r="DB15" s="537"/>
      <c r="DC15" s="537">
        <f>SUM(DC16:DC18)</f>
        <v>25764676.647293713</v>
      </c>
      <c r="DD15" s="537"/>
      <c r="DE15" s="537">
        <f ca="1">SUM(DE16:DE49)</f>
        <v>0</v>
      </c>
      <c r="DF15" s="537"/>
      <c r="DG15" s="537">
        <f ca="1">SUM(DG16:DG49)</f>
        <v>-28656502.647293713</v>
      </c>
      <c r="DH15" s="537"/>
    </row>
    <row r="16" spans="1:114" outlineLevel="1" x14ac:dyDescent="0.35">
      <c r="B16" s="41" t="s">
        <v>985</v>
      </c>
      <c r="C16" s="87">
        <f>SUMIF('TB Apr 24'!$D$13:$D$103,'MIS Apr24'!$B16,'TB Apr 24'!E$13:E$103)</f>
        <v>317569.74000000005</v>
      </c>
      <c r="D16" s="546">
        <f>IFERROR(C16/(C$9+C$10),0)</f>
        <v>0.28212989455056742</v>
      </c>
      <c r="E16" s="87">
        <f>SUMIF('TB Apr 24'!$D$13:$D$103,'MIS Apr24'!$B16,'TB Apr 24'!F$13:F$103)</f>
        <v>605865.15999999992</v>
      </c>
      <c r="F16" s="546">
        <f>IFERROR(E16/(E$9+E$10),0)</f>
        <v>0.39436513738771939</v>
      </c>
      <c r="G16" s="87">
        <f>SUMIF('TB Apr 24'!$D$13:$D$103,'MIS Apr24'!$B16,'TB Apr 24'!G$13:G$103)</f>
        <v>0</v>
      </c>
      <c r="H16" s="546">
        <f>IFERROR(G16/G$9,0)</f>
        <v>0</v>
      </c>
      <c r="I16" s="87">
        <f>SUMIF('TB Apr 24'!$D$13:$D$103,'MIS Apr24'!$B16,'TB Apr 24'!H$13:H$103)</f>
        <v>797454.98</v>
      </c>
      <c r="J16" s="546">
        <f>IFERROR(I16/(I$9+I$10),0)</f>
        <v>0.28251256679753506</v>
      </c>
      <c r="K16" s="87">
        <f>SUMIF('TB Apr 24'!$D$13:$D$103,'MIS Apr24'!$B16,'TB Apr 24'!I$13:I$103)</f>
        <v>388169.25</v>
      </c>
      <c r="L16" s="546">
        <f>IFERROR(K16/(K$9+K$10),0)</f>
        <v>0.43315665309070878</v>
      </c>
      <c r="M16" s="87">
        <f>SUMIF('TB Apr 24'!$D$13:$D$103,'MIS Apr24'!$B16,'TB Apr 24'!J$13:J$103)</f>
        <v>639044.19715602754</v>
      </c>
      <c r="N16" s="546">
        <f>IFERROR(M16/(M$9+M$10),0)</f>
        <v>0.35867847738238606</v>
      </c>
      <c r="O16" s="87">
        <f>SUMIF('TB Apr 24'!$D$13:$D$103,'MIS Apr24'!$B16,'TB Apr 24'!K$13:K$103)</f>
        <v>772814.06943232822</v>
      </c>
      <c r="P16" s="546">
        <f>IFERROR(O16/(O$9+O$10),0)</f>
        <v>0.30685841541752185</v>
      </c>
      <c r="Q16" s="87">
        <f>SUMIF('TB Apr 24'!$D$13:$D$103,'MIS Apr24'!$B16,'TB Apr 24'!L$13:L$103)</f>
        <v>0</v>
      </c>
      <c r="R16" s="546">
        <f>IFERROR(Q16/(Q$9+Q$10),0)</f>
        <v>0</v>
      </c>
      <c r="S16" s="87">
        <f>SUMIF('TB Apr 24'!$D$13:$D$103,'MIS Apr24'!$B16,'TB Apr 24'!M$13:M$103)</f>
        <v>545994.59342090331</v>
      </c>
      <c r="T16" s="546">
        <f>IFERROR(S16/(S$9+S$10),0)</f>
        <v>0.28993262983346418</v>
      </c>
      <c r="U16" s="87">
        <f>SUMIF('TB Apr 24'!$D$13:$D$103,'MIS Apr24'!$B16,'TB Apr 24'!N$13:N$103)</f>
        <v>912032.348965741</v>
      </c>
      <c r="V16" s="546">
        <f>IFERROR(U16/(U$9+U$10),0)</f>
        <v>0.40187413035980157</v>
      </c>
      <c r="W16" s="87">
        <f>SUMIF('TB Apr 24'!$D$13:$D$103,'MIS Apr24'!$B16,'TB Apr 24'!P$13:P$103)</f>
        <v>0</v>
      </c>
      <c r="X16" s="546">
        <f>IFERROR(W16/(W$9+W$10),0)</f>
        <v>0</v>
      </c>
      <c r="Y16" s="87">
        <f>SUMIF('TB Apr 24'!$D$13:$D$103,'MIS Apr24'!$B16,'TB Apr 24'!Q$13:Q$103)</f>
        <v>0</v>
      </c>
      <c r="Z16" s="546">
        <f>IFERROR(Y16/(Y$9+Y$10),0)</f>
        <v>0</v>
      </c>
      <c r="AA16" s="87">
        <f>SUMIF('TB Apr 24'!$D$13:$D$103,'MIS Apr24'!$B16,'TB Apr 24'!R$13:R$103)</f>
        <v>734668</v>
      </c>
      <c r="AB16" s="546">
        <f>IFERROR(AA16/(AA$9+AA$10),0)</f>
        <v>0.26874466787738849</v>
      </c>
      <c r="AC16" s="87">
        <f>SUMIF('TB Apr 24'!$D$13:$D$103,'MIS Apr24'!$B16,'TB Apr 24'!S$13:S$103)</f>
        <v>323871</v>
      </c>
      <c r="AD16" s="546">
        <f>IFERROR(AC16/(AC$9+AC$10),0)</f>
        <v>0.26865838190161734</v>
      </c>
      <c r="AE16" s="87">
        <f>SUMIF('TB Apr 24'!$D$13:$D$103,'MIS Apr24'!$B16,'TB Apr 24'!T$13:T$103)</f>
        <v>0</v>
      </c>
      <c r="AF16" s="546">
        <f>IFERROR(AE16/(AE$9+AE$10),0)</f>
        <v>0</v>
      </c>
      <c r="AG16" s="87">
        <f>SUMIF('TB Apr 24'!$D$13:$D$103,'MIS Apr24'!$B16,'TB Apr 24'!U$13:U$103)</f>
        <v>907574</v>
      </c>
      <c r="AH16" s="546">
        <f>IFERROR(AG16/(AG$9+AG$10),0)</f>
        <v>0.35875335897692218</v>
      </c>
      <c r="AI16" s="87">
        <f>SUMIF('TB Apr 24'!$D$13:$D$103,'MIS Apr24'!$B16,'TB Apr 24'!V$13:V$103)</f>
        <v>0</v>
      </c>
      <c r="AJ16" s="546">
        <f>IFERROR(AI16/(AI$9+AI$10),0)</f>
        <v>0</v>
      </c>
      <c r="AK16" s="87">
        <f>SUMIF('TB Apr 24'!$D$13:$D$103,'MIS Apr24'!$B16,'TB Apr 24'!W$13:W$103)</f>
        <v>263247.05</v>
      </c>
      <c r="AL16" s="546">
        <f>IFERROR(AK16/(AK$9+AK$10),0)</f>
        <v>0.37303681243620751</v>
      </c>
      <c r="AM16" s="87">
        <f>SUMIF('TB Apr 24'!$D$13:$D$103,'MIS Apr24'!$B16,'TB Apr 24'!X$13:X$103)</f>
        <v>520454.66000000003</v>
      </c>
      <c r="AN16" s="546">
        <f>IFERROR(AM16/(AM$9+AM$10),0)</f>
        <v>0.35314443790989281</v>
      </c>
      <c r="AO16" s="87">
        <f>SUMIF('TB Apr 24'!$D$13:$D$103,'MIS Apr24'!$B16,'TB Apr 24'!Y$13:Y$103)</f>
        <v>421713.72</v>
      </c>
      <c r="AP16" s="546">
        <f>IFERROR(AO16/(AO$9+AO$10),0)</f>
        <v>0.28960585389966459</v>
      </c>
      <c r="AQ16" s="87">
        <f>SUMIF('TB Apr 24'!$D$13:$D$103,'MIS Apr24'!$B16,'TB Apr 24'!Z$13:Z$103)</f>
        <v>379134.26309770124</v>
      </c>
      <c r="AR16" s="546">
        <f>IFERROR(AQ16/(AQ$9+AQ$10),0)</f>
        <v>0.30071811682800487</v>
      </c>
      <c r="AS16" s="87">
        <f>SUMIF('TB Apr 24'!$D$13:$D$103,'MIS Apr24'!$B16,'TB Apr 24'!AA$13:AA$103)</f>
        <v>509269.27145419095</v>
      </c>
      <c r="AT16" s="546">
        <f>IFERROR(AS16/(AS$9+AS$10),0)</f>
        <v>0.29518770747190265</v>
      </c>
      <c r="AU16" s="87">
        <f>SUMIF('TB Apr 24'!$D$13:$D$103,'MIS Apr24'!$B16,'TB Apr 24'!AB$13:AB$103)</f>
        <v>0</v>
      </c>
      <c r="AV16" s="546">
        <f>IFERROR(AU16/(AU$9+AU$10),0)</f>
        <v>0</v>
      </c>
      <c r="AW16" s="87">
        <f>SUMIF('TB Apr 24'!$D$13:$D$103,'MIS Apr24'!$B16,'TB Apr 24'!AC$13:AC$103)</f>
        <v>736269.55999999994</v>
      </c>
      <c r="AX16" s="546">
        <f>IFERROR(AW16/(AW$9+AW$10),0)</f>
        <v>0.32871130416782313</v>
      </c>
      <c r="AY16" s="87">
        <f>SUMIF('TB Apr 24'!$D$13:$D$103,'MIS Apr24'!$B16,'TB Apr 24'!AD$13:AD$103)</f>
        <v>1107188.2169805509</v>
      </c>
      <c r="AZ16" s="546">
        <f>IFERROR(AY16/(AY$9+AY$10),0)</f>
        <v>0.319070252409489</v>
      </c>
      <c r="BA16" s="87">
        <f>SUMIF('TB Apr 24'!$D$13:$D$103,'MIS Apr24'!$B16,'TB Apr 24'!AE$13:AE$103)</f>
        <v>181959.88704696088</v>
      </c>
      <c r="BB16" s="546">
        <f>IFERROR(BA16/(BA$9+BA$10),0)</f>
        <v>0.59842603937275096</v>
      </c>
      <c r="BC16" s="87">
        <f>SUMIF('TB Apr 24'!$D$13:$D$103,'MIS Apr24'!$B16,'TB Apr 24'!AF$13:AF$103)</f>
        <v>607737.23557812197</v>
      </c>
      <c r="BD16" s="546">
        <f>IFERROR(BC16/(BC$9+BC$10),0)</f>
        <v>0.42292599716727369</v>
      </c>
      <c r="BE16" s="87">
        <f>SUMIF('TB Apr 24'!$D$13:$D$103,'MIS Apr24'!$B16,'TB Apr 24'!AG$13:AG$103)</f>
        <v>498690.33</v>
      </c>
      <c r="BF16" s="546">
        <f>IFERROR(BE16/(BE$9+BE$10),0)</f>
        <v>0.33564025929994951</v>
      </c>
      <c r="BG16" s="87">
        <f>SUMIF('TB Apr 24'!$D$13:$D$103,'MIS Apr24'!$B16,'TB Apr 24'!AH$13:AH$103)</f>
        <v>640793.20870957593</v>
      </c>
      <c r="BH16" s="546">
        <f>IFERROR(BG16/(BG$9+BG$10),0)</f>
        <v>0.46021976596440389</v>
      </c>
      <c r="BI16" s="87">
        <f>SUMIF('TB Apr 24'!$D$13:$D$103,'MIS Apr24'!$B16,'TB Apr 24'!AI$13:AI$103)</f>
        <v>496620.55766666663</v>
      </c>
      <c r="BJ16" s="546">
        <f>IFERROR(BI16/(BI$9+BI$10),0)</f>
        <v>0.3278396246339314</v>
      </c>
      <c r="BK16" s="87">
        <f>SUMIF('TB Apr 24'!$D$13:$D$103,'MIS Apr24'!$B16,'TB Apr 24'!AJ$13:AJ$103)</f>
        <v>842393.92592045874</v>
      </c>
      <c r="BL16" s="546">
        <f>IFERROR(BK16/(BK$9+BK$10),0)</f>
        <v>0.47567025970104065</v>
      </c>
      <c r="BM16" s="87">
        <f>SUMIF('TB Apr 24'!$D$13:$D$103,'MIS Apr24'!$B16,'TB Apr 24'!AK$13:AK$103)</f>
        <v>0</v>
      </c>
      <c r="BN16" s="546">
        <f>IFERROR(BM16/(BM$9+BM$10),0)</f>
        <v>0</v>
      </c>
      <c r="BO16" s="87">
        <f>SUMIF('TB Apr 24'!$D$13:$D$103,'MIS Apr24'!$B16,'TB Apr 24'!AL$13:AL$103)</f>
        <v>0</v>
      </c>
      <c r="BP16" s="546">
        <f>IFERROR(BO16/(BO$9+BO$10),0)</f>
        <v>0</v>
      </c>
      <c r="BQ16" s="87">
        <f>SUMIF('TB Apr 24'!$D$13:$D$103,'MIS Apr24'!$B16,'TB Apr 24'!AM$13:AM$103)</f>
        <v>0</v>
      </c>
      <c r="BR16" s="546">
        <f>IFERROR(BQ16/(BQ$9+BQ$10),0)</f>
        <v>0</v>
      </c>
      <c r="BS16" s="87">
        <f>SUMIF('TB Apr 24'!$D$13:$D$103,'MIS Apr24'!$B16,'TB Apr 24'!AN$13:AN$103)</f>
        <v>0</v>
      </c>
      <c r="BT16" s="546">
        <f>IFERROR(BS16/(BS$9+BS$10),0)</f>
        <v>0</v>
      </c>
      <c r="BU16" s="87">
        <f>SUMIF('TB Apr 24'!$D$13:$D$103,'MIS Apr24'!$B16,'TB Apr 24'!AO$13:AO$103)</f>
        <v>1226114.3706559343</v>
      </c>
      <c r="BV16" s="546">
        <f>IFERROR(BU16/(BU$9+BU$10),0)</f>
        <v>0.34350310549276525</v>
      </c>
      <c r="BW16" s="87">
        <f>SUMIF('TB Apr 24'!$D$13:$D$103,'MIS Apr24'!$B16,'TB Apr 24'!AP$13:AP$103)</f>
        <v>747120.91500000004</v>
      </c>
      <c r="BX16" s="546">
        <f>IFERROR(BW16/(BW$9+BW$10),0)</f>
        <v>3.3619415782818627</v>
      </c>
      <c r="BY16" s="87">
        <f>SUMIF('TB Apr 24'!$D$13:$D$103,'MIS Apr24'!$B16,'TB Apr 24'!AQ$13:AQ$103)</f>
        <v>0</v>
      </c>
      <c r="BZ16" s="546">
        <f>IFERROR(BY16/(BY$9+BY$10),0)</f>
        <v>0</v>
      </c>
      <c r="CA16" s="87">
        <f>SUMIF('TB Apr 24'!$D$13:$D$103,'MIS Apr24'!$B16,'TB Apr 24'!AR$13:AR$103)</f>
        <v>1219422.3148638785</v>
      </c>
      <c r="CB16" s="546">
        <f>IFERROR(CA16/(CA$9+CA$10),0)</f>
        <v>0.26279425227547742</v>
      </c>
      <c r="CC16" s="87">
        <f>SUMIF('TB Apr 24'!$D$13:$D$103,'MIS Apr24'!$B16,'TB Apr 24'!AS$13:AS$103)</f>
        <v>424492</v>
      </c>
      <c r="CD16" s="546">
        <f>IFERROR(CC16/(CC$9+CC$10),0)</f>
        <v>0.26916043574934667</v>
      </c>
      <c r="CE16" s="87">
        <f>SUMIF('TB Apr 24'!$D$13:$D$103,'MIS Apr24'!$B16,'TB Apr 24'!AT$13:AT$103)</f>
        <v>399836</v>
      </c>
      <c r="CF16" s="546">
        <f>IFERROR(CE16/(CE$9+CE$10),0)</f>
        <v>0.27867579942156073</v>
      </c>
      <c r="CG16" s="87">
        <f>SUMIF('TB Apr 24'!$D$13:$D$103,'MIS Apr24'!$B16,'TB Apr 24'!AU$13:AU$103)</f>
        <v>0</v>
      </c>
      <c r="CH16" s="546">
        <f>IFERROR(CG16/(CG$9+CG$10),0)</f>
        <v>0</v>
      </c>
      <c r="CI16" s="87">
        <f>SUMIF('TB Apr 24'!$D$13:$D$103,'MIS Apr24'!$B16,'TB Apr 24'!AV$13:AV$103)</f>
        <v>287507</v>
      </c>
      <c r="CJ16" s="546">
        <f>IFERROR(CI16/(CI$9+CI$10),0)</f>
        <v>0.28384320022484177</v>
      </c>
      <c r="CK16" s="87">
        <f>SUMIF('TB Apr 24'!$D$13:$D$103,'MIS Apr24'!$B16,'TB Apr 24'!AW$13:AW$103)</f>
        <v>498528</v>
      </c>
      <c r="CL16" s="546">
        <f>IFERROR(CK16/(CK$9+CK$10),0)</f>
        <v>0.2844214101461619</v>
      </c>
      <c r="CM16" s="87">
        <f>SUMIF('TB Apr 24'!$D$13:$D$103,'MIS Apr24'!$B16,'TB Apr 24'!AX$13:AX$103)</f>
        <v>290687.07309305889</v>
      </c>
      <c r="CN16" s="546">
        <f>IFERROR(CM16/(CM$9+CM$10),0)</f>
        <v>0.27618150928938806</v>
      </c>
      <c r="CO16" s="87">
        <f>SUMIF('TB Apr 24'!$D$13:$D$103,'MIS Apr24'!$B16,'TB Apr 24'!AY$13:AY$103)</f>
        <v>0</v>
      </c>
      <c r="CP16" s="546">
        <f>IFERROR(CO16/(CO$9+CO$10),0)</f>
        <v>0</v>
      </c>
      <c r="CQ16" s="87">
        <f>SUMIF('TB Apr 24'!$D$13:$D$103,'MIS Apr24'!$B16,'TB Apr 24'!AZ$13:AZ$103)</f>
        <v>0</v>
      </c>
      <c r="CR16" s="546">
        <f>IFERROR(CQ16/(CQ$9+CQ$10),0)</f>
        <v>0</v>
      </c>
      <c r="CS16" s="87">
        <f>SUMIF('TB Apr 24'!$D$13:$D$103,'MIS Apr24'!$B16,'TB Apr 24'!BA$13:BA$103)</f>
        <v>1256073.0853049406</v>
      </c>
      <c r="CT16" s="546">
        <f>IFERROR(CS16/(CS$9+CS$10),0)</f>
        <v>0.55106125867235523</v>
      </c>
      <c r="CU16" s="87">
        <f>SUMIF('TB Apr 24'!$D$13:$D$103,'MIS Apr24'!$B16,'TB Apr 24'!BB$13:BB$103)</f>
        <v>345971.58299999993</v>
      </c>
      <c r="CV16" s="546">
        <f>IFERROR(CU16/(CU$9+CU$10),0)</f>
        <v>0.29935476049591547</v>
      </c>
      <c r="CW16" s="87">
        <f>SUMIF('TB Apr 24'!$D$13:$D$103,'MIS Apr24'!$B16,'TB Apr 24'!BC$13:BC$103)</f>
        <v>1029310.1349999992</v>
      </c>
      <c r="CX16" s="546">
        <f>IFERROR(CW16/(CW$9+CW$10),0)</f>
        <v>0.30361948501232533</v>
      </c>
      <c r="CY16" s="87">
        <f>SUMIF('TB Apr 24'!$D$13:$D$103,'MIS Apr24'!$B16,'TB Apr 24'!BD$13:BD$103)</f>
        <v>164896.25111067755</v>
      </c>
      <c r="CZ16" s="546">
        <f>IFERROR(CY16/(CY$9+CY$10),0)</f>
        <v>0.30627321824927195</v>
      </c>
      <c r="DA16" s="87">
        <f>SUMIF('TB Apr 24'!$D$13:$D$103,'MIS Apr24'!$B16,'TB Apr 24'!O$13:O$103)</f>
        <v>0</v>
      </c>
      <c r="DB16" s="546">
        <f>IFERROR(DA16/(DA$9+DA$10),0)</f>
        <v>0</v>
      </c>
      <c r="DC16" s="87">
        <f>SUM(C16,E16,I16,K16,M16,O16,S16,U16,AA16,AC16,AG16,AK16,AM16,AO16,AQ16,AS16,AW16,AY16,BA16,BC16,BE16,BG16,BI16,BK16,BU16,BW16,CA16,CC16,CE16,CI16,CK16,CM16,CS16,CU16,CW16,CY16,DA16)</f>
        <v>22040487.953457717</v>
      </c>
      <c r="DD16" s="546">
        <f>IFERROR(DC16/(DC$9+DC$10),0)</f>
        <v>0.34349880196267024</v>
      </c>
      <c r="DE16" s="87"/>
      <c r="DF16" s="546">
        <f>IFERROR(DE16/(DE$9+DE$10),0)</f>
        <v>0</v>
      </c>
      <c r="DG16" s="87">
        <f>DE16-DC16</f>
        <v>-22040487.953457717</v>
      </c>
      <c r="DH16" s="546">
        <f>IFERROR(DG16/(DG$9+DG$10),0)</f>
        <v>0.34349880196267024</v>
      </c>
      <c r="DI16" s="345"/>
    </row>
    <row r="17" spans="2:115" outlineLevel="1" x14ac:dyDescent="0.35">
      <c r="B17" s="41" t="s">
        <v>255</v>
      </c>
      <c r="C17" s="87">
        <f>SUMIF('TB Apr 24'!$D$13:$D$103,'MIS Apr24'!$B17,'TB Apr 24'!E$13:E$103)</f>
        <v>0</v>
      </c>
      <c r="D17" s="546">
        <f>IFERROR(C17/C$10,0)</f>
        <v>0</v>
      </c>
      <c r="E17" s="87">
        <f>SUMIF('TB Apr 24'!$D$13:$D$103,'MIS Apr24'!$B17,'TB Apr 24'!F$13:F$103)</f>
        <v>0</v>
      </c>
      <c r="F17" s="546">
        <f>IFERROR(E17/E$10,0)</f>
        <v>0</v>
      </c>
      <c r="G17" s="87">
        <f>SUMIF('TB Apr 24'!$D$13:$D$103,'MIS Apr24'!$B17,'TB Apr 24'!G$13:G$103)</f>
        <v>0</v>
      </c>
      <c r="H17" s="546">
        <f>IFERROR(G17/G$10,0)</f>
        <v>0</v>
      </c>
      <c r="I17" s="87">
        <f>SUMIF('TB Apr 24'!$D$13:$D$103,'MIS Apr24'!$B17,'TB Apr 24'!H$13:H$103)</f>
        <v>0</v>
      </c>
      <c r="J17" s="546">
        <f>IFERROR(I17/I$10,0)</f>
        <v>0</v>
      </c>
      <c r="K17" s="87">
        <f>SUMIF('TB Apr 24'!$D$13:$D$103,'MIS Apr24'!$B17,'TB Apr 24'!I$13:I$103)</f>
        <v>0</v>
      </c>
      <c r="L17" s="546">
        <f>IFERROR(K17/K$10,0)</f>
        <v>0</v>
      </c>
      <c r="M17" s="87">
        <f>SUMIF('TB Apr 24'!$D$13:$D$103,'MIS Apr24'!$B17,'TB Apr 24'!J$13:J$103)</f>
        <v>0</v>
      </c>
      <c r="N17" s="546">
        <f>IFERROR(M17/M$10,0)</f>
        <v>0</v>
      </c>
      <c r="O17" s="87">
        <f>SUMIF('TB Apr 24'!$D$13:$D$103,'MIS Apr24'!$B17,'TB Apr 24'!K$13:K$103)</f>
        <v>0</v>
      </c>
      <c r="P17" s="546">
        <f>IFERROR(O17/O$10,0)</f>
        <v>0</v>
      </c>
      <c r="Q17" s="87">
        <f>SUMIF('TB Apr 24'!$D$13:$D$103,'MIS Apr24'!$B17,'TB Apr 24'!L$13:L$103)</f>
        <v>0</v>
      </c>
      <c r="R17" s="546">
        <f>IFERROR(Q17/Q$10,0)</f>
        <v>0</v>
      </c>
      <c r="S17" s="87">
        <f>SUMIF('TB Apr 24'!$D$13:$D$103,'MIS Apr24'!$B17,'TB Apr 24'!M$13:M$103)</f>
        <v>0</v>
      </c>
      <c r="T17" s="546">
        <f>IFERROR(S17/S$10,0)</f>
        <v>0</v>
      </c>
      <c r="U17" s="87">
        <f>SUMIF('TB Apr 24'!$D$13:$D$103,'MIS Apr24'!$B17,'TB Apr 24'!N$13:N$103)</f>
        <v>0</v>
      </c>
      <c r="V17" s="546">
        <f>IFERROR(U17/U$10,0)</f>
        <v>0</v>
      </c>
      <c r="W17" s="87">
        <f>SUMIF('TB Apr 24'!$D$13:$D$103,'MIS Apr24'!$B17,'TB Apr 24'!P$13:P$103)</f>
        <v>0</v>
      </c>
      <c r="X17" s="546">
        <f>IFERROR(W17/W$10,0)</f>
        <v>0</v>
      </c>
      <c r="Y17" s="87">
        <f>SUMIF('TB Apr 24'!$D$13:$D$103,'MIS Apr24'!$B17,'TB Apr 24'!Q$13:Q$103)</f>
        <v>0</v>
      </c>
      <c r="Z17" s="546">
        <f>IFERROR(Y17/Y$10,0)</f>
        <v>0</v>
      </c>
      <c r="AA17" s="87">
        <f>SUMIF('TB Apr 24'!$D$13:$D$103,'MIS Apr24'!$B17,'TB Apr 24'!R$13:R$103)</f>
        <v>0</v>
      </c>
      <c r="AB17" s="546">
        <f>IFERROR(AA17/AA$10,0)</f>
        <v>0</v>
      </c>
      <c r="AC17" s="87">
        <f>SUMIF('TB Apr 24'!$D$13:$D$103,'MIS Apr24'!$B17,'TB Apr 24'!S$13:S$103)</f>
        <v>0</v>
      </c>
      <c r="AD17" s="546">
        <f>IFERROR(AC17/AC$10,0)</f>
        <v>0</v>
      </c>
      <c r="AE17" s="87">
        <f>SUMIF('TB Apr 24'!$D$13:$D$103,'MIS Apr24'!$B17,'TB Apr 24'!T$13:T$103)</f>
        <v>0</v>
      </c>
      <c r="AF17" s="546">
        <f>IFERROR(AE17/AE$10,0)</f>
        <v>0</v>
      </c>
      <c r="AG17" s="87">
        <f>SUMIF('TB Apr 24'!$D$13:$D$103,'MIS Apr24'!$B17,'TB Apr 24'!U$13:U$103)</f>
        <v>0</v>
      </c>
      <c r="AH17" s="546">
        <f>IFERROR(AG17/AG$10,0)</f>
        <v>0</v>
      </c>
      <c r="AI17" s="87">
        <f>SUMIF('TB Apr 24'!$D$13:$D$103,'MIS Apr24'!$B17,'TB Apr 24'!V$13:V$103)</f>
        <v>0</v>
      </c>
      <c r="AJ17" s="546">
        <f>IFERROR(AI17/AI$10,0)</f>
        <v>0</v>
      </c>
      <c r="AK17" s="87">
        <f>SUMIF('TB Apr 24'!$D$13:$D$103,'MIS Apr24'!$B17,'TB Apr 24'!W$13:W$103)</f>
        <v>0</v>
      </c>
      <c r="AL17" s="546">
        <f>IFERROR(AK17/AK$10,0)</f>
        <v>0</v>
      </c>
      <c r="AM17" s="87">
        <f>SUMIF('TB Apr 24'!$D$13:$D$103,'MIS Apr24'!$B17,'TB Apr 24'!X$13:X$103)</f>
        <v>0</v>
      </c>
      <c r="AN17" s="546">
        <f>IFERROR(AM17/AM$10,0)</f>
        <v>0</v>
      </c>
      <c r="AO17" s="87">
        <f>SUMIF('TB Apr 24'!$D$13:$D$103,'MIS Apr24'!$B17,'TB Apr 24'!Y$13:Y$103)</f>
        <v>0</v>
      </c>
      <c r="AP17" s="546">
        <f>IFERROR(AO17/AO$10,0)</f>
        <v>0</v>
      </c>
      <c r="AQ17" s="87">
        <f>SUMIF('TB Apr 24'!$D$13:$D$103,'MIS Apr24'!$B17,'TB Apr 24'!Z$13:Z$103)</f>
        <v>0</v>
      </c>
      <c r="AR17" s="546">
        <f>IFERROR(AQ17/AQ$10,0)</f>
        <v>0</v>
      </c>
      <c r="AS17" s="87">
        <f>SUMIF('TB Apr 24'!$D$13:$D$103,'MIS Apr24'!$B17,'TB Apr 24'!AA$13:AA$103)</f>
        <v>0</v>
      </c>
      <c r="AT17" s="546">
        <f>IFERROR(AS17/AS$10,0)</f>
        <v>0</v>
      </c>
      <c r="AU17" s="87">
        <f>SUMIF('TB Apr 24'!$D$13:$D$103,'MIS Apr24'!$B17,'TB Apr 24'!AB$13:AB$103)</f>
        <v>0</v>
      </c>
      <c r="AV17" s="546">
        <f>IFERROR(AU17/AU$10,0)</f>
        <v>0</v>
      </c>
      <c r="AW17" s="87">
        <f>SUMIF('TB Apr 24'!$D$13:$D$103,'MIS Apr24'!$B17,'TB Apr 24'!AC$13:AC$103)</f>
        <v>0</v>
      </c>
      <c r="AX17" s="546">
        <f>IFERROR(AW17/AW$10,0)</f>
        <v>0</v>
      </c>
      <c r="AY17" s="87">
        <f>SUMIF('TB Apr 24'!$D$13:$D$103,'MIS Apr24'!$B17,'TB Apr 24'!AD$13:AD$103)</f>
        <v>0</v>
      </c>
      <c r="AZ17" s="546">
        <f>IFERROR(AY17/AY$10,0)</f>
        <v>0</v>
      </c>
      <c r="BA17" s="87">
        <f>SUMIF('TB Apr 24'!$D$13:$D$103,'MIS Apr24'!$B17,'TB Apr 24'!AE$13:AE$103)</f>
        <v>0</v>
      </c>
      <c r="BB17" s="546">
        <f>IFERROR(BA17/BA$10,0)</f>
        <v>0</v>
      </c>
      <c r="BC17" s="87">
        <f>SUMIF('TB Apr 24'!$D$13:$D$103,'MIS Apr24'!$B17,'TB Apr 24'!AF$13:AF$103)</f>
        <v>0</v>
      </c>
      <c r="BD17" s="546">
        <f>IFERROR(BC17/BC$10,0)</f>
        <v>0</v>
      </c>
      <c r="BE17" s="87">
        <f>SUMIF('TB Apr 24'!$D$13:$D$103,'MIS Apr24'!$B17,'TB Apr 24'!AG$13:AG$103)</f>
        <v>0</v>
      </c>
      <c r="BF17" s="546">
        <f>IFERROR(BE17/BE$10,0)</f>
        <v>0</v>
      </c>
      <c r="BG17" s="87">
        <f>SUMIF('TB Apr 24'!$D$13:$D$103,'MIS Apr24'!$B17,'TB Apr 24'!AH$13:AH$103)</f>
        <v>0</v>
      </c>
      <c r="BH17" s="546">
        <f>IFERROR(BG17/BG$10,0)</f>
        <v>0</v>
      </c>
      <c r="BI17" s="87">
        <f>SUMIF('TB Apr 24'!$D$13:$D$103,'MIS Apr24'!$B17,'TB Apr 24'!AI$13:AI$103)</f>
        <v>0</v>
      </c>
      <c r="BJ17" s="546">
        <f>IFERROR(BI17/BI$10,0)</f>
        <v>0</v>
      </c>
      <c r="BK17" s="87">
        <f>SUMIF('TB Apr 24'!$D$13:$D$103,'MIS Apr24'!$B17,'TB Apr 24'!AJ$13:AJ$103)</f>
        <v>0</v>
      </c>
      <c r="BL17" s="546">
        <f>IFERROR(BK17/BK$10,0)</f>
        <v>0</v>
      </c>
      <c r="BM17" s="87">
        <f>SUMIF('TB Apr 24'!$D$13:$D$103,'MIS Apr24'!$B17,'TB Apr 24'!AK$13:AK$103)</f>
        <v>0</v>
      </c>
      <c r="BN17" s="546">
        <f>IFERROR(BM17/BM$10,0)</f>
        <v>0</v>
      </c>
      <c r="BO17" s="87">
        <f>SUMIF('TB Apr 24'!$D$13:$D$103,'MIS Apr24'!$B17,'TB Apr 24'!AL$13:AL$103)</f>
        <v>0</v>
      </c>
      <c r="BP17" s="546">
        <f>IFERROR(BO17/BO$10,0)</f>
        <v>0</v>
      </c>
      <c r="BQ17" s="87">
        <f>SUMIF('TB Apr 24'!$D$13:$D$103,'MIS Apr24'!$B17,'TB Apr 24'!AM$13:AM$103)</f>
        <v>0</v>
      </c>
      <c r="BR17" s="546">
        <f>IFERROR(BQ17/BQ$10,0)</f>
        <v>0</v>
      </c>
      <c r="BS17" s="87">
        <f>SUMIF('TB Apr 24'!$D$13:$D$103,'MIS Apr24'!$B17,'TB Apr 24'!AN$13:AN$103)</f>
        <v>0</v>
      </c>
      <c r="BT17" s="546">
        <f>IFERROR(BS17/BS$10,0)</f>
        <v>0</v>
      </c>
      <c r="BU17" s="87">
        <f>SUMIF('TB Apr 24'!$D$13:$D$103,'MIS Apr24'!$B17,'TB Apr 24'!AO$13:AO$103)</f>
        <v>0</v>
      </c>
      <c r="BV17" s="546">
        <f>IFERROR(BU17/BU$10,0)</f>
        <v>0</v>
      </c>
      <c r="BW17" s="87">
        <f>SUMIF('TB Apr 24'!$D$13:$D$103,'MIS Apr24'!$B17,'TB Apr 24'!AP$13:AP$103)</f>
        <v>0</v>
      </c>
      <c r="BX17" s="546">
        <f>IFERROR(BW17/BW$10,0)</f>
        <v>0</v>
      </c>
      <c r="BY17" s="87">
        <f>SUMIF('TB Apr 24'!$D$13:$D$103,'MIS Apr24'!$B17,'TB Apr 24'!AQ$13:AQ$103)</f>
        <v>0</v>
      </c>
      <c r="BZ17" s="546">
        <f>IFERROR(BY17/BY$10,0)</f>
        <v>0</v>
      </c>
      <c r="CA17" s="87">
        <f>SUMIF('TB Apr 24'!$D$13:$D$103,'MIS Apr24'!$B17,'TB Apr 24'!AR$13:AR$103)</f>
        <v>0</v>
      </c>
      <c r="CB17" s="546">
        <f>IFERROR(CA17/CA$10,0)</f>
        <v>0</v>
      </c>
      <c r="CC17" s="87">
        <f>SUMIF('TB Apr 24'!$D$13:$D$103,'MIS Apr24'!$B17,'TB Apr 24'!AS$13:AS$103)</f>
        <v>0</v>
      </c>
      <c r="CD17" s="546">
        <f>IFERROR(CC17/CC$10,0)</f>
        <v>0</v>
      </c>
      <c r="CE17" s="87">
        <f>SUMIF('TB Apr 24'!$D$13:$D$103,'MIS Apr24'!$B17,'TB Apr 24'!AT$13:AT$103)</f>
        <v>0</v>
      </c>
      <c r="CF17" s="546">
        <f>IFERROR(CE17/CE$10,0)</f>
        <v>0</v>
      </c>
      <c r="CG17" s="87">
        <f>SUMIF('TB Apr 24'!$D$13:$D$103,'MIS Apr24'!$B17,'TB Apr 24'!AU$13:AU$103)</f>
        <v>0</v>
      </c>
      <c r="CH17" s="546">
        <f>IFERROR(CG17/CG$10,0)</f>
        <v>0</v>
      </c>
      <c r="CI17" s="87">
        <f>SUMIF('TB Apr 24'!$D$13:$D$103,'MIS Apr24'!$B17,'TB Apr 24'!AV$13:AV$103)</f>
        <v>0</v>
      </c>
      <c r="CJ17" s="546">
        <f>IFERROR(CI17/CI$10,0)</f>
        <v>0</v>
      </c>
      <c r="CK17" s="87">
        <f>SUMIF('TB Apr 24'!$D$13:$D$103,'MIS Apr24'!$B17,'TB Apr 24'!AW$13:AW$103)</f>
        <v>0</v>
      </c>
      <c r="CL17" s="546">
        <f>IFERROR(CK17/CK$10,0)</f>
        <v>0</v>
      </c>
      <c r="CM17" s="87">
        <f>SUMIF('TB Apr 24'!$D$13:$D$103,'MIS Apr24'!$B17,'TB Apr 24'!AX$13:AX$103)</f>
        <v>0</v>
      </c>
      <c r="CN17" s="546">
        <f>IFERROR(CM17/CM$10,0)</f>
        <v>0</v>
      </c>
      <c r="CO17" s="87">
        <f>SUMIF('TB Apr 24'!$D$13:$D$103,'MIS Apr24'!$B17,'TB Apr 24'!AY$13:AY$103)</f>
        <v>0</v>
      </c>
      <c r="CP17" s="546">
        <f>IFERROR(CO17/CO$10,0)</f>
        <v>0</v>
      </c>
      <c r="CQ17" s="87">
        <f>SUMIF('TB Apr 24'!$D$13:$D$103,'MIS Apr24'!$B17,'TB Apr 24'!AZ$13:AZ$103)</f>
        <v>0</v>
      </c>
      <c r="CR17" s="546">
        <f>IFERROR(CQ17/CQ$10,0)</f>
        <v>0</v>
      </c>
      <c r="CS17" s="87">
        <f>SUMIF('TB Apr 24'!$D$13:$D$103,'MIS Apr24'!$B17,'TB Apr 24'!BA$13:BA$103)</f>
        <v>0</v>
      </c>
      <c r="CT17" s="546">
        <f>IFERROR(CS17/CS$10,0)</f>
        <v>0</v>
      </c>
      <c r="CU17" s="87">
        <f>SUMIF('TB Apr 24'!$D$13:$D$103,'MIS Apr24'!$B17,'TB Apr 24'!BB$13:BB$103)</f>
        <v>0</v>
      </c>
      <c r="CV17" s="546">
        <f>IFERROR(CU17/CU$10,0)</f>
        <v>0</v>
      </c>
      <c r="CW17" s="87">
        <f>SUMIF('TB Apr 24'!$D$13:$D$103,'MIS Apr24'!$B17,'TB Apr 24'!BC$13:BC$103)</f>
        <v>0</v>
      </c>
      <c r="CX17" s="546">
        <f>IFERROR(CW17/CW$10,0)</f>
        <v>0</v>
      </c>
      <c r="CY17" s="87">
        <f>SUMIF('TB Apr 24'!$D$13:$D$103,'MIS Apr24'!$B17,'TB Apr 24'!BD$13:BD$103)</f>
        <v>0</v>
      </c>
      <c r="CZ17" s="546">
        <f>IFERROR(CY17/CY$10,0)</f>
        <v>0</v>
      </c>
      <c r="DA17" s="87">
        <f>SUMIF('TB Apr 24'!$D$13:$D$103,'MIS Apr24'!$B17,'TB Apr 24'!O$13:O$103)</f>
        <v>0</v>
      </c>
      <c r="DB17" s="546">
        <f>IFERROR(DA17/DA$10,0)</f>
        <v>0</v>
      </c>
      <c r="DC17" s="87">
        <f>SUM(C17,E17,I17,K17,M17,O17,S17,U17,AA17,AC17,AG17,AK17,AM17,AO17,AQ17,AS17,AW17,AY17,BA17,BC17,BE17,BG17,BI17,BK17,BU17,BW17,CA17,CC17,CE17,CI17,CK17,CM17,CS17,CU17,CW17,CY17,DA17)</f>
        <v>0</v>
      </c>
      <c r="DD17" s="546">
        <f>IFERROR(DC17/DC$10,0)</f>
        <v>0</v>
      </c>
      <c r="DE17" s="87"/>
      <c r="DF17" s="546">
        <f>IFERROR(DE17/DE$10,0)</f>
        <v>0</v>
      </c>
      <c r="DG17" s="87">
        <f>DE17-DC17</f>
        <v>0</v>
      </c>
      <c r="DH17" s="546">
        <f>IFERROR(DG17/DG$10,0)</f>
        <v>0</v>
      </c>
    </row>
    <row r="18" spans="2:115" outlineLevel="1" x14ac:dyDescent="0.35">
      <c r="B18" s="41" t="s">
        <v>256</v>
      </c>
      <c r="C18" s="87">
        <f>SUMIF('TB Apr 24'!$D$13:$D$103,'MIS Apr24'!$B18,'TB Apr 24'!E$13:E$103)</f>
        <v>0</v>
      </c>
      <c r="D18" s="546">
        <f>IFERROR(C18/C$11,0)</f>
        <v>0</v>
      </c>
      <c r="E18" s="87">
        <f>SUMIF('TB Apr 24'!$D$13:$D$103,'MIS Apr24'!$B18,'TB Apr 24'!F$13:F$103)</f>
        <v>0</v>
      </c>
      <c r="F18" s="546">
        <f>IFERROR(E18/E$11,0)</f>
        <v>0</v>
      </c>
      <c r="G18" s="87">
        <f>SUMIF('TB Apr 24'!$D$13:$D$103,'MIS Apr24'!$B18,'TB Apr 24'!G$13:G$103)</f>
        <v>0</v>
      </c>
      <c r="H18" s="546">
        <f>IFERROR(G18/G$11,0)</f>
        <v>0</v>
      </c>
      <c r="I18" s="87">
        <f>SUMIF('TB Apr 24'!$D$13:$D$103,'MIS Apr24'!$B18,'TB Apr 24'!H$13:H$103)</f>
        <v>0</v>
      </c>
      <c r="J18" s="546">
        <f>IFERROR(I18/I$11,0)</f>
        <v>0</v>
      </c>
      <c r="K18" s="87">
        <f>SUMIF('TB Apr 24'!$D$13:$D$103,'MIS Apr24'!$B18,'TB Apr 24'!I$13:I$103)</f>
        <v>0</v>
      </c>
      <c r="L18" s="546">
        <f>IFERROR(K18/K$11,0)</f>
        <v>0</v>
      </c>
      <c r="M18" s="87">
        <f>SUMIF('TB Apr 24'!$D$13:$D$103,'MIS Apr24'!$B18,'TB Apr 24'!J$13:J$103)</f>
        <v>145918.27739999999</v>
      </c>
      <c r="N18" s="546">
        <f>IFERROR(M18/M$11,0)</f>
        <v>0.40677082207814841</v>
      </c>
      <c r="O18" s="87">
        <f>SUMIF('TB Apr 24'!$D$13:$D$103,'MIS Apr24'!$B18,'TB Apr 24'!K$13:K$103)</f>
        <v>245029.75589999996</v>
      </c>
      <c r="P18" s="546">
        <f>IFERROR(O18/O$11,0)</f>
        <v>0.41229181711737783</v>
      </c>
      <c r="Q18" s="87">
        <f>SUMIF('TB Apr 24'!$D$13:$D$103,'MIS Apr24'!$B18,'TB Apr 24'!L$13:L$103)</f>
        <v>0</v>
      </c>
      <c r="R18" s="546">
        <f>IFERROR(Q18/Q$11,0)</f>
        <v>0</v>
      </c>
      <c r="S18" s="87">
        <f>SUMIF('TB Apr 24'!$D$13:$D$103,'MIS Apr24'!$B18,'TB Apr 24'!M$13:M$103)</f>
        <v>670119.7062104037</v>
      </c>
      <c r="T18" s="546">
        <f>IFERROR(S18/S$11,0)</f>
        <v>0.41741710328922838</v>
      </c>
      <c r="U18" s="87">
        <f>SUMIF('TB Apr 24'!$D$13:$D$103,'MIS Apr24'!$B18,'TB Apr 24'!N$13:N$103)</f>
        <v>139575.54809999999</v>
      </c>
      <c r="V18" s="546">
        <f>IFERROR(U18/U$11,0)</f>
        <v>0.41416321999355854</v>
      </c>
      <c r="W18" s="87">
        <f>SUMIF('TB Apr 24'!$D$13:$D$103,'MIS Apr24'!$B18,'TB Apr 24'!P$13:P$103)</f>
        <v>0</v>
      </c>
      <c r="X18" s="546">
        <f>IFERROR(W18/W$11,0)</f>
        <v>0</v>
      </c>
      <c r="Y18" s="87">
        <f>SUMIF('TB Apr 24'!$D$13:$D$103,'MIS Apr24'!$B18,'TB Apr 24'!Q$13:Q$103)</f>
        <v>0</v>
      </c>
      <c r="Z18" s="546">
        <f>IFERROR(Y18/Y$11,0)</f>
        <v>0</v>
      </c>
      <c r="AA18" s="87">
        <f>SUMIF('TB Apr 24'!$D$13:$D$103,'MIS Apr24'!$B18,'TB Apr 24'!R$13:R$103)</f>
        <v>0</v>
      </c>
      <c r="AB18" s="546">
        <f>IFERROR(AA18/AA$11,0)</f>
        <v>0</v>
      </c>
      <c r="AC18" s="87">
        <f>SUMIF('TB Apr 24'!$D$13:$D$103,'MIS Apr24'!$B18,'TB Apr 24'!S$13:S$103)</f>
        <v>298739.58440780931</v>
      </c>
      <c r="AD18" s="546">
        <f>IFERROR(AC18/AC$11,0)</f>
        <v>0.33830401960273659</v>
      </c>
      <c r="AE18" s="87">
        <f>SUMIF('TB Apr 24'!$D$13:$D$103,'MIS Apr24'!$B18,'TB Apr 24'!T$13:T$103)</f>
        <v>0</v>
      </c>
      <c r="AF18" s="546">
        <f>IFERROR(AE18/AE$11,0)</f>
        <v>0</v>
      </c>
      <c r="AG18" s="87">
        <f>SUMIF('TB Apr 24'!$D$13:$D$103,'MIS Apr24'!$B18,'TB Apr 24'!U$13:U$103)</f>
        <v>0</v>
      </c>
      <c r="AH18" s="546">
        <f>IFERROR(AG18/AG$11,0)</f>
        <v>0</v>
      </c>
      <c r="AI18" s="87">
        <f>SUMIF('TB Apr 24'!$D$13:$D$103,'MIS Apr24'!$B18,'TB Apr 24'!V$13:V$103)</f>
        <v>0</v>
      </c>
      <c r="AJ18" s="546">
        <f>IFERROR(AI18/AI$11,0)</f>
        <v>0</v>
      </c>
      <c r="AK18" s="87">
        <f>SUMIF('TB Apr 24'!$D$13:$D$103,'MIS Apr24'!$B18,'TB Apr 24'!W$13:W$103)</f>
        <v>117833</v>
      </c>
      <c r="AL18" s="546">
        <f>IFERROR(AK18/AK$11,0)</f>
        <v>0.39642998036505345</v>
      </c>
      <c r="AM18" s="87">
        <f>SUMIF('TB Apr 24'!$D$13:$D$103,'MIS Apr24'!$B18,'TB Apr 24'!X$13:X$103)</f>
        <v>164653.5</v>
      </c>
      <c r="AN18" s="546">
        <f>IFERROR(AM18/AM$11,0)</f>
        <v>0.40428528877006753</v>
      </c>
      <c r="AO18" s="87">
        <f>SUMIF('TB Apr 24'!$D$13:$D$103,'MIS Apr24'!$B18,'TB Apr 24'!Y$13:Y$103)</f>
        <v>57633</v>
      </c>
      <c r="AP18" s="546">
        <f>IFERROR(AO18/AO$11,0)</f>
        <v>0.36289290494092352</v>
      </c>
      <c r="AQ18" s="87">
        <f>SUMIF('TB Apr 24'!$D$13:$D$103,'MIS Apr24'!$B18,'TB Apr 24'!Z$13:Z$103)</f>
        <v>43488.571733333316</v>
      </c>
      <c r="AR18" s="546">
        <f>IFERROR(AQ18/AQ$11,0)</f>
        <v>0.40406185846066162</v>
      </c>
      <c r="AS18" s="87">
        <f>SUMIF('TB Apr 24'!$D$13:$D$103,'MIS Apr24'!$B18,'TB Apr 24'!AA$13:AA$103)</f>
        <v>0</v>
      </c>
      <c r="AT18" s="546">
        <f>IFERROR(AS18/AS$11,0)</f>
        <v>0</v>
      </c>
      <c r="AU18" s="87">
        <f>SUMIF('TB Apr 24'!$D$13:$D$103,'MIS Apr24'!$B18,'TB Apr 24'!AB$13:AB$103)</f>
        <v>0</v>
      </c>
      <c r="AV18" s="546">
        <f>IFERROR(AU18/AU$11,0)</f>
        <v>0</v>
      </c>
      <c r="AW18" s="87">
        <f>SUMIF('TB Apr 24'!$D$13:$D$103,'MIS Apr24'!$B18,'TB Apr 24'!AC$13:AC$103)</f>
        <v>259713.79324991349</v>
      </c>
      <c r="AX18" s="546">
        <f>IFERROR(AW18/AW$11,0)</f>
        <v>0.22423255841995937</v>
      </c>
      <c r="AY18" s="87">
        <f>SUMIF('TB Apr 24'!$D$13:$D$103,'MIS Apr24'!$B18,'TB Apr 24'!AD$13:AD$103)</f>
        <v>80597.225986904872</v>
      </c>
      <c r="AZ18" s="546">
        <f>IFERROR(AY18/AY$11,0)</f>
        <v>0.2070166575468449</v>
      </c>
      <c r="BA18" s="87">
        <f>SUMIF('TB Apr 24'!$D$13:$D$103,'MIS Apr24'!$B18,'TB Apr 24'!AE$13:AE$103)</f>
        <v>1265.3599999999999</v>
      </c>
      <c r="BB18" s="546">
        <f>IFERROR(BA18/BA$11,0)</f>
        <v>0.38136226642555754</v>
      </c>
      <c r="BC18" s="87">
        <f>SUMIF('TB Apr 24'!$D$13:$D$103,'MIS Apr24'!$B18,'TB Apr 24'!AF$13:AF$103)</f>
        <v>91876.900000000023</v>
      </c>
      <c r="BD18" s="546">
        <f>IFERROR(BC18/BC$11,0)</f>
        <v>0.19606625077651305</v>
      </c>
      <c r="BE18" s="87">
        <f>SUMIF('TB Apr 24'!$D$13:$D$103,'MIS Apr24'!$B18,'TB Apr 24'!AG$13:AG$103)</f>
        <v>0</v>
      </c>
      <c r="BF18" s="546">
        <f>IFERROR(BE18/BE$11,0)</f>
        <v>0</v>
      </c>
      <c r="BG18" s="87">
        <f>SUMIF('TB Apr 24'!$D$13:$D$103,'MIS Apr24'!$B18,'TB Apr 24'!AH$13:AH$103)</f>
        <v>172855.42449111104</v>
      </c>
      <c r="BH18" s="546">
        <f>IFERROR(BG18/BG$11,0)</f>
        <v>0.53234242778628482</v>
      </c>
      <c r="BI18" s="87">
        <f>SUMIF('TB Apr 24'!$D$13:$D$103,'MIS Apr24'!$B18,'TB Apr 24'!AI$13:AI$103)</f>
        <v>23875.595999999998</v>
      </c>
      <c r="BJ18" s="546">
        <f>IFERROR(BI18/BI$11,0)</f>
        <v>8.6994616707096739E-2</v>
      </c>
      <c r="BK18" s="87">
        <f>SUMIF('TB Apr 24'!$D$13:$D$103,'MIS Apr24'!$B18,'TB Apr 24'!AJ$13:AJ$103)</f>
        <v>8104.1399999999994</v>
      </c>
      <c r="BL18" s="546">
        <f>IFERROR(BK18/BK$11,0)</f>
        <v>3.5678523216416132E-2</v>
      </c>
      <c r="BM18" s="87">
        <f>SUMIF('TB Apr 24'!$D$13:$D$103,'MIS Apr24'!$B18,'TB Apr 24'!AK$13:AK$103)</f>
        <v>0</v>
      </c>
      <c r="BN18" s="546">
        <f>IFERROR(BM18/BM$11,0)</f>
        <v>0</v>
      </c>
      <c r="BO18" s="87">
        <f>SUMIF('TB Apr 24'!$D$13:$D$103,'MIS Apr24'!$B18,'TB Apr 24'!AL$13:AL$103)</f>
        <v>0</v>
      </c>
      <c r="BP18" s="546">
        <f>IFERROR(BO18/BO$11,0)</f>
        <v>0</v>
      </c>
      <c r="BQ18" s="87">
        <f>SUMIF('TB Apr 24'!$D$13:$D$103,'MIS Apr24'!$B18,'TB Apr 24'!AM$13:AM$103)</f>
        <v>0</v>
      </c>
      <c r="BR18" s="546">
        <f>IFERROR(BQ18/BQ$11,0)</f>
        <v>0</v>
      </c>
      <c r="BS18" s="87">
        <f>SUMIF('TB Apr 24'!$D$13:$D$103,'MIS Apr24'!$B18,'TB Apr 24'!AN$13:AN$103)</f>
        <v>0</v>
      </c>
      <c r="BT18" s="546">
        <f>IFERROR(BS18/BS$11,0)</f>
        <v>0</v>
      </c>
      <c r="BU18" s="87">
        <f>SUMIF('TB Apr 24'!$D$13:$D$103,'MIS Apr24'!$B18,'TB Apr 24'!AO$13:AO$103)</f>
        <v>240607.10000000009</v>
      </c>
      <c r="BV18" s="546">
        <f>IFERROR(BU18/BU$11,0)</f>
        <v>0.25006203298902674</v>
      </c>
      <c r="BW18" s="87">
        <f>SUMIF('TB Apr 24'!$D$13:$D$103,'MIS Apr24'!$B18,'TB Apr 24'!AP$13:AP$103)</f>
        <v>0</v>
      </c>
      <c r="BX18" s="546">
        <f>IFERROR(BW18/BW$11,0)</f>
        <v>0</v>
      </c>
      <c r="BY18" s="87">
        <f>SUMIF('TB Apr 24'!$D$13:$D$103,'MIS Apr24'!$B18,'TB Apr 24'!AQ$13:AQ$103)</f>
        <v>0</v>
      </c>
      <c r="BZ18" s="546">
        <f>IFERROR(BY18/BY$11,0)</f>
        <v>0</v>
      </c>
      <c r="CA18" s="87">
        <f>SUMIF('TB Apr 24'!$D$13:$D$103,'MIS Apr24'!$B18,'TB Apr 24'!AR$13:AR$103)</f>
        <v>103818.18999999948</v>
      </c>
      <c r="CB18" s="546">
        <f>IFERROR(CA18/CA$11,0)</f>
        <v>0.17571983764300628</v>
      </c>
      <c r="CC18" s="87">
        <f>SUMIF('TB Apr 24'!$D$13:$D$103,'MIS Apr24'!$B18,'TB Apr 24'!AS$13:AS$103)</f>
        <v>97694</v>
      </c>
      <c r="CD18" s="546">
        <f>IFERROR(CC18/CC$11,0)</f>
        <v>0.23762656945935007</v>
      </c>
      <c r="CE18" s="87">
        <f>SUMIF('TB Apr 24'!$D$13:$D$103,'MIS Apr24'!$B18,'TB Apr 24'!AT$13:AT$103)</f>
        <v>68389</v>
      </c>
      <c r="CF18" s="546">
        <f>IFERROR(CE18/CE$11,0)</f>
        <v>0.39811746307623386</v>
      </c>
      <c r="CG18" s="87">
        <f>SUMIF('TB Apr 24'!$D$13:$D$103,'MIS Apr24'!$B18,'TB Apr 24'!AU$13:AU$103)</f>
        <v>0</v>
      </c>
      <c r="CH18" s="546">
        <f>IFERROR(CG18/CG$11,0)</f>
        <v>0</v>
      </c>
      <c r="CI18" s="87">
        <f>SUMIF('TB Apr 24'!$D$13:$D$103,'MIS Apr24'!$B18,'TB Apr 24'!AV$13:AV$103)</f>
        <v>481161</v>
      </c>
      <c r="CJ18" s="546">
        <f>IFERROR(CI18/CI$11,0)</f>
        <v>0.50493578001753858</v>
      </c>
      <c r="CK18" s="87">
        <f>SUMIF('TB Apr 24'!$D$13:$D$103,'MIS Apr24'!$B18,'TB Apr 24'!AW$13:AW$103)</f>
        <v>45852</v>
      </c>
      <c r="CL18" s="546">
        <f>IFERROR(CK18/CK$11,0)</f>
        <v>0.21128633620866824</v>
      </c>
      <c r="CM18" s="87">
        <f>SUMIF('TB Apr 24'!$D$13:$D$103,'MIS Apr24'!$B18,'TB Apr 24'!AX$13:AX$103)</f>
        <v>793.8</v>
      </c>
      <c r="CN18" s="546">
        <f>IFERROR(CM18/CM$11,0)</f>
        <v>0.29399999999999998</v>
      </c>
      <c r="CO18" s="87">
        <f>SUMIF('TB Apr 24'!$D$13:$D$103,'MIS Apr24'!$B18,'TB Apr 24'!AY$13:AY$103)</f>
        <v>0</v>
      </c>
      <c r="CP18" s="546">
        <f>IFERROR(CO18/CO$11,0)</f>
        <v>0</v>
      </c>
      <c r="CQ18" s="87">
        <f>SUMIF('TB Apr 24'!$D$13:$D$103,'MIS Apr24'!$B18,'TB Apr 24'!AZ$13:AZ$103)</f>
        <v>0</v>
      </c>
      <c r="CR18" s="546">
        <f>IFERROR(CQ18/CQ$11,0)</f>
        <v>0</v>
      </c>
      <c r="CS18" s="87">
        <f>SUMIF('TB Apr 24'!$D$13:$D$103,'MIS Apr24'!$B18,'TB Apr 24'!BA$13:BA$103)</f>
        <v>62414.870765216881</v>
      </c>
      <c r="CT18" s="546">
        <f>IFERROR(CS18/CS$11,0)</f>
        <v>0.29364012590968824</v>
      </c>
      <c r="CU18" s="87">
        <f>SUMIF('TB Apr 24'!$D$13:$D$103,'MIS Apr24'!$B18,'TB Apr 24'!BB$13:BB$103)</f>
        <v>0</v>
      </c>
      <c r="CV18" s="546">
        <f>IFERROR(CU18/CU$11,0)</f>
        <v>0</v>
      </c>
      <c r="CW18" s="87">
        <f>SUMIF('TB Apr 24'!$D$13:$D$103,'MIS Apr24'!$B18,'TB Apr 24'!BC$13:BC$103)</f>
        <v>91915.723761304864</v>
      </c>
      <c r="CX18" s="546">
        <f>IFERROR(CW18/CW$11,0)</f>
        <v>0.36984380478703988</v>
      </c>
      <c r="CY18" s="87">
        <f>SUMIF('TB Apr 24'!$D$13:$D$103,'MIS Apr24'!$B18,'TB Apr 24'!BD$13:BD$103)</f>
        <v>10263.625829999964</v>
      </c>
      <c r="CZ18" s="546">
        <f>IFERROR(CY18/CY$11,0)</f>
        <v>0.34168248237511151</v>
      </c>
      <c r="DA18" s="87">
        <f>SUMIF('TB Apr 24'!$D$13:$D$103,'MIS Apr24'!$B18,'TB Apr 24'!O$13:O$103)</f>
        <v>0</v>
      </c>
      <c r="DB18" s="546">
        <f>IFERROR(DA18/DA$11,0)</f>
        <v>0</v>
      </c>
      <c r="DC18" s="87">
        <f>SUM(C18,E18,I18,K18,M18,O18,S18,U18,AA18,AC18,AG18,AK18,AM18,AO18,AQ18,AS18,AW18,AY18,BA18,BC18,BE18,BG18,BI18,BK18,BU18,BW18,CA18,CC18,CE18,CI18,CK18,CM18,CS18,CU18,CW18,CY18,DA18)</f>
        <v>3724188.693835997</v>
      </c>
      <c r="DD18" s="546">
        <f>IFERROR(DC18/DC$11,0)</f>
        <v>0.30287422911311096</v>
      </c>
      <c r="DE18" s="87"/>
      <c r="DF18" s="546">
        <f>IFERROR(DE18/DE$11,0)</f>
        <v>0</v>
      </c>
      <c r="DG18" s="87">
        <f>DE18-DC18</f>
        <v>-3724188.693835997</v>
      </c>
      <c r="DH18" s="546">
        <f>IFERROR(DG18/DG$11,0)</f>
        <v>0.30287422911311096</v>
      </c>
      <c r="DI18" s="345"/>
    </row>
    <row r="19" spans="2:115" x14ac:dyDescent="0.35">
      <c r="B19" s="535" t="s">
        <v>240</v>
      </c>
      <c r="C19" s="537">
        <f>C8-C15</f>
        <v>889538.9700000002</v>
      </c>
      <c r="D19" s="537"/>
      <c r="E19" s="537">
        <f>E8-E15</f>
        <v>1040508.7220000001</v>
      </c>
      <c r="F19" s="537"/>
      <c r="G19" s="537">
        <f ca="1">G8-G15</f>
        <v>0</v>
      </c>
      <c r="H19" s="537"/>
      <c r="I19" s="537">
        <f>I8-I15</f>
        <v>2254879.5749999997</v>
      </c>
      <c r="J19" s="537"/>
      <c r="K19" s="537">
        <f>K8-K15</f>
        <v>573885.96899999992</v>
      </c>
      <c r="L19" s="537"/>
      <c r="M19" s="537">
        <f>M8-M15</f>
        <v>1537681.5274439724</v>
      </c>
      <c r="N19" s="537"/>
      <c r="O19" s="537">
        <f>O8-O15</f>
        <v>2348850.0326676718</v>
      </c>
      <c r="P19" s="537"/>
      <c r="Q19" s="537">
        <f ca="1">Q8-Q15</f>
        <v>0</v>
      </c>
      <c r="R19" s="537"/>
      <c r="S19" s="537">
        <f>S8-S15</f>
        <v>2544035.4533686927</v>
      </c>
      <c r="T19" s="537"/>
      <c r="U19" s="537">
        <f>U8-U15</f>
        <v>1766063.409934259</v>
      </c>
      <c r="V19" s="537"/>
      <c r="W19" s="537">
        <f ca="1">W8-W15</f>
        <v>0</v>
      </c>
      <c r="X19" s="537"/>
      <c r="Y19" s="537">
        <f ca="1">Y8-Y15</f>
        <v>0</v>
      </c>
      <c r="Z19" s="537"/>
      <c r="AA19" s="537">
        <f>AA8-AA15</f>
        <v>2411619.5969999996</v>
      </c>
      <c r="AB19" s="537"/>
      <c r="AC19" s="537">
        <f>AC8-AC15</f>
        <v>1647968.396592191</v>
      </c>
      <c r="AD19" s="537"/>
      <c r="AE19" s="537">
        <f ca="1">AE8-AE15</f>
        <v>0</v>
      </c>
      <c r="AF19" s="537"/>
      <c r="AG19" s="537">
        <f>AG8-AG15</f>
        <v>2809182.2860000003</v>
      </c>
      <c r="AH19" s="537"/>
      <c r="AI19" s="537">
        <f ca="1">AI8-AI15</f>
        <v>0</v>
      </c>
      <c r="AJ19" s="537"/>
      <c r="AK19" s="537">
        <f>AK8-AK15</f>
        <v>701344.33999999985</v>
      </c>
      <c r="AL19" s="537"/>
      <c r="AM19" s="537">
        <f>AM8-AM15</f>
        <v>1360878.1189999999</v>
      </c>
      <c r="AN19" s="537"/>
      <c r="AO19" s="537">
        <f>AO8-AO15</f>
        <v>1282751.3569999998</v>
      </c>
      <c r="AP19" s="537"/>
      <c r="AQ19" s="537">
        <f>AQ8-AQ15</f>
        <v>1053770.2151689653</v>
      </c>
      <c r="AR19" s="537"/>
      <c r="AS19" s="537">
        <f>AS8-AS15</f>
        <v>1357136.2175458092</v>
      </c>
      <c r="AT19" s="537"/>
      <c r="AU19" s="537">
        <f ca="1">AU8-AU15</f>
        <v>0</v>
      </c>
      <c r="AV19" s="537"/>
      <c r="AW19" s="537">
        <f>AW8-AW15</f>
        <v>2709523.2577500865</v>
      </c>
      <c r="AX19" s="537"/>
      <c r="AY19" s="537">
        <f>AY8-AY15</f>
        <v>2982355.4090325441</v>
      </c>
      <c r="AZ19" s="537"/>
      <c r="BA19" s="537">
        <f>BA8-BA15</f>
        <v>145974.38895303913</v>
      </c>
      <c r="BB19" s="537"/>
      <c r="BC19" s="537">
        <f>BC8-BC15</f>
        <v>1384130.6844218781</v>
      </c>
      <c r="BD19" s="537"/>
      <c r="BE19" s="537">
        <f>BE8-BE15</f>
        <v>1106259.463</v>
      </c>
      <c r="BF19" s="537"/>
      <c r="BG19" s="537">
        <f>BG8-BG15</f>
        <v>1026373.0637993129</v>
      </c>
      <c r="BH19" s="537"/>
      <c r="BI19" s="537">
        <f>BI8-BI15</f>
        <v>1358797.539333333</v>
      </c>
      <c r="BJ19" s="537"/>
      <c r="BK19" s="537">
        <f>BK8-BK15</f>
        <v>1446503.5780795412</v>
      </c>
      <c r="BL19" s="537"/>
      <c r="BM19" s="537">
        <f ca="1">BM8-BM15</f>
        <v>0</v>
      </c>
      <c r="BN19" s="537"/>
      <c r="BO19" s="537">
        <f ca="1">BO8-BO15</f>
        <v>0</v>
      </c>
      <c r="BP19" s="537"/>
      <c r="BQ19" s="537">
        <f ca="1">BQ8-BQ15</f>
        <v>0</v>
      </c>
      <c r="BR19" s="537"/>
      <c r="BS19" s="537">
        <f ca="1">BS8-BS15</f>
        <v>0</v>
      </c>
      <c r="BT19" s="537"/>
      <c r="BU19" s="537">
        <f>BU8-BU15</f>
        <v>3488793.2733440655</v>
      </c>
      <c r="BV19" s="537"/>
      <c r="BW19" s="537">
        <f>BW8-BW15</f>
        <v>-507459.91500000004</v>
      </c>
      <c r="BX19" s="537"/>
      <c r="BY19" s="537">
        <f ca="1">BY8-BY15</f>
        <v>0</v>
      </c>
      <c r="BZ19" s="537"/>
      <c r="CA19" s="537">
        <f>CA8-CA15</f>
        <v>4356206.4111361234</v>
      </c>
      <c r="CB19" s="537"/>
      <c r="CC19" s="537">
        <f>CC8-CC15</f>
        <v>1633964.8969999999</v>
      </c>
      <c r="CD19" s="537"/>
      <c r="CE19" s="537">
        <f>CE8-CE15</f>
        <v>1145478.2239999997</v>
      </c>
      <c r="CF19" s="537"/>
      <c r="CG19" s="537">
        <f ca="1">CG8-CG15</f>
        <v>0</v>
      </c>
      <c r="CH19" s="537"/>
      <c r="CI19" s="537">
        <f>CI8-CI15</f>
        <v>1339203.548</v>
      </c>
      <c r="CJ19" s="537"/>
      <c r="CK19" s="537">
        <f>CK8-CK15</f>
        <v>1538732.1400000001</v>
      </c>
      <c r="CL19" s="537"/>
      <c r="CM19" s="537">
        <f>CM8-CM15</f>
        <v>852106.65590694104</v>
      </c>
      <c r="CN19" s="537"/>
      <c r="CO19" s="537">
        <f ca="1">CO8-CO15</f>
        <v>0</v>
      </c>
      <c r="CP19" s="537"/>
      <c r="CQ19" s="537">
        <f ca="1">CQ8-CQ15</f>
        <v>0</v>
      </c>
      <c r="CR19" s="537"/>
      <c r="CS19" s="537">
        <f>CS8-CS15</f>
        <v>1363409.6169298429</v>
      </c>
      <c r="CT19" s="537"/>
      <c r="CU19" s="537">
        <f>CU8-CU15</f>
        <v>899105.55500000017</v>
      </c>
      <c r="CV19" s="537"/>
      <c r="CW19" s="537">
        <f>CW8-CW15</f>
        <v>2858423.1222386956</v>
      </c>
      <c r="CX19" s="537"/>
      <c r="CY19" s="537">
        <f>CY8-CY15</f>
        <v>441076.0850593223</v>
      </c>
      <c r="CZ19" s="537"/>
      <c r="DA19" s="537">
        <f>DA8-DA15</f>
        <v>0</v>
      </c>
      <c r="DB19" s="537"/>
      <c r="DC19" s="537">
        <f>DC8-DC15</f>
        <v>57149051.185706288</v>
      </c>
      <c r="DD19" s="537"/>
      <c r="DE19" s="537">
        <f ca="1">DE8-DE15</f>
        <v>0</v>
      </c>
      <c r="DF19" s="537"/>
      <c r="DG19" s="537">
        <f ca="1">DG8-DG15</f>
        <v>-54257225.185706288</v>
      </c>
      <c r="DH19" s="537"/>
    </row>
    <row r="20" spans="2:115" x14ac:dyDescent="0.35">
      <c r="B20" s="535" t="s">
        <v>563</v>
      </c>
      <c r="C20" s="536">
        <f>IFERROR(C19/C8,0)</f>
        <v>0.73691703376077877</v>
      </c>
      <c r="D20" s="536"/>
      <c r="E20" s="536">
        <f>IFERROR(E19/E8,0)</f>
        <v>0.63200026031511114</v>
      </c>
      <c r="F20" s="536"/>
      <c r="G20" s="536">
        <f ca="1">IFERROR(G19/G8,0)</f>
        <v>0</v>
      </c>
      <c r="H20" s="536"/>
      <c r="I20" s="536">
        <f>IFERROR(I19/I8,0)</f>
        <v>0.73873932701980627</v>
      </c>
      <c r="J20" s="536"/>
      <c r="K20" s="536">
        <f>IFERROR(K19/K8,0)</f>
        <v>0.59652082091142422</v>
      </c>
      <c r="L20" s="536"/>
      <c r="M20" s="536">
        <f>IFERROR(M19/M8,0)</f>
        <v>0.66203926478612052</v>
      </c>
      <c r="N20" s="536"/>
      <c r="O20" s="536">
        <f>IFERROR(O19/O8,0)</f>
        <v>0.69767259267910298</v>
      </c>
      <c r="P20" s="536"/>
      <c r="Q20" s="536">
        <f ca="1">IFERROR(Q19/Q8,0)</f>
        <v>0</v>
      </c>
      <c r="R20" s="536"/>
      <c r="S20" s="536">
        <f>IFERROR(S19/S8,0)</f>
        <v>0.67657822706102555</v>
      </c>
      <c r="T20" s="536"/>
      <c r="U20" s="536">
        <f>IFERROR(U19/U8,0)</f>
        <v>0.62678120245849489</v>
      </c>
      <c r="V20" s="536"/>
      <c r="W20" s="536">
        <f ca="1">IFERROR(W19/W8,0)</f>
        <v>0</v>
      </c>
      <c r="X20" s="536"/>
      <c r="Y20" s="536">
        <f ca="1">IFERROR(Y19/Y8,0)</f>
        <v>0</v>
      </c>
      <c r="Z20" s="536"/>
      <c r="AA20" s="536">
        <f>IFERROR(AA19/AA8,0)</f>
        <v>0.76649687056564397</v>
      </c>
      <c r="AB20" s="536"/>
      <c r="AC20" s="536">
        <f>IFERROR(AC19/AC8,0)</f>
        <v>0.72579214833848182</v>
      </c>
      <c r="AD20" s="536"/>
      <c r="AE20" s="536">
        <f ca="1">IFERROR(AE19/AE8,0)</f>
        <v>0</v>
      </c>
      <c r="AF20" s="536"/>
      <c r="AG20" s="536">
        <f>IFERROR(AG19/AG8,0)</f>
        <v>0.75581557407501221</v>
      </c>
      <c r="AH20" s="536"/>
      <c r="AI20" s="536">
        <f ca="1">IFERROR(AI19/AI8,0)</f>
        <v>0</v>
      </c>
      <c r="AJ20" s="536"/>
      <c r="AK20" s="536">
        <f>IFERROR(AK19/AK8,0)</f>
        <v>0.64793841166125232</v>
      </c>
      <c r="AL20" s="536"/>
      <c r="AM20" s="536">
        <f>IFERROR(AM19/AM8,0)</f>
        <v>0.6651452812602171</v>
      </c>
      <c r="AN20" s="536"/>
      <c r="AO20" s="536">
        <f>IFERROR(AO19/AO8,0)</f>
        <v>0.72796819526862233</v>
      </c>
      <c r="AP20" s="536"/>
      <c r="AQ20" s="536">
        <f>IFERROR(AQ19/AQ8,0)</f>
        <v>0.71374639373232307</v>
      </c>
      <c r="AR20" s="536"/>
      <c r="AS20" s="536">
        <f>IFERROR(AS19/AS8,0)</f>
        <v>0.72713899822109296</v>
      </c>
      <c r="AT20" s="536"/>
      <c r="AU20" s="536">
        <f ca="1">IFERROR(AU19/AU8,0)</f>
        <v>0</v>
      </c>
      <c r="AV20" s="536"/>
      <c r="AW20" s="536">
        <f>IFERROR(AW19/AW8,0)</f>
        <v>0.73121533495763247</v>
      </c>
      <c r="AX20" s="536"/>
      <c r="AY20" s="536">
        <f>IFERROR(AY19/AY8,0)</f>
        <v>0.71516898706244092</v>
      </c>
      <c r="AZ20" s="536"/>
      <c r="BA20" s="536">
        <f>IFERROR(BA19/BA8,0)</f>
        <v>0.44342208492915569</v>
      </c>
      <c r="BB20" s="536"/>
      <c r="BC20" s="536">
        <f>IFERROR(BC19/BC8,0)</f>
        <v>0.6642515298115429</v>
      </c>
      <c r="BD20" s="536"/>
      <c r="BE20" s="536">
        <f>IFERROR(BE19/BE8,0)</f>
        <v>0.68927979418730634</v>
      </c>
      <c r="BF20" s="536"/>
      <c r="BG20" s="536">
        <f>IFERROR(BG19/BG8,0)</f>
        <v>0.5578048701668723</v>
      </c>
      <c r="BH20" s="536"/>
      <c r="BI20" s="536">
        <f>IFERROR(BI19/BI8,0)</f>
        <v>0.72303628985431456</v>
      </c>
      <c r="BJ20" s="536"/>
      <c r="BK20" s="536">
        <f>IFERROR(BK19/BK8,0)</f>
        <v>0.62973554322782244</v>
      </c>
      <c r="BL20" s="536"/>
      <c r="BM20" s="536">
        <f ca="1">IFERROR(BM19/BM8,0)</f>
        <v>0</v>
      </c>
      <c r="BN20" s="536"/>
      <c r="BO20" s="536">
        <f ca="1">IFERROR(BO19/BO8,0)</f>
        <v>0</v>
      </c>
      <c r="BP20" s="536"/>
      <c r="BQ20" s="536">
        <f ca="1">IFERROR(BQ19/BQ8,0)</f>
        <v>0</v>
      </c>
      <c r="BR20" s="536"/>
      <c r="BS20" s="536">
        <f ca="1">IFERROR(BS19/BS8,0)</f>
        <v>0</v>
      </c>
      <c r="BT20" s="536"/>
      <c r="BU20" s="536">
        <f>IFERROR(BU19/BU8,0)</f>
        <v>0.70402237781013566</v>
      </c>
      <c r="BV20" s="536"/>
      <c r="BW20" s="536">
        <f>IFERROR(BW19/BW8,0)</f>
        <v>-2.1174071500995155</v>
      </c>
      <c r="BX20" s="536"/>
      <c r="BY20" s="536">
        <f ca="1">IFERROR(BY19/BY8,0)</f>
        <v>0</v>
      </c>
      <c r="BZ20" s="536"/>
      <c r="CA20" s="536">
        <f>IFERROR(CA19/CA8,0)</f>
        <v>0.7670124354651372</v>
      </c>
      <c r="CB20" s="536"/>
      <c r="CC20" s="536">
        <f>IFERROR(CC19/CC8,0)</f>
        <v>0.75781565161948861</v>
      </c>
      <c r="CD20" s="536"/>
      <c r="CE20" s="536">
        <f>IFERROR(CE19/CE8,0)</f>
        <v>0.70984441684427091</v>
      </c>
      <c r="CF20" s="536"/>
      <c r="CG20" s="536">
        <f ca="1">IFERROR(CG19/CG8,0)</f>
        <v>0</v>
      </c>
      <c r="CH20" s="536"/>
      <c r="CI20" s="536">
        <f>IFERROR(CI19/CI8,0)</f>
        <v>0.63533451517511541</v>
      </c>
      <c r="CJ20" s="536"/>
      <c r="CK20" s="536">
        <f>IFERROR(CK19/CK8,0)</f>
        <v>0.73866985384665851</v>
      </c>
      <c r="CL20" s="536"/>
      <c r="CM20" s="536">
        <f>IFERROR(CM19/CM8,0)</f>
        <v>0.7451171285962328</v>
      </c>
      <c r="CN20" s="536"/>
      <c r="CO20" s="536">
        <f ca="1">IFERROR(CO19/CO8,0)</f>
        <v>0</v>
      </c>
      <c r="CP20" s="536"/>
      <c r="CQ20" s="536">
        <f ca="1">IFERROR(CQ19/CQ8,0)</f>
        <v>0</v>
      </c>
      <c r="CR20" s="536"/>
      <c r="CS20" s="536">
        <f>IFERROR(CS19/CS8,0)</f>
        <v>0.50837497697748302</v>
      </c>
      <c r="CT20" s="536"/>
      <c r="CU20" s="536">
        <f>IFERROR(CU19/CU8,0)</f>
        <v>0.7221283947468965</v>
      </c>
      <c r="CV20" s="536"/>
      <c r="CW20" s="536">
        <f>IFERROR(CW19/CW8,0)</f>
        <v>0.71826011185550231</v>
      </c>
      <c r="CX20" s="536"/>
      <c r="CY20" s="536">
        <f>IFERROR(CY19/CY8,0)</f>
        <v>0.71575843063070443</v>
      </c>
      <c r="CZ20" s="536"/>
      <c r="DA20" s="536">
        <f>IFERROR(DA19/DA8,0)</f>
        <v>0</v>
      </c>
      <c r="DB20" s="536"/>
      <c r="DC20" s="536">
        <f>IFERROR(DC19/DC8,0)</f>
        <v>0.68925921773548249</v>
      </c>
      <c r="DD20" s="536"/>
      <c r="DE20" s="537"/>
      <c r="DF20" s="536"/>
      <c r="DG20" s="537"/>
      <c r="DH20" s="536"/>
    </row>
    <row r="21" spans="2:115" x14ac:dyDescent="0.35">
      <c r="B21" s="45" t="s">
        <v>258</v>
      </c>
      <c r="C21" s="532"/>
      <c r="D21" s="532"/>
      <c r="E21" s="532"/>
      <c r="F21" s="532"/>
      <c r="G21" s="532"/>
      <c r="H21" s="532"/>
      <c r="I21" s="532"/>
      <c r="J21" s="532"/>
      <c r="K21" s="532"/>
      <c r="L21" s="532"/>
      <c r="M21" s="532"/>
      <c r="N21" s="532"/>
      <c r="O21" s="532"/>
      <c r="P21" s="532"/>
      <c r="Q21" s="532"/>
      <c r="R21" s="532"/>
      <c r="S21" s="532"/>
      <c r="T21" s="532"/>
      <c r="U21" s="532"/>
      <c r="V21" s="532"/>
      <c r="W21" s="532"/>
      <c r="X21" s="532"/>
      <c r="Y21" s="532"/>
      <c r="Z21" s="532"/>
      <c r="AA21" s="532"/>
      <c r="AB21" s="532"/>
      <c r="AC21" s="532"/>
      <c r="AD21" s="532"/>
      <c r="AE21" s="532"/>
      <c r="AF21" s="532"/>
      <c r="AG21" s="532"/>
      <c r="AH21" s="532"/>
      <c r="AI21" s="532"/>
      <c r="AJ21" s="532"/>
      <c r="AK21" s="532"/>
      <c r="AL21" s="532"/>
      <c r="AM21" s="532"/>
      <c r="AN21" s="532"/>
      <c r="AO21" s="532"/>
      <c r="AP21" s="532"/>
      <c r="AQ21" s="532"/>
      <c r="AR21" s="532"/>
      <c r="AS21" s="532"/>
      <c r="AT21" s="532"/>
      <c r="AU21" s="532"/>
      <c r="AV21" s="532"/>
      <c r="AW21" s="532"/>
      <c r="AX21" s="532"/>
      <c r="AY21" s="532"/>
      <c r="AZ21" s="532"/>
      <c r="BA21" s="532"/>
      <c r="BB21" s="532"/>
      <c r="BC21" s="532"/>
      <c r="BD21" s="532"/>
      <c r="BE21" s="532"/>
      <c r="BF21" s="532"/>
      <c r="BG21" s="532"/>
      <c r="BH21" s="532"/>
      <c r="BI21" s="532"/>
      <c r="BJ21" s="532"/>
      <c r="BK21" s="532"/>
      <c r="BL21" s="532"/>
      <c r="BM21" s="532"/>
      <c r="BN21" s="532"/>
      <c r="BO21" s="532"/>
      <c r="BP21" s="532"/>
      <c r="BQ21" s="532"/>
      <c r="BR21" s="532"/>
      <c r="BS21" s="532"/>
      <c r="BT21" s="532"/>
      <c r="BU21" s="532"/>
      <c r="BV21" s="532"/>
      <c r="BW21" s="532"/>
      <c r="BX21" s="532"/>
      <c r="BY21" s="532"/>
      <c r="BZ21" s="532"/>
      <c r="CA21" s="532"/>
      <c r="CB21" s="532"/>
      <c r="CC21" s="532"/>
      <c r="CD21" s="532"/>
      <c r="CE21" s="532"/>
      <c r="CF21" s="532"/>
      <c r="CG21" s="532"/>
      <c r="CH21" s="532"/>
      <c r="CI21" s="532"/>
      <c r="CJ21" s="532"/>
      <c r="CK21" s="532"/>
      <c r="CL21" s="532"/>
      <c r="CM21" s="532"/>
      <c r="CN21" s="532"/>
      <c r="CO21" s="532"/>
      <c r="CP21" s="532"/>
      <c r="CQ21" s="532"/>
      <c r="CR21" s="532"/>
      <c r="CS21" s="532"/>
      <c r="CT21" s="532"/>
      <c r="CU21" s="532"/>
      <c r="CV21" s="532"/>
      <c r="CW21" s="532"/>
      <c r="CX21" s="532"/>
      <c r="CY21" s="532"/>
      <c r="CZ21" s="532"/>
      <c r="DA21" s="532"/>
      <c r="DB21" s="532"/>
      <c r="DC21" s="532"/>
      <c r="DD21" s="532"/>
      <c r="DE21" s="532"/>
      <c r="DF21" s="532"/>
      <c r="DG21" s="532"/>
      <c r="DH21" s="532"/>
    </row>
    <row r="22" spans="2:115" x14ac:dyDescent="0.35">
      <c r="B22" s="18" t="s">
        <v>259</v>
      </c>
      <c r="C22" s="532">
        <f>SUM(C23:C26)</f>
        <v>358404.72359999997</v>
      </c>
      <c r="D22" s="531">
        <f>IFERROR(C22/C$8,0)</f>
        <v>0.29691172023769086</v>
      </c>
      <c r="E22" s="532">
        <f t="shared" ref="E22:DE22" si="2">SUM(E23:E26)</f>
        <v>497156.49549999996</v>
      </c>
      <c r="F22" s="531">
        <f>IFERROR(E22/E$8,0)</f>
        <v>0.30197059181724795</v>
      </c>
      <c r="G22" s="532">
        <f t="shared" si="2"/>
        <v>0</v>
      </c>
      <c r="H22" s="531">
        <f t="shared" ref="H22:H50" si="3">IFERROR(G22/G$8,0)</f>
        <v>0</v>
      </c>
      <c r="I22" s="532">
        <f t="shared" si="2"/>
        <v>662243.9497</v>
      </c>
      <c r="J22" s="531">
        <f t="shared" ref="J22:J50" si="4">IFERROR(I22/I$8,0)</f>
        <v>0.21696309423722396</v>
      </c>
      <c r="K22" s="532">
        <f t="shared" si="2"/>
        <v>253448.3622</v>
      </c>
      <c r="L22" s="531">
        <f t="shared" ref="L22:L50" si="5">IFERROR(K22/K$8,0)</f>
        <v>0.26344471418537152</v>
      </c>
      <c r="M22" s="532">
        <f t="shared" si="2"/>
        <v>460496.14226666663</v>
      </c>
      <c r="N22" s="531">
        <f t="shared" ref="N22:N50" si="6">IFERROR(M22/M$8,0)</f>
        <v>0.19826376399919193</v>
      </c>
      <c r="O22" s="532">
        <f t="shared" si="2"/>
        <v>666645.94429999997</v>
      </c>
      <c r="P22" s="531">
        <f t="shared" ref="P22:P50" si="7">IFERROR(O22/O$8,0)</f>
        <v>0.19801204755101318</v>
      </c>
      <c r="Q22" s="532">
        <f t="shared" si="2"/>
        <v>0</v>
      </c>
      <c r="R22" s="531">
        <f t="shared" ref="R22:R50" si="8">IFERROR(Q22/Q$8,0)</f>
        <v>0</v>
      </c>
      <c r="S22" s="532">
        <f t="shared" si="2"/>
        <v>676909.19656666671</v>
      </c>
      <c r="T22" s="531">
        <f t="shared" ref="T22:T50" si="9">IFERROR(S22/S$8,0)</f>
        <v>0.18002187174236908</v>
      </c>
      <c r="U22" s="532">
        <f t="shared" si="2"/>
        <v>576230.73606666666</v>
      </c>
      <c r="V22" s="531">
        <f t="shared" ref="V22:V50" si="10">IFERROR(U22/U$8,0)</f>
        <v>0.2045060169492178</v>
      </c>
      <c r="W22" s="532">
        <f t="shared" si="2"/>
        <v>0</v>
      </c>
      <c r="X22" s="531">
        <f t="shared" ref="X22:X50" si="11">IFERROR(W22/W$8,0)</f>
        <v>0</v>
      </c>
      <c r="Y22" s="532">
        <f t="shared" si="2"/>
        <v>0</v>
      </c>
      <c r="Z22" s="531">
        <f t="shared" ref="Z22:Z50" si="12">IFERROR(Y22/Y$8,0)</f>
        <v>0</v>
      </c>
      <c r="AA22" s="532">
        <f t="shared" si="2"/>
        <v>568086.12939999998</v>
      </c>
      <c r="AB22" s="531">
        <f t="shared" ref="AB22:AB50" si="13">IFERROR(AA22/AA$8,0)</f>
        <v>0.18055759744966507</v>
      </c>
      <c r="AC22" s="532">
        <f t="shared" si="2"/>
        <v>961768.78410000005</v>
      </c>
      <c r="AD22" s="531">
        <f t="shared" ref="AD22:AD50" si="14">IFERROR(AC22/AC$8,0)</f>
        <v>0.42357865203016254</v>
      </c>
      <c r="AE22" s="532">
        <f t="shared" si="2"/>
        <v>0</v>
      </c>
      <c r="AF22" s="531">
        <f t="shared" ref="AF22:AF50" si="15">IFERROR(AE22/AE$8,0)</f>
        <v>0</v>
      </c>
      <c r="AG22" s="532">
        <f t="shared" si="2"/>
        <v>925211.79186666664</v>
      </c>
      <c r="AH22" s="531">
        <f t="shared" ref="AH22:AH50" si="16">IFERROR(AG22/AG$8,0)</f>
        <v>0.24892990572227866</v>
      </c>
      <c r="AI22" s="532">
        <f t="shared" si="2"/>
        <v>0</v>
      </c>
      <c r="AJ22" s="531">
        <f t="shared" ref="AJ22:AJ50" si="17">IFERROR(AI22/AI$8,0)</f>
        <v>0</v>
      </c>
      <c r="AK22" s="532">
        <f t="shared" si="2"/>
        <v>463926.22623333335</v>
      </c>
      <c r="AL22" s="531">
        <f t="shared" ref="AL22:AL50" si="18">IFERROR(AK22/AK$8,0)</f>
        <v>0.42859919872401747</v>
      </c>
      <c r="AM22" s="532">
        <f t="shared" si="2"/>
        <v>533661.44603333331</v>
      </c>
      <c r="AN22" s="531">
        <f t="shared" ref="AN22:AN50" si="19">IFERROR(AM22/AM$8,0)</f>
        <v>0.26083334551694387</v>
      </c>
      <c r="AO22" s="532">
        <f t="shared" si="2"/>
        <v>520959.72303333331</v>
      </c>
      <c r="AP22" s="531">
        <f t="shared" ref="AP22:AP50" si="20">IFERROR(AO22/AO$8,0)</f>
        <v>0.29564740455325594</v>
      </c>
      <c r="AQ22" s="532">
        <f t="shared" si="2"/>
        <v>334633.37419999996</v>
      </c>
      <c r="AR22" s="531">
        <f t="shared" ref="AR22:AR50" si="21">IFERROR(AQ22/AQ$8,0)</f>
        <v>0.22665602103721635</v>
      </c>
      <c r="AS22" s="532">
        <f t="shared" si="2"/>
        <v>442090.57923333329</v>
      </c>
      <c r="AT22" s="531">
        <f t="shared" ref="AT22:AT50" si="22">IFERROR(AS22/AS$8,0)</f>
        <v>0.23686738055523007</v>
      </c>
      <c r="AU22" s="532">
        <f t="shared" si="2"/>
        <v>0</v>
      </c>
      <c r="AV22" s="531">
        <f t="shared" ref="AV22:AV50" si="23">IFERROR(AU22/AU$8,0)</f>
        <v>0</v>
      </c>
      <c r="AW22" s="532">
        <f t="shared" si="2"/>
        <v>737281.66124754911</v>
      </c>
      <c r="AX22" s="531">
        <f t="shared" ref="AX22:AX50" si="24">IFERROR(AW22/AW$8,0)</f>
        <v>0.19896919332403509</v>
      </c>
      <c r="AY22" s="532">
        <f t="shared" si="2"/>
        <v>839271.56278821942</v>
      </c>
      <c r="AZ22" s="531">
        <f t="shared" ref="AZ22:AZ50" si="25">IFERROR(AY22/AY$8,0)</f>
        <v>0.20125736577595568</v>
      </c>
      <c r="BA22" s="532">
        <f t="shared" si="2"/>
        <v>288759.64818128</v>
      </c>
      <c r="BB22" s="531">
        <f t="shared" ref="BB22:BB50" si="26">IFERROR(BA22/BA$8,0)</f>
        <v>0.87715664479434607</v>
      </c>
      <c r="BC22" s="532">
        <f t="shared" si="2"/>
        <v>713069.47564961819</v>
      </c>
      <c r="BD22" s="531">
        <f t="shared" ref="BD22:BD50" si="27">IFERROR(BC22/BC$8,0)</f>
        <v>0.34220575802060932</v>
      </c>
      <c r="BE22" s="532">
        <f t="shared" si="2"/>
        <v>372299.66276666662</v>
      </c>
      <c r="BF22" s="531">
        <f t="shared" ref="BF22:BF50" si="28">IFERROR(BE22/BE$8,0)</f>
        <v>0.2319696630950415</v>
      </c>
      <c r="BG22" s="532">
        <f t="shared" si="2"/>
        <v>525053.29023333336</v>
      </c>
      <c r="BH22" s="531">
        <f t="shared" ref="BH22:BH50" si="29">IFERROR(BG22/BG$8,0)</f>
        <v>0.28535168421621793</v>
      </c>
      <c r="BI22" s="532">
        <f t="shared" si="2"/>
        <v>338178.58309999999</v>
      </c>
      <c r="BJ22" s="531">
        <f t="shared" ref="BJ22:BJ50" si="30">IFERROR(BI22/BI$8,0)</f>
        <v>0.17994983134336526</v>
      </c>
      <c r="BK22" s="532">
        <f t="shared" si="2"/>
        <v>434791.14809999999</v>
      </c>
      <c r="BL22" s="531">
        <f t="shared" ref="BL22:BL50" si="31">IFERROR(BK22/BK$8,0)</f>
        <v>0.18928638960086003</v>
      </c>
      <c r="BM22" s="532">
        <f t="shared" si="2"/>
        <v>0</v>
      </c>
      <c r="BN22" s="531">
        <f t="shared" ref="BN22:BN50" si="32">IFERROR(BM22/BM$8,0)</f>
        <v>0</v>
      </c>
      <c r="BO22" s="532">
        <f t="shared" si="2"/>
        <v>0</v>
      </c>
      <c r="BP22" s="531">
        <f t="shared" ref="BP22:BP50" si="33">IFERROR(BO22/BO$8,0)</f>
        <v>0</v>
      </c>
      <c r="BQ22" s="532">
        <f t="shared" si="2"/>
        <v>0</v>
      </c>
      <c r="BR22" s="531">
        <f t="shared" ref="BR22:BR50" si="34">IFERROR(BQ22/BQ$8,0)</f>
        <v>0</v>
      </c>
      <c r="BS22" s="532">
        <f t="shared" si="2"/>
        <v>0</v>
      </c>
      <c r="BT22" s="531">
        <f t="shared" ref="BT22:BT50" si="35">IFERROR(BS22/BS$8,0)</f>
        <v>0</v>
      </c>
      <c r="BU22" s="532">
        <f t="shared" si="2"/>
        <v>1279550.5402000002</v>
      </c>
      <c r="BV22" s="531">
        <f t="shared" ref="BV22:BV50" si="36">IFERROR(BU22/BU$8,0)</f>
        <v>0.25820739243067425</v>
      </c>
      <c r="BW22" s="532">
        <f t="shared" si="2"/>
        <v>173284.446</v>
      </c>
      <c r="BX22" s="531">
        <f t="shared" ref="BX22:BX50" si="37">IFERROR(BW22/BW$8,0)</f>
        <v>0.72303981874397583</v>
      </c>
      <c r="BY22" s="532">
        <f t="shared" si="2"/>
        <v>0</v>
      </c>
      <c r="BZ22" s="531">
        <f t="shared" ref="BZ22:BZ50" si="38">IFERROR(BY22/BY$8,0)</f>
        <v>0</v>
      </c>
      <c r="CA22" s="532">
        <f t="shared" si="2"/>
        <v>1327479.1606999999</v>
      </c>
      <c r="CB22" s="531">
        <f t="shared" ref="CB22:CB50" si="39">IFERROR(CA22/CA$8,0)</f>
        <v>0.23373387943115687</v>
      </c>
      <c r="CC22" s="532">
        <f t="shared" si="2"/>
        <v>586846.26190000004</v>
      </c>
      <c r="CD22" s="531">
        <f t="shared" ref="CD22:CD50" si="40">IFERROR(CC22/CC$8,0)</f>
        <v>0.27217309452530403</v>
      </c>
      <c r="CE22" s="532">
        <f t="shared" si="2"/>
        <v>466557.4880666667</v>
      </c>
      <c r="CF22" s="531">
        <f t="shared" ref="CF22:CF50" si="41">IFERROR(CE22/CE$8,0)</f>
        <v>0.28912223829495604</v>
      </c>
      <c r="CG22" s="532">
        <f t="shared" si="2"/>
        <v>0</v>
      </c>
      <c r="CH22" s="531">
        <f t="shared" ref="CH22:CH50" si="42">IFERROR(CG22/CG$8,0)</f>
        <v>0</v>
      </c>
      <c r="CI22" s="532">
        <f t="shared" si="2"/>
        <v>451023.97316666669</v>
      </c>
      <c r="CJ22" s="531">
        <f t="shared" ref="CJ22:CJ50" si="43">IFERROR(CI22/CI$8,0)</f>
        <v>0.21397127998364476</v>
      </c>
      <c r="CK22" s="532">
        <f t="shared" si="2"/>
        <v>450563.81786666659</v>
      </c>
      <c r="CL22" s="531">
        <f t="shared" ref="CL22:CL50" si="44">IFERROR(CK22/CK$8,0)</f>
        <v>0.21629359707282325</v>
      </c>
      <c r="CM22" s="532">
        <f t="shared" si="2"/>
        <v>340122.96209999995</v>
      </c>
      <c r="CN22" s="531">
        <f t="shared" ref="CN22:CN50" si="45">IFERROR(CM22/CM$8,0)</f>
        <v>0.29741751590926974</v>
      </c>
      <c r="CO22" s="532">
        <f t="shared" si="2"/>
        <v>0</v>
      </c>
      <c r="CP22" s="531">
        <f t="shared" ref="CP22:CP50" si="46">IFERROR(CO22/CO$8,0)</f>
        <v>0</v>
      </c>
      <c r="CQ22" s="532">
        <f t="shared" si="2"/>
        <v>0</v>
      </c>
      <c r="CR22" s="531">
        <f t="shared" ref="CR22:CR50" si="47">IFERROR(CQ22/CQ$8,0)</f>
        <v>0</v>
      </c>
      <c r="CS22" s="532">
        <f t="shared" si="2"/>
        <v>501513.05689999997</v>
      </c>
      <c r="CT22" s="531">
        <f t="shared" ref="CT22:CT50" si="48">IFERROR(CS22/CS$8,0)</f>
        <v>0.18699933284141121</v>
      </c>
      <c r="CU22" s="532">
        <f t="shared" si="2"/>
        <v>344785.53980000003</v>
      </c>
      <c r="CV22" s="531">
        <f t="shared" ref="CV22:CV50" si="49">IFERROR(CU22/CU$8,0)</f>
        <v>0.27691901913309408</v>
      </c>
      <c r="CW22" s="532">
        <f t="shared" si="2"/>
        <v>858537.51280000003</v>
      </c>
      <c r="CX22" s="531">
        <f t="shared" ref="CX22:CX50" si="50">IFERROR(CW22/CW$8,0)</f>
        <v>0.21573196955281923</v>
      </c>
      <c r="CY22" s="532">
        <f t="shared" si="2"/>
        <v>511167.32259999996</v>
      </c>
      <c r="CZ22" s="531">
        <f t="shared" ref="CZ22:CZ50" si="51">IFERROR(CY22/CY$8,0)</f>
        <v>0.82949933811230592</v>
      </c>
      <c r="DA22" s="532">
        <f>SUM(DA23:DA26)</f>
        <v>0</v>
      </c>
      <c r="DB22" s="531">
        <f t="shared" ref="DB22:DB50" si="52">IFERROR(DA22/DA$8,0)</f>
        <v>0</v>
      </c>
      <c r="DC22" s="532">
        <f t="shared" si="2"/>
        <v>20442010.718466669</v>
      </c>
      <c r="DD22" s="531">
        <f t="shared" ref="DD22:DD50" si="53">IFERROR(DC22/DC$8,0)</f>
        <v>0.24654555105325593</v>
      </c>
      <c r="DE22" s="532">
        <f t="shared" si="2"/>
        <v>0</v>
      </c>
      <c r="DF22" s="531">
        <f t="shared" ref="DF22:DF50" si="54">IFERROR(DE22/DE$8,0)</f>
        <v>0</v>
      </c>
      <c r="DG22" s="532">
        <f>SUM(DG23:DG26)</f>
        <v>-20442010.718466669</v>
      </c>
      <c r="DH22" s="531">
        <f t="shared" ref="DH22:DH50" si="55">IFERROR(DG22/DG$8,0)</f>
        <v>0.24654555105325593</v>
      </c>
      <c r="DI22" s="499"/>
    </row>
    <row r="23" spans="2:115" outlineLevel="1" x14ac:dyDescent="0.35">
      <c r="B23" s="17" t="s">
        <v>268</v>
      </c>
      <c r="C23" s="87">
        <f>SUMIF('TB Apr 24'!$D$13:$D$103,'MIS Apr24'!$B23,'TB Apr 24'!E$13:E$103)</f>
        <v>126941.62360000001</v>
      </c>
      <c r="D23" s="546">
        <f t="shared" ref="D23:F50" si="56">IFERROR(C23/C$8,0)</f>
        <v>0.1051617162136126</v>
      </c>
      <c r="E23" s="87">
        <f>SUMIF('TB Apr 24'!$D$13:$D$103,'MIS Apr24'!$B23,'TB Apr 24'!F$13:F$103)</f>
        <v>172760.5055</v>
      </c>
      <c r="F23" s="546">
        <f t="shared" si="56"/>
        <v>0.10493394446353346</v>
      </c>
      <c r="G23" s="87">
        <f>SUMIF('TB Apr 24'!$D$13:$D$103,'MIS Apr24'!$B23,'TB Apr 24'!G$13:G$103)</f>
        <v>0</v>
      </c>
      <c r="H23" s="546">
        <f t="shared" si="3"/>
        <v>0</v>
      </c>
      <c r="I23" s="87">
        <f>SUMIF('TB Apr 24'!$D$13:$D$103,'MIS Apr24'!$B23,'TB Apr 24'!H$13:H$103)</f>
        <v>318429.67969999998</v>
      </c>
      <c r="J23" s="546">
        <f t="shared" si="4"/>
        <v>0.10432332169433504</v>
      </c>
      <c r="K23" s="87">
        <f>SUMIF('TB Apr 24'!$D$13:$D$103,'MIS Apr24'!$B23,'TB Apr 24'!I$13:I$103)</f>
        <v>102935.14219999999</v>
      </c>
      <c r="L23" s="546">
        <f t="shared" si="5"/>
        <v>0.10699504578021524</v>
      </c>
      <c r="M23" s="87">
        <f>SUMIF('TB Apr 24'!$D$13:$D$103,'MIS Apr24'!$B23,'TB Apr 24'!J$13:J$103)</f>
        <v>241568.4656</v>
      </c>
      <c r="N23" s="546">
        <f t="shared" si="6"/>
        <v>0.1040058077742385</v>
      </c>
      <c r="O23" s="87">
        <f>SUMIF('TB Apr 24'!$D$13:$D$103,'MIS Apr24'!$B23,'TB Apr 24'!K$13:K$103)</f>
        <v>350886.81429999997</v>
      </c>
      <c r="P23" s="546">
        <f t="shared" si="7"/>
        <v>0.10422296445701953</v>
      </c>
      <c r="Q23" s="87">
        <f>SUMIF('TB Apr 24'!$D$13:$D$103,'MIS Apr24'!$B23,'TB Apr 24'!L$13:L$103)</f>
        <v>0</v>
      </c>
      <c r="R23" s="546">
        <f t="shared" si="8"/>
        <v>0</v>
      </c>
      <c r="S23" s="87">
        <f>SUMIF('TB Apr 24'!$D$13:$D$103,'MIS Apr24'!$B23,'TB Apr 24'!M$13:M$103)</f>
        <v>394426.67989999999</v>
      </c>
      <c r="T23" s="546">
        <f t="shared" si="9"/>
        <v>0.10489653492798004</v>
      </c>
      <c r="U23" s="87">
        <f>SUMIF('TB Apr 24'!$D$13:$D$103,'MIS Apr24'!$B23,'TB Apr 24'!N$13:N$103)</f>
        <v>293750.2194</v>
      </c>
      <c r="V23" s="546">
        <f t="shared" si="10"/>
        <v>0.10425283412945653</v>
      </c>
      <c r="W23" s="87">
        <f>SUMIF('TB Apr 24'!$D$13:$D$103,'MIS Apr24'!$B23,'TB Apr 24'!P$13:P$103)</f>
        <v>0</v>
      </c>
      <c r="X23" s="546">
        <f t="shared" si="11"/>
        <v>0</v>
      </c>
      <c r="Y23" s="87">
        <f>SUMIF('TB Apr 24'!$D$13:$D$103,'MIS Apr24'!$B23,'TB Apr 24'!Q$13:Q$103)</f>
        <v>0</v>
      </c>
      <c r="Z23" s="546">
        <f t="shared" si="12"/>
        <v>0</v>
      </c>
      <c r="AA23" s="87">
        <f>SUMIF('TB Apr 24'!$D$13:$D$103,'MIS Apr24'!$B23,'TB Apr 24'!R$13:R$103)</f>
        <v>306191.87940000003</v>
      </c>
      <c r="AB23" s="546">
        <f t="shared" si="13"/>
        <v>9.7318465003630145E-2</v>
      </c>
      <c r="AC23" s="87">
        <f>SUMIF('TB Apr 24'!$D$13:$D$103,'MIS Apr24'!$B23,'TB Apr 24'!S$13:S$103)</f>
        <v>235790.53410000002</v>
      </c>
      <c r="AD23" s="546">
        <f t="shared" si="14"/>
        <v>0.10384599526071275</v>
      </c>
      <c r="AE23" s="87">
        <f>SUMIF('TB Apr 24'!$D$13:$D$103,'MIS Apr24'!$B23,'TB Apr 24'!T$13:T$103)</f>
        <v>0</v>
      </c>
      <c r="AF23" s="546">
        <f t="shared" si="15"/>
        <v>0</v>
      </c>
      <c r="AG23" s="87">
        <f>SUMIF('TB Apr 24'!$D$13:$D$103,'MIS Apr24'!$B23,'TB Apr 24'!U$13:U$103)</f>
        <v>387072.87520000001</v>
      </c>
      <c r="AH23" s="546">
        <f t="shared" si="16"/>
        <v>0.10414265704157068</v>
      </c>
      <c r="AI23" s="87">
        <f>SUMIF('TB Apr 24'!$D$13:$D$103,'MIS Apr24'!$B23,'TB Apr 24'!V$13:V$103)</f>
        <v>0</v>
      </c>
      <c r="AJ23" s="546">
        <f t="shared" si="17"/>
        <v>0</v>
      </c>
      <c r="AK23" s="87">
        <f>SUMIF('TB Apr 24'!$D$13:$D$103,'MIS Apr24'!$B23,'TB Apr 24'!W$13:W$103)</f>
        <v>92433.987900000007</v>
      </c>
      <c r="AL23" s="546">
        <f t="shared" si="18"/>
        <v>8.5395329922305252E-2</v>
      </c>
      <c r="AM23" s="87">
        <f>SUMIF('TB Apr 24'!$D$13:$D$103,'MIS Apr24'!$B23,'TB Apr 24'!X$13:X$103)</f>
        <v>173950.02269999997</v>
      </c>
      <c r="AN23" s="546">
        <f t="shared" si="19"/>
        <v>8.5020131603727137E-2</v>
      </c>
      <c r="AO23" s="87">
        <f>SUMIF('TB Apr 24'!$D$13:$D$103,'MIS Apr24'!$B23,'TB Apr 24'!Y$13:Y$103)</f>
        <v>149467.48469999997</v>
      </c>
      <c r="AP23" s="546">
        <f t="shared" si="20"/>
        <v>8.4823589930062671E-2</v>
      </c>
      <c r="AQ23" s="87">
        <f>SUMIF('TB Apr 24'!$D$13:$D$103,'MIS Apr24'!$B23,'TB Apr 24'!Z$13:Z$103)</f>
        <v>126103.62419999999</v>
      </c>
      <c r="AR23" s="546">
        <f t="shared" si="21"/>
        <v>8.5413314699632328E-2</v>
      </c>
      <c r="AS23" s="87">
        <f>SUMIF('TB Apr 24'!$D$13:$D$103,'MIS Apr24'!$B23,'TB Apr 24'!AA$13:AA$103)</f>
        <v>159345.49590000001</v>
      </c>
      <c r="AT23" s="546">
        <f t="shared" si="22"/>
        <v>8.537560398269918E-2</v>
      </c>
      <c r="AU23" s="87">
        <f>SUMIF('TB Apr 24'!$D$13:$D$103,'MIS Apr24'!$B23,'TB Apr 24'!AB$13:AB$103)</f>
        <v>0</v>
      </c>
      <c r="AV23" s="546">
        <f t="shared" si="23"/>
        <v>0</v>
      </c>
      <c r="AW23" s="87">
        <f>SUMIF('TB Apr 24'!$D$13:$D$103,'MIS Apr24'!$B23,'TB Apr 24'!AC$13:AC$103)</f>
        <v>314534.04839999997</v>
      </c>
      <c r="AX23" s="546">
        <f t="shared" si="24"/>
        <v>8.488287336103742E-2</v>
      </c>
      <c r="AY23" s="87">
        <f>SUMIF('TB Apr 24'!$D$13:$D$103,'MIS Apr24'!$B23,'TB Apr 24'!AD$13:AD$103)</f>
        <v>356909.80590000004</v>
      </c>
      <c r="AZ23" s="546">
        <f t="shared" si="25"/>
        <v>8.5586990599808177E-2</v>
      </c>
      <c r="BA23" s="87">
        <f>SUMIF('TB Apr 24'!$D$13:$D$103,'MIS Apr24'!$B23,'TB Apr 24'!AE$13:AE$103)</f>
        <v>28294.983</v>
      </c>
      <c r="BB23" s="546">
        <f t="shared" si="26"/>
        <v>8.5950833189864156E-2</v>
      </c>
      <c r="BC23" s="87">
        <f>SUMIF('TB Apr 24'!$D$13:$D$103,'MIS Apr24'!$B23,'TB Apr 24'!AF$13:AF$103)</f>
        <v>176435.34389999998</v>
      </c>
      <c r="BD23" s="546">
        <f t="shared" si="27"/>
        <v>8.4672241152829827E-2</v>
      </c>
      <c r="BE23" s="87">
        <f>SUMIF('TB Apr 24'!$D$13:$D$103,'MIS Apr24'!$B23,'TB Apr 24'!AG$13:AG$103)</f>
        <v>137259.74609999999</v>
      </c>
      <c r="BF23" s="546">
        <f t="shared" si="28"/>
        <v>8.5522766318709378E-2</v>
      </c>
      <c r="BG23" s="87">
        <f>SUMIF('TB Apr 24'!$D$13:$D$103,'MIS Apr24'!$B23,'TB Apr 24'!AH$13:AH$103)</f>
        <v>159809.70689999999</v>
      </c>
      <c r="BH23" s="546">
        <f t="shared" si="29"/>
        <v>8.6852077429606531E-2</v>
      </c>
      <c r="BI23" s="87">
        <f>SUMIF('TB Apr 24'!$D$13:$D$103,'MIS Apr24'!$B23,'TB Apr 24'!AI$13:AI$103)</f>
        <v>201563.58309999999</v>
      </c>
      <c r="BJ23" s="546">
        <f t="shared" si="30"/>
        <v>0.1072549670393642</v>
      </c>
      <c r="BK23" s="87">
        <f>SUMIF('TB Apr 24'!$D$13:$D$103,'MIS Apr24'!$B23,'TB Apr 24'!AJ$13:AJ$103)</f>
        <v>239133.14809999999</v>
      </c>
      <c r="BL23" s="546">
        <f t="shared" si="31"/>
        <v>0.10410665082658513</v>
      </c>
      <c r="BM23" s="87">
        <f>SUMIF('TB Apr 24'!$D$13:$D$103,'MIS Apr24'!$B23,'TB Apr 24'!AK$13:AK$103)</f>
        <v>0</v>
      </c>
      <c r="BN23" s="546">
        <f t="shared" si="32"/>
        <v>0</v>
      </c>
      <c r="BO23" s="87">
        <f>SUMIF('TB Apr 24'!$D$13:$D$103,'MIS Apr24'!$B23,'TB Apr 24'!AL$13:AL$103)</f>
        <v>0</v>
      </c>
      <c r="BP23" s="546">
        <f t="shared" si="33"/>
        <v>0</v>
      </c>
      <c r="BQ23" s="87">
        <f>SUMIF('TB Apr 24'!$D$13:$D$103,'MIS Apr24'!$B23,'TB Apr 24'!AM$13:AM$103)</f>
        <v>0</v>
      </c>
      <c r="BR23" s="546">
        <f t="shared" si="34"/>
        <v>0</v>
      </c>
      <c r="BS23" s="87">
        <f>SUMIF('TB Apr 24'!$D$13:$D$103,'MIS Apr24'!$B23,'TB Apr 24'!AN$13:AN$103)</f>
        <v>0</v>
      </c>
      <c r="BT23" s="546">
        <f t="shared" si="35"/>
        <v>0</v>
      </c>
      <c r="BU23" s="87">
        <f>SUMIF('TB Apr 24'!$D$13:$D$103,'MIS Apr24'!$B23,'TB Apr 24'!AO$13:AO$103)</f>
        <v>512478.54020000005</v>
      </c>
      <c r="BV23" s="546">
        <f t="shared" si="36"/>
        <v>0.10341580374077081</v>
      </c>
      <c r="BW23" s="87">
        <f>SUMIF('TB Apr 24'!$D$13:$D$103,'MIS Apr24'!$B23,'TB Apr 24'!AP$13:AP$103)</f>
        <v>25020.446</v>
      </c>
      <c r="BX23" s="546">
        <f t="shared" si="37"/>
        <v>0.10439932237618971</v>
      </c>
      <c r="BY23" s="87">
        <f>SUMIF('TB Apr 24'!$D$13:$D$103,'MIS Apr24'!$B23,'TB Apr 24'!AQ$13:AQ$103)</f>
        <v>0</v>
      </c>
      <c r="BZ23" s="546">
        <f t="shared" si="38"/>
        <v>0</v>
      </c>
      <c r="CA23" s="87">
        <f>SUMIF('TB Apr 24'!$D$13:$D$103,'MIS Apr24'!$B23,'TB Apr 24'!AR$13:AR$103)</f>
        <v>590303.16070000001</v>
      </c>
      <c r="CB23" s="546">
        <f t="shared" si="39"/>
        <v>0.10393673352893081</v>
      </c>
      <c r="CC23" s="87">
        <f>SUMIF('TB Apr 24'!$D$13:$D$103,'MIS Apr24'!$B23,'TB Apr 24'!AS$13:AS$103)</f>
        <v>224462.51190000001</v>
      </c>
      <c r="CD23" s="546">
        <f t="shared" si="40"/>
        <v>0.10410334091751651</v>
      </c>
      <c r="CE23" s="87">
        <f>SUMIF('TB Apr 24'!$D$13:$D$103,'MIS Apr24'!$B23,'TB Apr 24'!AT$13:AT$103)</f>
        <v>168301.07139999999</v>
      </c>
      <c r="CF23" s="546">
        <f t="shared" si="41"/>
        <v>0.10429493409749797</v>
      </c>
      <c r="CG23" s="87">
        <f>SUMIF('TB Apr 24'!$D$13:$D$103,'MIS Apr24'!$B23,'TB Apr 24'!AU$13:AU$103)</f>
        <v>0</v>
      </c>
      <c r="CH23" s="546">
        <f t="shared" si="42"/>
        <v>0</v>
      </c>
      <c r="CI23" s="87">
        <f>SUMIF('TB Apr 24'!$D$13:$D$103,'MIS Apr24'!$B23,'TB Apr 24'!AV$13:AV$103)</f>
        <v>220965.43150000001</v>
      </c>
      <c r="CJ23" s="546">
        <f t="shared" si="43"/>
        <v>0.10482869874573592</v>
      </c>
      <c r="CK23" s="87">
        <f>SUMIF('TB Apr 24'!$D$13:$D$103,'MIS Apr24'!$B23,'TB Apr 24'!AW$13:AW$103)</f>
        <v>220505.27619999999</v>
      </c>
      <c r="CL23" s="546">
        <f t="shared" si="44"/>
        <v>0.10585377136729661</v>
      </c>
      <c r="CM23" s="87">
        <f>SUMIF('TB Apr 24'!$D$13:$D$103,'MIS Apr24'!$B23,'TB Apr 24'!AX$13:AX$103)</f>
        <v>118991.35709999998</v>
      </c>
      <c r="CN23" s="546">
        <f t="shared" si="45"/>
        <v>0.10405093976851158</v>
      </c>
      <c r="CO23" s="87">
        <f>SUMIF('TB Apr 24'!$D$13:$D$103,'MIS Apr24'!$B23,'TB Apr 24'!AY$13:AY$103)</f>
        <v>0</v>
      </c>
      <c r="CP23" s="546">
        <f t="shared" si="46"/>
        <v>0</v>
      </c>
      <c r="CQ23" s="87">
        <f>SUMIF('TB Apr 24'!$D$13:$D$103,'MIS Apr24'!$B23,'TB Apr 24'!AZ$13:AZ$103)</f>
        <v>0</v>
      </c>
      <c r="CR23" s="546">
        <f t="shared" si="47"/>
        <v>0</v>
      </c>
      <c r="CS23" s="87">
        <f>SUMIF('TB Apr 24'!$D$13:$D$103,'MIS Apr24'!$B23,'TB Apr 24'!BA$13:BA$103)</f>
        <v>280381.45189999999</v>
      </c>
      <c r="CT23" s="546">
        <f t="shared" si="48"/>
        <v>0.10454592103842436</v>
      </c>
      <c r="CU23" s="87">
        <f>SUMIF('TB Apr 24'!$D$13:$D$103,'MIS Apr24'!$B23,'TB Apr 24'!BB$13:BB$103)</f>
        <v>130078.5398</v>
      </c>
      <c r="CV23" s="546">
        <f t="shared" si="49"/>
        <v>0.10447428181754952</v>
      </c>
      <c r="CW23" s="87">
        <f>SUMIF('TB Apr 24'!$D$13:$D$103,'MIS Apr24'!$B23,'TB Apr 24'!BC$13:BC$103)</f>
        <v>411508.51280000003</v>
      </c>
      <c r="CX23" s="546">
        <f t="shared" si="50"/>
        <v>0.10340321841565957</v>
      </c>
      <c r="CY23" s="87">
        <f>SUMIF('TB Apr 24'!$D$13:$D$103,'MIS Apr24'!$B23,'TB Apr 24'!BD$13:BD$103)</f>
        <v>64138.322599999992</v>
      </c>
      <c r="CZ23" s="546">
        <f t="shared" si="51"/>
        <v>0.10408078488609857</v>
      </c>
      <c r="DA23" s="87">
        <f>SUMIF('TB Apr 24'!$D$13:$D$103,'MIS Apr24'!$B23,'TB Apr 24'!O$13:O$103)</f>
        <v>0</v>
      </c>
      <c r="DB23" s="546">
        <f t="shared" si="52"/>
        <v>0</v>
      </c>
      <c r="DC23" s="87">
        <f>SUM(C23,E23,I23,K23,M23,O23,S23,U23,AA23,AC23,AG23,AK23,AM23,AO23,AQ23,AS23,AW23,AY23,BA23,BC23,BE23,BG23,BI23,BK23,BU23,BW23,CA23,CC23,CE23,CI23,CK23,CM23,CS23,CU23,CW23,CY23,DA23)</f>
        <v>8213130.0217999993</v>
      </c>
      <c r="DD23" s="546">
        <f t="shared" si="53"/>
        <v>9.9056335259010503E-2</v>
      </c>
      <c r="DE23" s="87"/>
      <c r="DF23" s="546">
        <f t="shared" si="54"/>
        <v>0</v>
      </c>
      <c r="DG23" s="87">
        <f>DE23-DC23</f>
        <v>-8213130.0217999993</v>
      </c>
      <c r="DH23" s="546">
        <f t="shared" si="55"/>
        <v>9.9056335259010503E-2</v>
      </c>
      <c r="DI23" s="499"/>
      <c r="DJ23" s="308"/>
    </row>
    <row r="24" spans="2:115" outlineLevel="1" x14ac:dyDescent="0.35">
      <c r="B24" s="17" t="s">
        <v>269</v>
      </c>
      <c r="C24" s="87">
        <f>SUMIF('TB Apr 24'!$D$13:$D$103,'MIS Apr24'!$B24,'TB Apr 24'!E$13:E$103)</f>
        <v>84876</v>
      </c>
      <c r="D24" s="546">
        <f t="shared" si="56"/>
        <v>7.0313468287375697E-2</v>
      </c>
      <c r="E24" s="87">
        <f>SUMIF('TB Apr 24'!$D$13:$D$103,'MIS Apr24'!$B24,'TB Apr 24'!F$13:F$103)</f>
        <v>108720</v>
      </c>
      <c r="F24" s="546">
        <f t="shared" si="56"/>
        <v>6.6036032998730482E-2</v>
      </c>
      <c r="G24" s="87">
        <f>SUMIF('TB Apr 24'!$D$13:$D$103,'MIS Apr24'!$B24,'TB Apr 24'!G$13:G$103)</f>
        <v>0</v>
      </c>
      <c r="H24" s="546">
        <f t="shared" si="3"/>
        <v>0</v>
      </c>
      <c r="I24" s="87">
        <f>SUMIF('TB Apr 24'!$D$13:$D$103,'MIS Apr24'!$B24,'TB Apr 24'!H$13:H$103)</f>
        <v>120444</v>
      </c>
      <c r="J24" s="546">
        <f t="shared" si="4"/>
        <v>3.9459632563115285E-2</v>
      </c>
      <c r="K24" s="87">
        <f>SUMIF('TB Apr 24'!$D$13:$D$103,'MIS Apr24'!$B24,'TB Apr 24'!I$13:I$103)</f>
        <v>50806</v>
      </c>
      <c r="L24" s="546">
        <f t="shared" si="5"/>
        <v>5.2809858516031816E-2</v>
      </c>
      <c r="M24" s="87">
        <f>SUMIF('TB Apr 24'!$D$13:$D$103,'MIS Apr24'!$B24,'TB Apr 24'!J$13:J$103)</f>
        <v>72886</v>
      </c>
      <c r="N24" s="546">
        <f t="shared" si="6"/>
        <v>3.1380616201724748E-2</v>
      </c>
      <c r="O24" s="87">
        <f>SUMIF('TB Apr 24'!$D$13:$D$103,'MIS Apr24'!$B24,'TB Apr 24'!K$13:K$103)</f>
        <v>72886</v>
      </c>
      <c r="P24" s="546">
        <f t="shared" si="7"/>
        <v>2.1649132078584141E-2</v>
      </c>
      <c r="Q24" s="87">
        <f>SUMIF('TB Apr 24'!$D$13:$D$103,'MIS Apr24'!$B24,'TB Apr 24'!L$13:L$103)</f>
        <v>0</v>
      </c>
      <c r="R24" s="546">
        <f t="shared" si="8"/>
        <v>0</v>
      </c>
      <c r="S24" s="87">
        <f>SUMIF('TB Apr 24'!$D$13:$D$103,'MIS Apr24'!$B24,'TB Apr 24'!M$13:M$103)</f>
        <v>72886</v>
      </c>
      <c r="T24" s="546">
        <f t="shared" si="9"/>
        <v>1.9383802451444547E-2</v>
      </c>
      <c r="U24" s="87">
        <f>SUMIF('TB Apr 24'!$D$13:$D$103,'MIS Apr24'!$B24,'TB Apr 24'!N$13:N$103)</f>
        <v>72886</v>
      </c>
      <c r="V24" s="546">
        <f t="shared" si="10"/>
        <v>2.5867460061408786E-2</v>
      </c>
      <c r="W24" s="87"/>
      <c r="X24" s="546">
        <f t="shared" si="11"/>
        <v>0</v>
      </c>
      <c r="Y24" s="87">
        <f>SUMIF('TB Apr 24'!$D$13:$D$103,'MIS Apr24'!$B24,'TB Apr 24'!Q$13:Q$103)</f>
        <v>0</v>
      </c>
      <c r="Z24" s="546">
        <f t="shared" si="12"/>
        <v>0</v>
      </c>
      <c r="AA24" s="87">
        <f>SUMIF('TB Apr 24'!$D$13:$D$103,'MIS Apr24'!$B24,'TB Apr 24'!R$13:R$103)</f>
        <v>82044</v>
      </c>
      <c r="AB24" s="546">
        <f t="shared" si="13"/>
        <v>2.6076446437455162E-2</v>
      </c>
      <c r="AC24" s="87">
        <f>SUMIF('TB Apr 24'!$D$13:$D$103,'MIS Apr24'!$B24,'TB Apr 24'!S$13:S$103)</f>
        <v>299598</v>
      </c>
      <c r="AD24" s="546">
        <f t="shared" si="14"/>
        <v>0.13194784348265751</v>
      </c>
      <c r="AE24" s="87">
        <f>SUMIF('TB Apr 24'!$D$13:$D$103,'MIS Apr24'!$B24,'TB Apr 24'!T$13:T$103)</f>
        <v>0</v>
      </c>
      <c r="AF24" s="546">
        <f t="shared" si="15"/>
        <v>0</v>
      </c>
      <c r="AG24" s="87">
        <f>SUMIF('TB Apr 24'!$D$13:$D$103,'MIS Apr24'!$B24,'TB Apr 24'!U$13:U$103)</f>
        <v>157066</v>
      </c>
      <c r="AH24" s="546">
        <f t="shared" si="16"/>
        <v>4.2258891332645203E-2</v>
      </c>
      <c r="AI24" s="87">
        <f>SUMIF('TB Apr 24'!$D$13:$D$103,'MIS Apr24'!$B24,'TB Apr 24'!V$13:V$103)</f>
        <v>0</v>
      </c>
      <c r="AJ24" s="546">
        <f t="shared" si="17"/>
        <v>0</v>
      </c>
      <c r="AK24" s="87">
        <f>SUMIF('TB Apr 24'!$D$13:$D$103,'MIS Apr24'!$B24,'TB Apr 24'!W$13:W$103)</f>
        <v>116405</v>
      </c>
      <c r="AL24" s="546">
        <f t="shared" si="18"/>
        <v>0.10754099877590527</v>
      </c>
      <c r="AM24" s="87">
        <f>SUMIF('TB Apr 24'!$D$13:$D$103,'MIS Apr24'!$B24,'TB Apr 24'!X$13:X$103)</f>
        <v>150958</v>
      </c>
      <c r="AN24" s="546">
        <f t="shared" si="19"/>
        <v>7.3782508489637827E-2</v>
      </c>
      <c r="AO24" s="87">
        <f>SUMIF('TB Apr 24'!$D$13:$D$103,'MIS Apr24'!$B24,'TB Apr 24'!Y$13:Y$103)</f>
        <v>116405</v>
      </c>
      <c r="AP24" s="546">
        <f t="shared" si="20"/>
        <v>6.6060454590689627E-2</v>
      </c>
      <c r="AQ24" s="87">
        <f>SUMIF('TB Apr 24'!$D$13:$D$103,'MIS Apr24'!$B24,'TB Apr 24'!Z$13:Z$103)</f>
        <v>47380</v>
      </c>
      <c r="AR24" s="546">
        <f t="shared" si="21"/>
        <v>3.2091725167630668E-2</v>
      </c>
      <c r="AS24" s="87">
        <f>SUMIF('TB Apr 24'!$D$13:$D$103,'MIS Apr24'!$B24,'TB Apr 24'!AA$13:AA$103)</f>
        <v>45942</v>
      </c>
      <c r="AT24" s="546">
        <f t="shared" si="22"/>
        <v>2.4615229793722493E-2</v>
      </c>
      <c r="AU24" s="87">
        <f>SUMIF('TB Apr 24'!$D$13:$D$103,'MIS Apr24'!$B24,'TB Apr 24'!AB$13:AB$103)</f>
        <v>0</v>
      </c>
      <c r="AV24" s="546">
        <f t="shared" si="23"/>
        <v>0</v>
      </c>
      <c r="AW24" s="87">
        <f>SUMIF('TB Apr 24'!$D$13:$D$103,'MIS Apr24'!$B24,'TB Apr 24'!AC$13:AC$103)</f>
        <v>112062.10092261345</v>
      </c>
      <c r="AX24" s="546">
        <f t="shared" si="24"/>
        <v>3.0242045875711283E-2</v>
      </c>
      <c r="AY24" s="87">
        <f>SUMIF('TB Apr 24'!$D$13:$D$103,'MIS Apr24'!$B24,'TB Apr 24'!AD$13:AD$103)</f>
        <v>127864.64131048767</v>
      </c>
      <c r="AZ24" s="546">
        <f t="shared" si="25"/>
        <v>3.0661947845038322E-2</v>
      </c>
      <c r="BA24" s="87">
        <f>SUMIF('TB Apr 24'!$D$13:$D$103,'MIS Apr24'!$B24,'TB Apr 24'!AE$13:AE$103)</f>
        <v>69044.074311178061</v>
      </c>
      <c r="BB24" s="546">
        <f t="shared" si="26"/>
        <v>0.20973314293451426</v>
      </c>
      <c r="BC24" s="87">
        <f>SUMIF('TB Apr 24'!$D$13:$D$103,'MIS Apr24'!$B24,'TB Apr 24'!AF$13:AF$103)</f>
        <v>142251.18345572083</v>
      </c>
      <c r="BD24" s="546">
        <f t="shared" si="27"/>
        <v>6.8267084381148369E-2</v>
      </c>
      <c r="BE24" s="87">
        <f>SUMIF('TB Apr 24'!$D$13:$D$103,'MIS Apr24'!$B24,'TB Apr 24'!AG$13:AG$103)</f>
        <v>52455</v>
      </c>
      <c r="BF24" s="546">
        <f t="shared" si="28"/>
        <v>3.2683265376140025E-2</v>
      </c>
      <c r="BG24" s="87">
        <f>SUMIF('TB Apr 24'!$D$13:$D$103,'MIS Apr24'!$B24,'TB Apr 24'!AH$13:AH$103)</f>
        <v>59449</v>
      </c>
      <c r="BH24" s="546">
        <f t="shared" si="29"/>
        <v>3.2308858149296051E-2</v>
      </c>
      <c r="BI24" s="87">
        <f>SUMIF('TB Apr 24'!$D$13:$D$103,'MIS Apr24'!$B24,'TB Apr 24'!AI$13:AI$103)</f>
        <v>114354</v>
      </c>
      <c r="BJ24" s="546">
        <f t="shared" si="30"/>
        <v>6.0849456594222716E-2</v>
      </c>
      <c r="BK24" s="87">
        <f>SUMIF('TB Apr 24'!$D$13:$D$103,'MIS Apr24'!$B24,'TB Apr 24'!AJ$13:AJ$103)</f>
        <v>69448</v>
      </c>
      <c r="BL24" s="546">
        <f t="shared" si="31"/>
        <v>3.0234196906826421E-2</v>
      </c>
      <c r="BM24" s="87"/>
      <c r="BN24" s="546">
        <f t="shared" si="32"/>
        <v>0</v>
      </c>
      <c r="BO24" s="87">
        <f>SUMIF('TB Apr 24'!$D$13:$D$103,'MIS Apr24'!$B24,'TB Apr 24'!AL$13:AL$103)</f>
        <v>0</v>
      </c>
      <c r="BP24" s="546">
        <f t="shared" si="33"/>
        <v>0</v>
      </c>
      <c r="BQ24" s="87">
        <f>SUMIF('TB Apr 24'!$D$13:$D$103,'MIS Apr24'!$B24,'TB Apr 24'!AM$13:AM$103)</f>
        <v>0</v>
      </c>
      <c r="BR24" s="546">
        <f t="shared" si="34"/>
        <v>0</v>
      </c>
      <c r="BS24" s="87">
        <f>SUMIF('TB Apr 24'!$D$13:$D$103,'MIS Apr24'!$B24,'TB Apr 24'!AN$13:AN$103)</f>
        <v>0</v>
      </c>
      <c r="BT24" s="546">
        <f t="shared" si="35"/>
        <v>0</v>
      </c>
      <c r="BU24" s="87">
        <f>SUMIF('TB Apr 24'!$D$13:$D$103,'MIS Apr24'!$B24,'TB Apr 24'!AO$13:AO$103)</f>
        <v>156928</v>
      </c>
      <c r="BV24" s="546">
        <f t="shared" si="36"/>
        <v>3.1667345998718718E-2</v>
      </c>
      <c r="BW24" s="87">
        <f>SUMIF('TB Apr 24'!$D$13:$D$103,'MIS Apr24'!$B24,'TB Apr 24'!AP$13:AP$103)</f>
        <v>53123</v>
      </c>
      <c r="BX24" s="546">
        <f t="shared" si="37"/>
        <v>0.22165892656710937</v>
      </c>
      <c r="BY24" s="87">
        <f>SUMIF('TB Apr 24'!$D$13:$D$103,'MIS Apr24'!$B24,'TB Apr 24'!AQ$13:AQ$103)</f>
        <v>0</v>
      </c>
      <c r="BZ24" s="546">
        <f t="shared" si="38"/>
        <v>0</v>
      </c>
      <c r="CA24" s="87">
        <f>SUMIF('TB Apr 24'!$D$13:$D$103,'MIS Apr24'!$B24,'TB Apr 24'!AR$13:AR$103)</f>
        <v>165676</v>
      </c>
      <c r="CB24" s="546">
        <f t="shared" si="39"/>
        <v>2.9171150369107519E-2</v>
      </c>
      <c r="CC24" s="87">
        <f>SUMIF('TB Apr 24'!$D$13:$D$103,'MIS Apr24'!$B24,'TB Apr 24'!AS$13:AS$103)</f>
        <v>159265</v>
      </c>
      <c r="CD24" s="546">
        <f t="shared" si="40"/>
        <v>7.3865423900338456E-2</v>
      </c>
      <c r="CE24" s="87">
        <f>SUMIF('TB Apr 24'!$D$13:$D$103,'MIS Apr24'!$B24,'TB Apr 24'!AT$13:AT$103)</f>
        <v>101584</v>
      </c>
      <c r="CF24" s="546">
        <f t="shared" si="41"/>
        <v>6.2950856445707901E-2</v>
      </c>
      <c r="CG24" s="87">
        <f>SUMIF('TB Apr 24'!$D$13:$D$103,'MIS Apr24'!$B24,'TB Apr 24'!AU$13:AU$103)</f>
        <v>0</v>
      </c>
      <c r="CH24" s="546">
        <f t="shared" si="42"/>
        <v>0</v>
      </c>
      <c r="CI24" s="87">
        <f>SUMIF('TB Apr 24'!$D$13:$D$103,'MIS Apr24'!$B24,'TB Apr 24'!AV$13:AV$103)</f>
        <v>83603</v>
      </c>
      <c r="CJ24" s="546">
        <f t="shared" si="43"/>
        <v>3.9662284013143291E-2</v>
      </c>
      <c r="CK24" s="87">
        <f>SUMIF('TB Apr 24'!$D$13:$D$103,'MIS Apr24'!$B24,'TB Apr 24'!AW$13:AW$103)</f>
        <v>83603</v>
      </c>
      <c r="CL24" s="546">
        <f t="shared" si="44"/>
        <v>4.0133701107420934E-2</v>
      </c>
      <c r="CM24" s="87">
        <f>SUMIF('TB Apr 24'!$D$13:$D$103,'MIS Apr24'!$B24,'TB Apr 24'!AX$13:AX$103)</f>
        <v>102581</v>
      </c>
      <c r="CN24" s="546">
        <f t="shared" si="45"/>
        <v>8.9701048147753995E-2</v>
      </c>
      <c r="CO24" s="87"/>
      <c r="CP24" s="546">
        <f t="shared" si="46"/>
        <v>0</v>
      </c>
      <c r="CQ24" s="87">
        <f>SUMIF('TB Apr 24'!$D$13:$D$103,'MIS Apr24'!$B24,'TB Apr 24'!AZ$13:AZ$103)</f>
        <v>0</v>
      </c>
      <c r="CR24" s="546">
        <f t="shared" si="47"/>
        <v>0</v>
      </c>
      <c r="CS24" s="87">
        <f>SUMIF('TB Apr 24'!$D$13:$D$103,'MIS Apr24'!$B24,'TB Apr 24'!BA$13:BA$103)</f>
        <v>102581</v>
      </c>
      <c r="CT24" s="546">
        <f t="shared" si="48"/>
        <v>3.8249410056794886E-2</v>
      </c>
      <c r="CU24" s="87">
        <f>SUMIF('TB Apr 24'!$D$13:$D$103,'MIS Apr24'!$B24,'TB Apr 24'!BB$13:BB$103)</f>
        <v>62304</v>
      </c>
      <c r="CV24" s="546">
        <f t="shared" si="49"/>
        <v>5.0040273087080006E-2</v>
      </c>
      <c r="CW24" s="87">
        <f>SUMIF('TB Apr 24'!$D$13:$D$103,'MIS Apr24'!$B24,'TB Apr 24'!BC$13:BC$103)</f>
        <v>111797</v>
      </c>
      <c r="CX24" s="546">
        <f t="shared" si="50"/>
        <v>2.809217610240284E-2</v>
      </c>
      <c r="CY24" s="87">
        <f>SUMIF('TB Apr 24'!$D$13:$D$103,'MIS Apr24'!$B24,'TB Apr 24'!BD$13:BD$103)</f>
        <v>111797</v>
      </c>
      <c r="CZ24" s="546">
        <f t="shared" si="51"/>
        <v>0.18141914281854266</v>
      </c>
      <c r="DA24" s="87">
        <f>SUMIF('TB Apr 24'!$D$13:$D$103,'MIS Apr24'!$B24,'TB Apr 24'!O$13:O$103)</f>
        <v>0</v>
      </c>
      <c r="DB24" s="546">
        <f t="shared" si="52"/>
        <v>0</v>
      </c>
      <c r="DC24" s="87">
        <f>SUM(C24,E24,I24,K24,M24,O24,S24,U24,AA24,AC24,AG24,AK24,AM24,AO24,AQ24,AS24,AW24,AY24,BA24,BC24,BE24,BG24,BI24,BK24,BU24,BW24,CA24,CC24,CE24,CI24,CK24,CM24,CS24,CU24,CW24,CY24,DA24)</f>
        <v>3713958</v>
      </c>
      <c r="DD24" s="546">
        <f t="shared" si="53"/>
        <v>4.4793040875938391E-2</v>
      </c>
      <c r="DE24" s="87"/>
      <c r="DF24" s="546">
        <f t="shared" si="54"/>
        <v>0</v>
      </c>
      <c r="DG24" s="87">
        <f>DE24-DC24</f>
        <v>-3713958</v>
      </c>
      <c r="DH24" s="546">
        <f t="shared" si="55"/>
        <v>4.4793040875938391E-2</v>
      </c>
      <c r="DI24" s="499"/>
    </row>
    <row r="25" spans="2:115" outlineLevel="1" x14ac:dyDescent="0.35">
      <c r="B25" s="86" t="s">
        <v>287</v>
      </c>
      <c r="C25" s="87">
        <f>SUMIF('TB Apr 24'!$D$13:$D$103,'MIS Apr24'!$B25,'TB Apr 24'!E$13:E$103)</f>
        <v>127176</v>
      </c>
      <c r="D25" s="546">
        <f t="shared" si="56"/>
        <v>0.10535587967052278</v>
      </c>
      <c r="E25" s="87">
        <f>SUMIF('TB Apr 24'!$D$13:$D$103,'MIS Apr24'!$B25,'TB Apr 24'!F$13:F$103)</f>
        <v>147771</v>
      </c>
      <c r="F25" s="546">
        <f t="shared" si="56"/>
        <v>8.9755432599847335E-2</v>
      </c>
      <c r="G25" s="87">
        <f>SUMIF('TB Apr 24'!$D$13:$D$103,'MIS Apr24'!$B25,'TB Apr 24'!G$13:G$103)</f>
        <v>0</v>
      </c>
      <c r="H25" s="546">
        <f t="shared" si="3"/>
        <v>0</v>
      </c>
      <c r="I25" s="87">
        <f>SUMIF('TB Apr 24'!$D$13:$D$103,'MIS Apr24'!$B25,'TB Apr 24'!H$13:H$103)</f>
        <v>175710</v>
      </c>
      <c r="J25" s="546">
        <f t="shared" si="4"/>
        <v>5.7565773618154389E-2</v>
      </c>
      <c r="K25" s="87">
        <f>SUMIF('TB Apr 24'!$D$13:$D$103,'MIS Apr24'!$B25,'TB Apr 24'!I$13:I$103)</f>
        <v>78943</v>
      </c>
      <c r="L25" s="546">
        <f t="shared" si="5"/>
        <v>8.2056620494254606E-2</v>
      </c>
      <c r="M25" s="87">
        <f>SUMIF('TB Apr 24'!$D$13:$D$103,'MIS Apr24'!$B25,'TB Apr 24'!J$13:J$103)</f>
        <v>114815</v>
      </c>
      <c r="N25" s="546">
        <f t="shared" si="6"/>
        <v>4.9432887649219694E-2</v>
      </c>
      <c r="O25" s="87">
        <f>SUMIF('TB Apr 24'!$D$13:$D$103,'MIS Apr24'!$B25,'TB Apr 24'!K$13:K$103)</f>
        <v>132268</v>
      </c>
      <c r="P25" s="546">
        <f t="shared" si="7"/>
        <v>3.9287207444093065E-2</v>
      </c>
      <c r="Q25" s="87">
        <f>SUMIF('TB Apr 24'!$D$13:$D$103,'MIS Apr24'!$B25,'TB Apr 24'!L$13:L$103)</f>
        <v>0</v>
      </c>
      <c r="R25" s="546">
        <f t="shared" si="8"/>
        <v>0</v>
      </c>
      <c r="S25" s="87">
        <f>SUMIF('TB Apr 24'!$D$13:$D$103,'MIS Apr24'!$B25,'TB Apr 24'!M$13:M$103)</f>
        <v>109242</v>
      </c>
      <c r="T25" s="546">
        <f t="shared" si="9"/>
        <v>2.9052566300808182E-2</v>
      </c>
      <c r="U25" s="87">
        <f>SUMIF('TB Apr 24'!$D$13:$D$103,'MIS Apr24'!$B25,'TB Apr 24'!N$13:N$103)</f>
        <v>109242</v>
      </c>
      <c r="V25" s="546">
        <f t="shared" si="10"/>
        <v>3.8770313531109116E-2</v>
      </c>
      <c r="W25" s="87">
        <f>SUMIF('TB Apr 24'!$D$13:$D$103,'MIS Apr24'!$B25,'TB Apr 24'!P$13:P$103)</f>
        <v>0</v>
      </c>
      <c r="X25" s="546">
        <f t="shared" si="11"/>
        <v>0</v>
      </c>
      <c r="Y25" s="87">
        <f>SUMIF('TB Apr 24'!$D$13:$D$103,'MIS Apr24'!$B25,'TB Apr 24'!Q$13:Q$103)</f>
        <v>0</v>
      </c>
      <c r="Z25" s="546">
        <f t="shared" si="12"/>
        <v>0</v>
      </c>
      <c r="AA25" s="87">
        <f>SUMIF('TB Apr 24'!$D$13:$D$103,'MIS Apr24'!$B25,'TB Apr 24'!R$13:R$103)</f>
        <v>51499</v>
      </c>
      <c r="AB25" s="546">
        <f t="shared" si="13"/>
        <v>1.6368179453494506E-2</v>
      </c>
      <c r="AC25" s="87">
        <f>SUMIF('TB Apr 24'!$D$13:$D$103,'MIS Apr24'!$B25,'TB Apr 24'!S$13:S$103)</f>
        <v>301315</v>
      </c>
      <c r="AD25" s="546">
        <f t="shared" si="14"/>
        <v>0.13270403827454438</v>
      </c>
      <c r="AE25" s="87">
        <f>SUMIF('TB Apr 24'!$D$13:$D$103,'MIS Apr24'!$B25,'TB Apr 24'!T$13:T$103)</f>
        <v>0</v>
      </c>
      <c r="AF25" s="546">
        <f t="shared" si="15"/>
        <v>0</v>
      </c>
      <c r="AG25" s="87">
        <f>SUMIF('TB Apr 24'!$D$13:$D$103,'MIS Apr24'!$B25,'TB Apr 24'!U$13:U$103)</f>
        <v>231192</v>
      </c>
      <c r="AH25" s="546">
        <f t="shared" si="16"/>
        <v>6.220262567950359E-2</v>
      </c>
      <c r="AI25" s="87">
        <f>SUMIF('TB Apr 24'!$D$13:$D$103,'MIS Apr24'!$B25,'TB Apr 24'!V$13:V$103)</f>
        <v>0</v>
      </c>
      <c r="AJ25" s="546">
        <f t="shared" si="17"/>
        <v>0</v>
      </c>
      <c r="AK25" s="87">
        <f>SUMIF('TB Apr 24'!$D$13:$D$103,'MIS Apr24'!$B25,'TB Apr 24'!W$13:W$103)</f>
        <v>114574.48000000001</v>
      </c>
      <c r="AL25" s="546">
        <f t="shared" si="18"/>
        <v>0.1058498691072547</v>
      </c>
      <c r="AM25" s="87">
        <f>SUMIF('TB Apr 24'!$D$13:$D$103,'MIS Apr24'!$B25,'TB Apr 24'!X$13:X$103)</f>
        <v>103416.84</v>
      </c>
      <c r="AN25" s="546">
        <f t="shared" si="19"/>
        <v>5.0546204078429212E-2</v>
      </c>
      <c r="AO25" s="87">
        <f>SUMIF('TB Apr 24'!$D$13:$D$103,'MIS Apr24'!$B25,'TB Apr 24'!Y$13:Y$103)</f>
        <v>114574.48000000001</v>
      </c>
      <c r="AP25" s="546">
        <f t="shared" si="20"/>
        <v>6.5021624786666191E-2</v>
      </c>
      <c r="AQ25" s="87">
        <f>SUMIF('TB Apr 24'!$D$13:$D$103,'MIS Apr24'!$B25,'TB Apr 24'!Z$13:Z$103)</f>
        <v>137327</v>
      </c>
      <c r="AR25" s="546">
        <f t="shared" si="21"/>
        <v>9.3015203505597652E-2</v>
      </c>
      <c r="AS25" s="87">
        <f>SUMIF('TB Apr 24'!$D$13:$D$103,'MIS Apr24'!$B25,'TB Apr 24'!AA$13:AA$103)</f>
        <v>209273</v>
      </c>
      <c r="AT25" s="546">
        <f t="shared" si="22"/>
        <v>0.11212622403512444</v>
      </c>
      <c r="AU25" s="87">
        <f>SUMIF('TB Apr 24'!$D$13:$D$103,'MIS Apr24'!$B25,'TB Apr 24'!AB$13:AB$103)</f>
        <v>0</v>
      </c>
      <c r="AV25" s="546">
        <f t="shared" si="23"/>
        <v>0</v>
      </c>
      <c r="AW25" s="87">
        <f>SUMIF('TB Apr 24'!$D$13:$D$103,'MIS Apr24'!$B25,'TB Apr 24'!AC$13:AC$103)</f>
        <v>200509.60666541141</v>
      </c>
      <c r="AX25" s="546">
        <f t="shared" si="24"/>
        <v>5.4111253254868749E-2</v>
      </c>
      <c r="AY25" s="87">
        <f>SUMIF('TB Apr 24'!$D$13:$D$103,'MIS Apr24'!$B25,'TB Apr 24'!AD$13:AD$103)</f>
        <v>228784.65354923741</v>
      </c>
      <c r="AZ25" s="546">
        <f t="shared" si="25"/>
        <v>5.4862572193337851E-2</v>
      </c>
      <c r="BA25" s="87">
        <f>SUMIF('TB Apr 24'!$D$13:$D$103,'MIS Apr24'!$B25,'TB Apr 24'!AE$13:AE$103)</f>
        <v>123538.64570388503</v>
      </c>
      <c r="BB25" s="546">
        <f t="shared" si="26"/>
        <v>0.37526969107549391</v>
      </c>
      <c r="BC25" s="87">
        <f>SUMIF('TB Apr 24'!$D$13:$D$103,'MIS Apr24'!$B25,'TB Apr 24'!AF$13:AF$103)</f>
        <v>254526.09408146614</v>
      </c>
      <c r="BD25" s="546">
        <f t="shared" si="27"/>
        <v>0.12214839918904569</v>
      </c>
      <c r="BE25" s="87">
        <f>SUMIF('TB Apr 24'!$D$13:$D$103,'MIS Apr24'!$B25,'TB Apr 24'!AG$13:AG$103)</f>
        <v>110215</v>
      </c>
      <c r="BF25" s="546">
        <f t="shared" si="28"/>
        <v>6.8671930100681969E-2</v>
      </c>
      <c r="BG25" s="87">
        <f>SUMIF('TB Apr 24'!$D$13:$D$103,'MIS Apr24'!$B25,'TB Apr 24'!AH$13:AH$103)</f>
        <v>219598</v>
      </c>
      <c r="BH25" s="546">
        <f t="shared" si="29"/>
        <v>0.11934533182844312</v>
      </c>
      <c r="BI25" s="87">
        <f>SUMIF('TB Apr 24'!$D$13:$D$103,'MIS Apr24'!$B25,'TB Apr 24'!AI$13:AI$103)</f>
        <v>22261</v>
      </c>
      <c r="BJ25" s="546">
        <f t="shared" si="30"/>
        <v>1.1845407709778337E-2</v>
      </c>
      <c r="BK25" s="87">
        <f>SUMIF('TB Apr 24'!$D$13:$D$103,'MIS Apr24'!$B25,'TB Apr 24'!AJ$13:AJ$103)</f>
        <v>56673</v>
      </c>
      <c r="BL25" s="546">
        <f t="shared" si="31"/>
        <v>2.4672598797669823E-2</v>
      </c>
      <c r="BM25" s="87">
        <f>SUMIF('TB Apr 24'!$D$13:$D$103,'MIS Apr24'!$B25,'TB Apr 24'!AK$13:AK$103)</f>
        <v>0</v>
      </c>
      <c r="BN25" s="546">
        <f t="shared" si="32"/>
        <v>0</v>
      </c>
      <c r="BO25" s="87">
        <f>SUMIF('TB Apr 24'!$D$13:$D$103,'MIS Apr24'!$B25,'TB Apr 24'!AL$13:AL$103)</f>
        <v>0</v>
      </c>
      <c r="BP25" s="546">
        <f t="shared" si="33"/>
        <v>0</v>
      </c>
      <c r="BQ25" s="87">
        <f>SUMIF('TB Apr 24'!$D$13:$D$103,'MIS Apr24'!$B25,'TB Apr 24'!AM$13:AM$103)</f>
        <v>0</v>
      </c>
      <c r="BR25" s="546">
        <f t="shared" si="34"/>
        <v>0</v>
      </c>
      <c r="BS25" s="87">
        <f>SUMIF('TB Apr 24'!$D$13:$D$103,'MIS Apr24'!$B25,'TB Apr 24'!AN$13:AN$103)</f>
        <v>0</v>
      </c>
      <c r="BT25" s="546">
        <f t="shared" si="35"/>
        <v>0</v>
      </c>
      <c r="BU25" s="87">
        <f>SUMIF('TB Apr 24'!$D$13:$D$103,'MIS Apr24'!$B25,'TB Apr 24'!AO$13:AO$103)</f>
        <v>367677</v>
      </c>
      <c r="BV25" s="546">
        <f t="shared" si="36"/>
        <v>7.419552135228194E-2</v>
      </c>
      <c r="BW25" s="87">
        <f>SUMIF('TB Apr 24'!$D$13:$D$103,'MIS Apr24'!$B25,'TB Apr 24'!AP$13:AP$103)</f>
        <v>40336</v>
      </c>
      <c r="BX25" s="546">
        <f t="shared" si="37"/>
        <v>0.16830439662690216</v>
      </c>
      <c r="BY25" s="87">
        <f>SUMIF('TB Apr 24'!$D$13:$D$103,'MIS Apr24'!$B25,'TB Apr 24'!AQ$13:AQ$103)</f>
        <v>0</v>
      </c>
      <c r="BZ25" s="546">
        <f t="shared" si="38"/>
        <v>0</v>
      </c>
      <c r="CA25" s="87">
        <f>SUMIF('TB Apr 24'!$D$13:$D$103,'MIS Apr24'!$B25,'TB Apr 24'!AR$13:AR$103)</f>
        <v>293693</v>
      </c>
      <c r="CB25" s="546">
        <f t="shared" si="39"/>
        <v>5.1711549442009071E-2</v>
      </c>
      <c r="CC25" s="87">
        <f>SUMIF('TB Apr 24'!$D$13:$D$103,'MIS Apr24'!$B25,'TB Apr 24'!AS$13:AS$103)</f>
        <v>137588</v>
      </c>
      <c r="CD25" s="546">
        <f t="shared" si="40"/>
        <v>6.3811860381124338E-2</v>
      </c>
      <c r="CE25" s="87">
        <f>SUMIF('TB Apr 24'!$D$13:$D$103,'MIS Apr24'!$B25,'TB Apr 24'!AT$13:AT$103)</f>
        <v>92145</v>
      </c>
      <c r="CF25" s="546">
        <f t="shared" si="41"/>
        <v>5.7101577681423793E-2</v>
      </c>
      <c r="CG25" s="87">
        <f>SUMIF('TB Apr 24'!$D$13:$D$103,'MIS Apr24'!$B25,'TB Apr 24'!AU$13:AU$103)</f>
        <v>0</v>
      </c>
      <c r="CH25" s="546">
        <f t="shared" si="42"/>
        <v>0</v>
      </c>
      <c r="CI25" s="87">
        <f>SUMIF('TB Apr 24'!$D$13:$D$103,'MIS Apr24'!$B25,'TB Apr 24'!AV$13:AV$103)</f>
        <v>72359.5</v>
      </c>
      <c r="CJ25" s="546">
        <f t="shared" si="43"/>
        <v>3.4328230327249527E-2</v>
      </c>
      <c r="CK25" s="87">
        <f>SUMIF('TB Apr 24'!$D$13:$D$103,'MIS Apr24'!$B25,'TB Apr 24'!AW$13:AW$103)</f>
        <v>72359.5</v>
      </c>
      <c r="CL25" s="546">
        <f t="shared" si="44"/>
        <v>3.4736248044716402E-2</v>
      </c>
      <c r="CM25" s="87">
        <f>SUMIF('TB Apr 24'!$D$13:$D$103,'MIS Apr24'!$B25,'TB Apr 24'!AX$13:AX$103)</f>
        <v>69265.104999999996</v>
      </c>
      <c r="CN25" s="546">
        <f t="shared" si="45"/>
        <v>6.0568258435424058E-2</v>
      </c>
      <c r="CO25" s="87">
        <f>SUMIF('TB Apr 24'!$D$13:$D$103,'MIS Apr24'!$B25,'TB Apr 24'!AY$13:AY$103)</f>
        <v>0</v>
      </c>
      <c r="CP25" s="546">
        <f t="shared" si="46"/>
        <v>0</v>
      </c>
      <c r="CQ25" s="87">
        <f>SUMIF('TB Apr 24'!$D$13:$D$103,'MIS Apr24'!$B25,'TB Apr 24'!AZ$13:AZ$103)</f>
        <v>0</v>
      </c>
      <c r="CR25" s="546">
        <f t="shared" si="47"/>
        <v>0</v>
      </c>
      <c r="CS25" s="87">
        <f>SUMIF('TB Apr 24'!$D$13:$D$103,'MIS Apr24'!$B25,'TB Apr 24'!BA$13:BA$103)</f>
        <v>69265.104999999996</v>
      </c>
      <c r="CT25" s="546">
        <f t="shared" si="48"/>
        <v>2.5826901704720691E-2</v>
      </c>
      <c r="CU25" s="87">
        <f>SUMIF('TB Apr 24'!$D$13:$D$103,'MIS Apr24'!$B25,'TB Apr 24'!BB$13:BB$103)</f>
        <v>138271</v>
      </c>
      <c r="CV25" s="546">
        <f t="shared" si="49"/>
        <v>0.11105416345697931</v>
      </c>
      <c r="CW25" s="87">
        <f>SUMIF('TB Apr 24'!$D$13:$D$103,'MIS Apr24'!$B25,'TB Apr 24'!BC$13:BC$103)</f>
        <v>182248</v>
      </c>
      <c r="CX25" s="546">
        <f t="shared" si="50"/>
        <v>4.5794993696706643E-2</v>
      </c>
      <c r="CY25" s="87">
        <f>SUMIF('TB Apr 24'!$D$13:$D$103,'MIS Apr24'!$B25,'TB Apr 24'!BD$13:BD$103)</f>
        <v>182248</v>
      </c>
      <c r="CZ25" s="546">
        <f t="shared" si="51"/>
        <v>0.29574385663652658</v>
      </c>
      <c r="DA25" s="87">
        <f>SUMIF('TB Apr 24'!$D$13:$D$103,'MIS Apr24'!$B25,'TB Apr 24'!O$13:O$103)</f>
        <v>0</v>
      </c>
      <c r="DB25" s="546">
        <f t="shared" si="52"/>
        <v>0</v>
      </c>
      <c r="DC25" s="87">
        <f>SUM(C25,E25,I25,K25,M25,O25,S25,U25,AA25,AC25,AG25,AK25,AM25,AO25,AQ25,AS25,AW25,AY25,BA25,BC25,BE25,BG25,BI25,BK25,BU25,BW25,CA25,CC25,CE25,CI25,CK25,CM25,CS25,CU25,CW25,CY25,DA25)</f>
        <v>5191900.0100000016</v>
      </c>
      <c r="DD25" s="546">
        <f t="shared" si="53"/>
        <v>6.2618098904649713E-2</v>
      </c>
      <c r="DE25" s="87"/>
      <c r="DF25" s="546">
        <f t="shared" si="54"/>
        <v>0</v>
      </c>
      <c r="DG25" s="87">
        <f>DE25-DC25</f>
        <v>-5191900.0100000016</v>
      </c>
      <c r="DH25" s="546">
        <f t="shared" si="55"/>
        <v>6.2618098904649713E-2</v>
      </c>
      <c r="DI25" s="499"/>
    </row>
    <row r="26" spans="2:115" outlineLevel="1" x14ac:dyDescent="0.35">
      <c r="B26" s="86" t="s">
        <v>288</v>
      </c>
      <c r="C26" s="87">
        <f>SUMIF('TB Apr 24'!$D$13:$D$103,'MIS Apr24'!$B26,'TB Apr 24'!E$13:E$103)</f>
        <v>19411.099999999999</v>
      </c>
      <c r="D26" s="546">
        <f t="shared" si="56"/>
        <v>1.6080656066179817E-2</v>
      </c>
      <c r="E26" s="87">
        <f>SUMIF('TB Apr 24'!$D$13:$D$103,'MIS Apr24'!$B26,'TB Apr 24'!F$13:F$103)</f>
        <v>67904.989999999991</v>
      </c>
      <c r="F26" s="546">
        <f t="shared" si="56"/>
        <v>4.1245181755136709E-2</v>
      </c>
      <c r="G26" s="87">
        <f>SUMIF('TB Apr 24'!$D$13:$D$103,'MIS Apr24'!$B26,'TB Apr 24'!G$13:G$103)</f>
        <v>0</v>
      </c>
      <c r="H26" s="546">
        <f t="shared" si="3"/>
        <v>0</v>
      </c>
      <c r="I26" s="87">
        <f>SUMIF('TB Apr 24'!$D$13:$D$103,'MIS Apr24'!$B26,'TB Apr 24'!H$13:H$103)</f>
        <v>47660.270000000004</v>
      </c>
      <c r="J26" s="546">
        <f t="shared" si="4"/>
        <v>1.5614366361619232E-2</v>
      </c>
      <c r="K26" s="87">
        <f>SUMIF('TB Apr 24'!$D$13:$D$103,'MIS Apr24'!$B26,'TB Apr 24'!I$13:I$103)</f>
        <v>20764.22</v>
      </c>
      <c r="L26" s="546">
        <f t="shared" si="5"/>
        <v>2.1583189394869862E-2</v>
      </c>
      <c r="M26" s="87">
        <f>SUMIF('TB Apr 24'!$D$13:$D$103,'MIS Apr24'!$B26,'TB Apr 24'!J$13:J$103)</f>
        <v>31226.676666666666</v>
      </c>
      <c r="N26" s="546">
        <f t="shared" si="6"/>
        <v>1.3444452374009002E-2</v>
      </c>
      <c r="O26" s="87">
        <f>SUMIF('TB Apr 24'!$D$13:$D$103,'MIS Apr24'!$B26,'TB Apr 24'!K$13:K$103)</f>
        <v>110605.13</v>
      </c>
      <c r="P26" s="546">
        <f t="shared" si="7"/>
        <v>3.2852743571316428E-2</v>
      </c>
      <c r="Q26" s="87">
        <f>SUMIF('TB Apr 24'!$D$13:$D$103,'MIS Apr24'!$B26,'TB Apr 24'!L$13:L$103)</f>
        <v>0</v>
      </c>
      <c r="R26" s="546">
        <f t="shared" si="8"/>
        <v>0</v>
      </c>
      <c r="S26" s="87">
        <f>SUMIF('TB Apr 24'!$D$13:$D$103,'MIS Apr24'!$B26,'TB Apr 24'!M$13:M$103)</f>
        <v>100354.51666666666</v>
      </c>
      <c r="T26" s="546">
        <f t="shared" si="9"/>
        <v>2.6688968062136293E-2</v>
      </c>
      <c r="U26" s="87">
        <f>SUMIF('TB Apr 24'!$D$13:$D$103,'MIS Apr24'!$B26,'TB Apr 24'!N$13:N$103)</f>
        <v>100352.51666666666</v>
      </c>
      <c r="V26" s="546">
        <f t="shared" si="10"/>
        <v>3.5615409227243364E-2</v>
      </c>
      <c r="W26" s="87">
        <f>SUMIF('TB Apr 24'!$D$13:$D$103,'MIS Apr24'!$B26,'TB Apr 24'!P$13:P$103)</f>
        <v>0</v>
      </c>
      <c r="X26" s="546">
        <f t="shared" si="11"/>
        <v>0</v>
      </c>
      <c r="Y26" s="87">
        <f>SUMIF('TB Apr 24'!$D$13:$D$103,'MIS Apr24'!$B26,'TB Apr 24'!Q$13:Q$103)</f>
        <v>0</v>
      </c>
      <c r="Z26" s="546">
        <f t="shared" si="12"/>
        <v>0</v>
      </c>
      <c r="AA26" s="87">
        <f>SUMIF('TB Apr 24'!$D$13:$D$103,'MIS Apr24'!$B26,'TB Apr 24'!R$13:R$103)</f>
        <v>128351.25</v>
      </c>
      <c r="AB26" s="546">
        <f t="shared" si="13"/>
        <v>4.0794506555085278E-2</v>
      </c>
      <c r="AC26" s="87">
        <f>SUMIF('TB Apr 24'!$D$13:$D$103,'MIS Apr24'!$B26,'TB Apr 24'!S$13:S$103)</f>
        <v>125065.25</v>
      </c>
      <c r="AD26" s="546">
        <f t="shared" si="14"/>
        <v>5.5080775012247854E-2</v>
      </c>
      <c r="AE26" s="87">
        <f>SUMIF('TB Apr 24'!$D$13:$D$103,'MIS Apr24'!$B26,'TB Apr 24'!T$13:T$103)</f>
        <v>0</v>
      </c>
      <c r="AF26" s="546">
        <f t="shared" si="15"/>
        <v>0</v>
      </c>
      <c r="AG26" s="87">
        <f>SUMIF('TB Apr 24'!$D$13:$D$103,'MIS Apr24'!$B26,'TB Apr 24'!U$13:U$103)</f>
        <v>149880.91666666669</v>
      </c>
      <c r="AH26" s="546">
        <f t="shared" si="16"/>
        <v>4.0325731668559198E-2</v>
      </c>
      <c r="AI26" s="87">
        <f>SUMIF('TB Apr 24'!$D$13:$D$103,'MIS Apr24'!$B26,'TB Apr 24'!V$13:V$103)</f>
        <v>0</v>
      </c>
      <c r="AJ26" s="546">
        <f t="shared" si="17"/>
        <v>0</v>
      </c>
      <c r="AK26" s="87">
        <f>SUMIF('TB Apr 24'!$D$13:$D$103,'MIS Apr24'!$B26,'TB Apr 24'!W$13:W$103)</f>
        <v>140512.75833333333</v>
      </c>
      <c r="AL26" s="546">
        <f t="shared" si="18"/>
        <v>0.12981300091855225</v>
      </c>
      <c r="AM26" s="87">
        <f>SUMIF('TB Apr 24'!$D$13:$D$103,'MIS Apr24'!$B26,'TB Apr 24'!X$13:X$103)</f>
        <v>105336.58333333333</v>
      </c>
      <c r="AN26" s="546">
        <f t="shared" si="19"/>
        <v>5.1484501345149702E-2</v>
      </c>
      <c r="AO26" s="87">
        <f>SUMIF('TB Apr 24'!$D$13:$D$103,'MIS Apr24'!$B26,'TB Apr 24'!Y$13:Y$103)</f>
        <v>140512.75833333333</v>
      </c>
      <c r="AP26" s="546">
        <f t="shared" si="20"/>
        <v>7.9741735245837483E-2</v>
      </c>
      <c r="AQ26" s="87">
        <f>SUMIF('TB Apr 24'!$D$13:$D$103,'MIS Apr24'!$B26,'TB Apr 24'!Z$13:Z$103)</f>
        <v>23822.75</v>
      </c>
      <c r="AR26" s="546">
        <f t="shared" si="21"/>
        <v>1.613577766435571E-2</v>
      </c>
      <c r="AS26" s="87">
        <f>SUMIF('TB Apr 24'!$D$13:$D$103,'MIS Apr24'!$B26,'TB Apr 24'!AA$13:AA$103)</f>
        <v>27530.083333333336</v>
      </c>
      <c r="AT26" s="546">
        <f t="shared" si="22"/>
        <v>1.4750322743683987E-2</v>
      </c>
      <c r="AU26" s="87">
        <f>SUMIF('TB Apr 24'!$D$13:$D$103,'MIS Apr24'!$B26,'TB Apr 24'!AB$13:AB$103)</f>
        <v>0</v>
      </c>
      <c r="AV26" s="546">
        <f t="shared" si="23"/>
        <v>0</v>
      </c>
      <c r="AW26" s="87">
        <f>SUMIF('TB Apr 24'!$D$13:$D$103,'MIS Apr24'!$B26,'TB Apr 24'!AC$13:AC$103)</f>
        <v>110175.90525952427</v>
      </c>
      <c r="AX26" s="546">
        <f t="shared" si="24"/>
        <v>2.9733020832417634E-2</v>
      </c>
      <c r="AY26" s="87">
        <f>SUMIF('TB Apr 24'!$D$13:$D$103,'MIS Apr24'!$B26,'TB Apr 24'!AD$13:AD$103)</f>
        <v>125712.46202849434</v>
      </c>
      <c r="AZ26" s="546">
        <f t="shared" si="25"/>
        <v>3.0145855137771335E-2</v>
      </c>
      <c r="BA26" s="87">
        <f>SUMIF('TB Apr 24'!$D$13:$D$103,'MIS Apr24'!$B26,'TB Apr 24'!AE$13:AE$103)</f>
        <v>67881.945166216872</v>
      </c>
      <c r="BB26" s="546">
        <f t="shared" si="26"/>
        <v>0.20620297759447362</v>
      </c>
      <c r="BC26" s="87">
        <f>SUMIF('TB Apr 24'!$D$13:$D$103,'MIS Apr24'!$B26,'TB Apr 24'!AF$13:AF$103)</f>
        <v>139856.85421243124</v>
      </c>
      <c r="BD26" s="546">
        <f t="shared" si="27"/>
        <v>6.7118033297585464E-2</v>
      </c>
      <c r="BE26" s="87">
        <f>SUMIF('TB Apr 24'!$D$13:$D$103,'MIS Apr24'!$B26,'TB Apr 24'!AG$13:AG$103)</f>
        <v>72369.916666666657</v>
      </c>
      <c r="BF26" s="546">
        <f t="shared" si="28"/>
        <v>4.5091701299510158E-2</v>
      </c>
      <c r="BG26" s="87">
        <f>SUMIF('TB Apr 24'!$D$13:$D$103,'MIS Apr24'!$B26,'TB Apr 24'!AH$13:AH$103)</f>
        <v>86196.583333333328</v>
      </c>
      <c r="BH26" s="546">
        <f t="shared" si="29"/>
        <v>4.6845416808872192E-2</v>
      </c>
      <c r="BI26" s="87">
        <f>SUMIF('TB Apr 24'!$D$13:$D$103,'MIS Apr24'!$B26,'TB Apr 24'!AI$13:AI$103)</f>
        <v>0</v>
      </c>
      <c r="BJ26" s="546">
        <f t="shared" si="30"/>
        <v>0</v>
      </c>
      <c r="BK26" s="87">
        <f>SUMIF('TB Apr 24'!$D$13:$D$103,'MIS Apr24'!$B26,'TB Apr 24'!AJ$13:AJ$103)</f>
        <v>69537</v>
      </c>
      <c r="BL26" s="546">
        <f t="shared" si="31"/>
        <v>3.0272943069778666E-2</v>
      </c>
      <c r="BM26" s="87">
        <f>SUMIF('TB Apr 24'!$D$13:$D$103,'MIS Apr24'!$B26,'TB Apr 24'!AK$13:AK$103)</f>
        <v>0</v>
      </c>
      <c r="BN26" s="546">
        <f t="shared" si="32"/>
        <v>0</v>
      </c>
      <c r="BO26" s="87">
        <f>SUMIF('TB Apr 24'!$D$13:$D$103,'MIS Apr24'!$B26,'TB Apr 24'!AL$13:AL$103)</f>
        <v>0</v>
      </c>
      <c r="BP26" s="546">
        <f t="shared" si="33"/>
        <v>0</v>
      </c>
      <c r="BQ26" s="87">
        <f>SUMIF('TB Apr 24'!$D$13:$D$103,'MIS Apr24'!$B26,'TB Apr 24'!AM$13:AM$103)</f>
        <v>0</v>
      </c>
      <c r="BR26" s="546">
        <f t="shared" si="34"/>
        <v>0</v>
      </c>
      <c r="BS26" s="87">
        <f>SUMIF('TB Apr 24'!$D$13:$D$103,'MIS Apr24'!$B26,'TB Apr 24'!AN$13:AN$103)</f>
        <v>0</v>
      </c>
      <c r="BT26" s="546">
        <f t="shared" si="35"/>
        <v>0</v>
      </c>
      <c r="BU26" s="87">
        <f>SUMIF('TB Apr 24'!$D$13:$D$103,'MIS Apr24'!$B26,'TB Apr 24'!AO$13:AO$103)</f>
        <v>242467</v>
      </c>
      <c r="BV26" s="546">
        <f t="shared" si="36"/>
        <v>4.8928721338902748E-2</v>
      </c>
      <c r="BW26" s="87">
        <f>SUMIF('TB Apr 24'!$D$13:$D$103,'MIS Apr24'!$B26,'TB Apr 24'!AP$13:AP$103)</f>
        <v>54805</v>
      </c>
      <c r="BX26" s="546">
        <f t="shared" si="37"/>
        <v>0.22867717317377462</v>
      </c>
      <c r="BY26" s="87">
        <f>SUMIF('TB Apr 24'!$D$13:$D$103,'MIS Apr24'!$B26,'TB Apr 24'!AQ$13:AQ$103)</f>
        <v>0</v>
      </c>
      <c r="BZ26" s="546">
        <f t="shared" si="38"/>
        <v>0</v>
      </c>
      <c r="CA26" s="87">
        <f>SUMIF('TB Apr 24'!$D$13:$D$103,'MIS Apr24'!$B26,'TB Apr 24'!AR$13:AR$103)</f>
        <v>277807</v>
      </c>
      <c r="CB26" s="546">
        <f t="shared" si="39"/>
        <v>4.8914446091109474E-2</v>
      </c>
      <c r="CC26" s="87">
        <f>SUMIF('TB Apr 24'!$D$13:$D$103,'MIS Apr24'!$B26,'TB Apr 24'!AS$13:AS$103)</f>
        <v>65530.75</v>
      </c>
      <c r="CD26" s="546">
        <f t="shared" si="40"/>
        <v>3.0392469326324709E-2</v>
      </c>
      <c r="CE26" s="87">
        <f>SUMIF('TB Apr 24'!$D$13:$D$103,'MIS Apr24'!$B26,'TB Apr 24'!AT$13:AT$103)</f>
        <v>104527.41666666667</v>
      </c>
      <c r="CF26" s="546">
        <f t="shared" si="41"/>
        <v>6.4774870070326326E-2</v>
      </c>
      <c r="CG26" s="87">
        <f>SUMIF('TB Apr 24'!$D$13:$D$103,'MIS Apr24'!$B26,'TB Apr 24'!AU$13:AU$103)</f>
        <v>0</v>
      </c>
      <c r="CH26" s="546">
        <f t="shared" si="42"/>
        <v>0</v>
      </c>
      <c r="CI26" s="87">
        <f>SUMIF('TB Apr 24'!$D$13:$D$103,'MIS Apr24'!$B26,'TB Apr 24'!AV$13:AV$103)</f>
        <v>74096.041666666657</v>
      </c>
      <c r="CJ26" s="546">
        <f t="shared" si="43"/>
        <v>3.5152066897516022E-2</v>
      </c>
      <c r="CK26" s="87">
        <f>SUMIF('TB Apr 24'!$D$13:$D$103,'MIS Apr24'!$B26,'TB Apr 24'!AW$13:AW$103)</f>
        <v>74096.041666666657</v>
      </c>
      <c r="CL26" s="546">
        <f t="shared" si="44"/>
        <v>3.5569876553389321E-2</v>
      </c>
      <c r="CM26" s="87">
        <f>SUMIF('TB Apr 24'!$D$13:$D$103,'MIS Apr24'!$B26,'TB Apr 24'!AX$13:AX$103)</f>
        <v>49285.5</v>
      </c>
      <c r="CN26" s="546">
        <f t="shared" si="45"/>
        <v>4.3097269557580149E-2</v>
      </c>
      <c r="CO26" s="87">
        <f>SUMIF('TB Apr 24'!$D$13:$D$103,'MIS Apr24'!$B26,'TB Apr 24'!AY$13:AY$103)</f>
        <v>0</v>
      </c>
      <c r="CP26" s="546">
        <f t="shared" si="46"/>
        <v>0</v>
      </c>
      <c r="CQ26" s="87">
        <f>SUMIF('TB Apr 24'!$D$13:$D$103,'MIS Apr24'!$B26,'TB Apr 24'!AZ$13:AZ$103)</f>
        <v>0</v>
      </c>
      <c r="CR26" s="546">
        <f t="shared" si="47"/>
        <v>0</v>
      </c>
      <c r="CS26" s="87">
        <f>SUMIF('TB Apr 24'!$D$13:$D$103,'MIS Apr24'!$B26,'TB Apr 24'!BA$13:BA$103)</f>
        <v>49285.5</v>
      </c>
      <c r="CT26" s="546">
        <f t="shared" si="48"/>
        <v>1.8377100041471268E-2</v>
      </c>
      <c r="CU26" s="87">
        <f>SUMIF('TB Apr 24'!$D$13:$D$103,'MIS Apr24'!$B26,'TB Apr 24'!BB$13:BB$103)</f>
        <v>14132</v>
      </c>
      <c r="CV26" s="546">
        <f t="shared" si="49"/>
        <v>1.1350300771485211E-2</v>
      </c>
      <c r="CW26" s="87">
        <f>SUMIF('TB Apr 24'!$D$13:$D$103,'MIS Apr24'!$B26,'TB Apr 24'!BC$13:BC$103)</f>
        <v>152984</v>
      </c>
      <c r="CX26" s="546">
        <f t="shared" si="50"/>
        <v>3.8441581338050181E-2</v>
      </c>
      <c r="CY26" s="87">
        <f>SUMIF('TB Apr 24'!$D$13:$D$103,'MIS Apr24'!$B26,'TB Apr 24'!BD$13:BD$103)</f>
        <v>152984</v>
      </c>
      <c r="CZ26" s="546">
        <f t="shared" si="51"/>
        <v>0.24825555377113814</v>
      </c>
      <c r="DA26" s="87">
        <f>SUMIF('TB Apr 24'!$D$13:$D$103,'MIS Apr24'!$B26,'TB Apr 24'!O$13:O$103)</f>
        <v>0</v>
      </c>
      <c r="DB26" s="546">
        <f t="shared" si="52"/>
        <v>0</v>
      </c>
      <c r="DC26" s="87">
        <f>SUM(C26,E26,I26,K26,M26,O26,S26,U26,AA26,AC26,AG26,AK26,AM26,AO26,AQ26,AS26,AW26,AY26,BA26,BC26,BE26,BG26,BI26,BK26,BU26,BW26,CA26,CC26,CE26,CI26,CK26,CM26,CS26,CU26,CW26,CY26,DA26)</f>
        <v>3323022.6866666661</v>
      </c>
      <c r="DD26" s="546">
        <f t="shared" si="53"/>
        <v>4.0078076013657288E-2</v>
      </c>
      <c r="DE26" s="87"/>
      <c r="DF26" s="546">
        <f t="shared" si="54"/>
        <v>0</v>
      </c>
      <c r="DG26" s="87">
        <f>DE26-DC26</f>
        <v>-3323022.6866666661</v>
      </c>
      <c r="DH26" s="546">
        <f t="shared" si="55"/>
        <v>4.0078076013657288E-2</v>
      </c>
      <c r="DI26" s="499"/>
    </row>
    <row r="27" spans="2:115" x14ac:dyDescent="0.35">
      <c r="B27" s="18" t="s">
        <v>260</v>
      </c>
      <c r="C27" s="532">
        <f>SUM(C28:C33)</f>
        <v>630350.60277041118</v>
      </c>
      <c r="D27" s="531">
        <f t="shared" si="56"/>
        <v>0.52219870302353388</v>
      </c>
      <c r="E27" s="532">
        <f t="shared" ref="E27:CY27" si="57">SUM(E28:E33)</f>
        <v>729468.57256082678</v>
      </c>
      <c r="F27" s="531">
        <f t="shared" si="56"/>
        <v>0.44307588970901007</v>
      </c>
      <c r="G27" s="532">
        <f t="shared" si="57"/>
        <v>0</v>
      </c>
      <c r="H27" s="531">
        <f t="shared" si="3"/>
        <v>0</v>
      </c>
      <c r="I27" s="532">
        <f t="shared" si="57"/>
        <v>853227.23233379272</v>
      </c>
      <c r="J27" s="531">
        <f t="shared" si="4"/>
        <v>0.27953267145507671</v>
      </c>
      <c r="K27" s="532">
        <f t="shared" si="57"/>
        <v>487161.00421469141</v>
      </c>
      <c r="L27" s="531">
        <f t="shared" si="5"/>
        <v>0.5063753042378033</v>
      </c>
      <c r="M27" s="532">
        <f t="shared" si="57"/>
        <v>855522.28889917524</v>
      </c>
      <c r="N27" s="531">
        <f t="shared" si="6"/>
        <v>0.36833982657802727</v>
      </c>
      <c r="O27" s="532">
        <f t="shared" si="57"/>
        <v>1006456.5696966015</v>
      </c>
      <c r="P27" s="531">
        <f t="shared" si="7"/>
        <v>0.29894508147957699</v>
      </c>
      <c r="Q27" s="532">
        <f t="shared" si="57"/>
        <v>0</v>
      </c>
      <c r="R27" s="531">
        <f t="shared" si="8"/>
        <v>0</v>
      </c>
      <c r="S27" s="532">
        <f t="shared" si="57"/>
        <v>1017148.7145014014</v>
      </c>
      <c r="T27" s="531">
        <f t="shared" si="9"/>
        <v>0.27050750138073065</v>
      </c>
      <c r="U27" s="532">
        <f t="shared" si="57"/>
        <v>1064346.0551979807</v>
      </c>
      <c r="V27" s="531">
        <f t="shared" si="10"/>
        <v>0.37773960807770712</v>
      </c>
      <c r="W27" s="532">
        <f t="shared" si="57"/>
        <v>0</v>
      </c>
      <c r="X27" s="531">
        <f t="shared" si="11"/>
        <v>0</v>
      </c>
      <c r="Y27" s="532">
        <f t="shared" si="57"/>
        <v>0</v>
      </c>
      <c r="Z27" s="531">
        <f t="shared" si="12"/>
        <v>0</v>
      </c>
      <c r="AA27" s="532">
        <f t="shared" si="57"/>
        <v>953339.0969708768</v>
      </c>
      <c r="AB27" s="531">
        <f t="shared" si="13"/>
        <v>0.30300443541140049</v>
      </c>
      <c r="AC27" s="532">
        <f t="shared" si="57"/>
        <v>723250.19018735585</v>
      </c>
      <c r="AD27" s="531">
        <f t="shared" si="14"/>
        <v>0.31853117475298071</v>
      </c>
      <c r="AE27" s="532">
        <f t="shared" si="57"/>
        <v>0</v>
      </c>
      <c r="AF27" s="531">
        <f t="shared" si="15"/>
        <v>0</v>
      </c>
      <c r="AG27" s="532">
        <f t="shared" si="57"/>
        <v>1117330.2190409042</v>
      </c>
      <c r="AH27" s="531">
        <f t="shared" si="16"/>
        <v>0.30061971597373227</v>
      </c>
      <c r="AI27" s="532">
        <f t="shared" si="57"/>
        <v>0</v>
      </c>
      <c r="AJ27" s="531">
        <f t="shared" si="17"/>
        <v>0</v>
      </c>
      <c r="AK27" s="532">
        <f t="shared" si="57"/>
        <v>966799.61985763046</v>
      </c>
      <c r="AL27" s="531">
        <f t="shared" si="18"/>
        <v>0.89317981818354131</v>
      </c>
      <c r="AM27" s="532">
        <f t="shared" si="57"/>
        <v>1301616.8430511274</v>
      </c>
      <c r="AN27" s="531">
        <f t="shared" si="19"/>
        <v>0.63618063151787518</v>
      </c>
      <c r="AO27" s="532">
        <f t="shared" si="57"/>
        <v>1021791.1033645456</v>
      </c>
      <c r="AP27" s="531">
        <f t="shared" si="20"/>
        <v>0.57987186791790912</v>
      </c>
      <c r="AQ27" s="532">
        <f t="shared" si="57"/>
        <v>635661.62471182807</v>
      </c>
      <c r="AR27" s="531">
        <f t="shared" si="21"/>
        <v>0.43055040438711639</v>
      </c>
      <c r="AS27" s="532">
        <f t="shared" si="57"/>
        <v>653576.54343763622</v>
      </c>
      <c r="AT27" s="531">
        <f t="shared" si="22"/>
        <v>0.35017928702503737</v>
      </c>
      <c r="AU27" s="532">
        <f t="shared" si="57"/>
        <v>0</v>
      </c>
      <c r="AV27" s="531">
        <f t="shared" si="23"/>
        <v>0</v>
      </c>
      <c r="AW27" s="532">
        <f t="shared" si="57"/>
        <v>1155402.1999030453</v>
      </c>
      <c r="AX27" s="531">
        <f t="shared" si="24"/>
        <v>0.31180681110463287</v>
      </c>
      <c r="AY27" s="532">
        <f t="shared" si="57"/>
        <v>1399108.3326353286</v>
      </c>
      <c r="AZ27" s="531">
        <f t="shared" si="25"/>
        <v>0.33550625321547978</v>
      </c>
      <c r="BA27" s="532">
        <f t="shared" si="57"/>
        <v>411096.02735523455</v>
      </c>
      <c r="BB27" s="531">
        <f t="shared" si="26"/>
        <v>1.2487742463823215</v>
      </c>
      <c r="BC27" s="532">
        <f t="shared" si="57"/>
        <v>1164273.7150401506</v>
      </c>
      <c r="BD27" s="531">
        <f t="shared" si="27"/>
        <v>0.55874102426810135</v>
      </c>
      <c r="BE27" s="532">
        <f t="shared" si="57"/>
        <v>578465.11576373561</v>
      </c>
      <c r="BF27" s="531">
        <f t="shared" si="28"/>
        <v>0.36042567704405165</v>
      </c>
      <c r="BG27" s="532">
        <f t="shared" si="57"/>
        <v>569423.55230591341</v>
      </c>
      <c r="BH27" s="531">
        <f t="shared" si="29"/>
        <v>0.30946567273326747</v>
      </c>
      <c r="BI27" s="532">
        <f t="shared" si="57"/>
        <v>1107514.2184102859</v>
      </c>
      <c r="BJ27" s="531">
        <f t="shared" si="30"/>
        <v>0.58932471413891241</v>
      </c>
      <c r="BK27" s="532">
        <f t="shared" si="57"/>
        <v>1495982.3095946463</v>
      </c>
      <c r="BL27" s="531">
        <f t="shared" si="31"/>
        <v>0.65127611619360526</v>
      </c>
      <c r="BM27" s="532">
        <f t="shared" si="57"/>
        <v>0</v>
      </c>
      <c r="BN27" s="531">
        <f t="shared" si="32"/>
        <v>0</v>
      </c>
      <c r="BO27" s="532">
        <f t="shared" si="57"/>
        <v>0</v>
      </c>
      <c r="BP27" s="531">
        <f t="shared" si="33"/>
        <v>0</v>
      </c>
      <c r="BQ27" s="532">
        <f t="shared" si="57"/>
        <v>0</v>
      </c>
      <c r="BR27" s="531">
        <f t="shared" si="34"/>
        <v>0</v>
      </c>
      <c r="BS27" s="532">
        <f t="shared" si="57"/>
        <v>0</v>
      </c>
      <c r="BT27" s="531">
        <f t="shared" si="35"/>
        <v>0</v>
      </c>
      <c r="BU27" s="532">
        <f t="shared" si="57"/>
        <v>2233237.1310742302</v>
      </c>
      <c r="BV27" s="531">
        <f t="shared" si="36"/>
        <v>0.45065694412032009</v>
      </c>
      <c r="BW27" s="532">
        <f t="shared" si="57"/>
        <v>740092.85375210992</v>
      </c>
      <c r="BX27" s="531">
        <f t="shared" si="37"/>
        <v>3.0880821399898601</v>
      </c>
      <c r="BY27" s="532">
        <f t="shared" si="57"/>
        <v>0</v>
      </c>
      <c r="BZ27" s="531">
        <f t="shared" si="38"/>
        <v>0</v>
      </c>
      <c r="CA27" s="532">
        <f t="shared" si="57"/>
        <v>1609136.3851621642</v>
      </c>
      <c r="CB27" s="531">
        <f t="shared" si="39"/>
        <v>0.28332624795364209</v>
      </c>
      <c r="CC27" s="532">
        <f t="shared" si="57"/>
        <v>743896.74008420855</v>
      </c>
      <c r="CD27" s="531">
        <f t="shared" si="40"/>
        <v>0.34501144661036615</v>
      </c>
      <c r="CE27" s="532">
        <f t="shared" si="57"/>
        <v>886316.47311243962</v>
      </c>
      <c r="CF27" s="531">
        <f t="shared" si="41"/>
        <v>0.54924378902550908</v>
      </c>
      <c r="CG27" s="532">
        <f t="shared" si="57"/>
        <v>0</v>
      </c>
      <c r="CH27" s="531">
        <f t="shared" si="42"/>
        <v>0</v>
      </c>
      <c r="CI27" s="532">
        <f t="shared" si="57"/>
        <v>953632.7362958343</v>
      </c>
      <c r="CJ27" s="531">
        <f t="shared" si="43"/>
        <v>0.45241501418844254</v>
      </c>
      <c r="CK27" s="532">
        <f t="shared" si="57"/>
        <v>694185.45811845665</v>
      </c>
      <c r="CL27" s="531">
        <f t="shared" si="44"/>
        <v>0.33324440138803885</v>
      </c>
      <c r="CM27" s="532">
        <f t="shared" si="57"/>
        <v>785524.19281916891</v>
      </c>
      <c r="CN27" s="531">
        <f t="shared" si="45"/>
        <v>0.68689468265368692</v>
      </c>
      <c r="CO27" s="532">
        <f t="shared" si="57"/>
        <v>0</v>
      </c>
      <c r="CP27" s="531">
        <f t="shared" si="46"/>
        <v>0</v>
      </c>
      <c r="CQ27" s="532">
        <f t="shared" si="57"/>
        <v>0</v>
      </c>
      <c r="CR27" s="531">
        <f t="shared" si="47"/>
        <v>0</v>
      </c>
      <c r="CS27" s="532">
        <f t="shared" si="57"/>
        <v>1530857.8199186199</v>
      </c>
      <c r="CT27" s="531">
        <f t="shared" si="48"/>
        <v>0.57081144161899722</v>
      </c>
      <c r="CU27" s="532">
        <f t="shared" si="57"/>
        <v>758640.54241214262</v>
      </c>
      <c r="CV27" s="531">
        <f t="shared" si="49"/>
        <v>0.60931208136289994</v>
      </c>
      <c r="CW27" s="532">
        <f t="shared" si="57"/>
        <v>1652907.8210395402</v>
      </c>
      <c r="CX27" s="531">
        <f t="shared" si="50"/>
        <v>0.41534010384609354</v>
      </c>
      <c r="CY27" s="532">
        <f t="shared" si="57"/>
        <v>688447.5204346492</v>
      </c>
      <c r="CZ27" s="531">
        <f t="shared" si="51"/>
        <v>1.1171816688534146</v>
      </c>
      <c r="DA27" s="532">
        <f>SUM(DA28:DA33)</f>
        <v>5076070.2735440517</v>
      </c>
      <c r="DB27" s="531">
        <f t="shared" si="52"/>
        <v>0</v>
      </c>
      <c r="DC27" s="532">
        <f>SUM(DC28:DC33)</f>
        <v>40251257.699572742</v>
      </c>
      <c r="DD27" s="531">
        <f t="shared" si="53"/>
        <v>0.48545951016271366</v>
      </c>
      <c r="DE27" s="532">
        <f>SUM(DE28:DE32)</f>
        <v>0</v>
      </c>
      <c r="DF27" s="531">
        <f t="shared" si="54"/>
        <v>0</v>
      </c>
      <c r="DG27" s="532">
        <f>SUM(DG28:DG32)</f>
        <v>-38445374.979572743</v>
      </c>
      <c r="DH27" s="531">
        <f t="shared" si="55"/>
        <v>0.46367924810963962</v>
      </c>
      <c r="DI27" s="499"/>
    </row>
    <row r="28" spans="2:115" outlineLevel="1" x14ac:dyDescent="0.35">
      <c r="B28" s="17" t="s">
        <v>289</v>
      </c>
      <c r="C28" s="87">
        <f>SUMIF('TB Apr 24'!$D$13:$D$103,'MIS Apr24'!$B28,'TB Apr 24'!E$13:E$103)</f>
        <v>447364.5</v>
      </c>
      <c r="D28" s="546">
        <f t="shared" si="56"/>
        <v>0.37060829426042324</v>
      </c>
      <c r="E28" s="87">
        <f>SUMIF('TB Apr 24'!$D$13:$D$103,'MIS Apr24'!$B28,'TB Apr 24'!F$13:F$103)</f>
        <v>500169.5</v>
      </c>
      <c r="F28" s="546">
        <f t="shared" si="56"/>
        <v>0.30380067703236319</v>
      </c>
      <c r="G28" s="87">
        <f>SUMIF('TB Apr 24'!$D$13:$D$103,'MIS Apr24'!$B28,'TB Apr 24'!G$13:G$103)</f>
        <v>0</v>
      </c>
      <c r="H28" s="546">
        <f t="shared" si="3"/>
        <v>0</v>
      </c>
      <c r="I28" s="87">
        <f>SUMIF('TB Apr 24'!$D$13:$D$103,'MIS Apr24'!$B28,'TB Apr 24'!H$13:H$103)</f>
        <v>523244.5</v>
      </c>
      <c r="J28" s="546">
        <f t="shared" si="4"/>
        <v>0.17142436078734496</v>
      </c>
      <c r="K28" s="87">
        <f>SUMIF('TB Apr 24'!$D$13:$D$103,'MIS Apr24'!$B28,'TB Apr 24'!I$13:I$103)</f>
        <v>345437.5</v>
      </c>
      <c r="L28" s="546">
        <f t="shared" si="5"/>
        <v>0.35906203009746368</v>
      </c>
      <c r="M28" s="87">
        <f>SUMIF('TB Apr 24'!$D$13:$D$103,'MIS Apr24'!$B28,'TB Apr 24'!J$13:J$103)</f>
        <v>547307</v>
      </c>
      <c r="N28" s="546">
        <f t="shared" si="6"/>
        <v>0.23563964151575564</v>
      </c>
      <c r="O28" s="87">
        <f>SUMIF('TB Apr 24'!$D$13:$D$103,'MIS Apr24'!$B28,'TB Apr 24'!K$13:K$103)</f>
        <v>619852</v>
      </c>
      <c r="P28" s="546">
        <f t="shared" si="7"/>
        <v>0.18411296843254585</v>
      </c>
      <c r="Q28" s="87">
        <f>SUMIF('TB Apr 24'!$D$13:$D$103,'MIS Apr24'!$B28,'TB Apr 24'!L$13:L$103)</f>
        <v>0</v>
      </c>
      <c r="R28" s="546">
        <f t="shared" si="8"/>
        <v>0</v>
      </c>
      <c r="S28" s="87">
        <f>SUMIF('TB Apr 24'!$D$13:$D$103,'MIS Apr24'!$B28,'TB Apr 24'!M$13:M$103)</f>
        <v>578858</v>
      </c>
      <c r="T28" s="546">
        <f t="shared" si="9"/>
        <v>0.15394546441618812</v>
      </c>
      <c r="U28" s="87">
        <f>SUMIF('TB Apr 24'!$D$13:$D$103,'MIS Apr24'!$B28,'TB Apr 24'!N$13:N$103)</f>
        <v>674925</v>
      </c>
      <c r="V28" s="546">
        <f t="shared" si="10"/>
        <v>0.2395329073065654</v>
      </c>
      <c r="W28" s="87">
        <f>SUMIF('TB Apr 24'!$D$13:$D$103,'MIS Apr24'!$B28,'TB Apr 24'!P$13:P$103)</f>
        <v>0</v>
      </c>
      <c r="X28" s="546">
        <f t="shared" si="11"/>
        <v>0</v>
      </c>
      <c r="Y28" s="87">
        <f>SUMIF('TB Apr 24'!$D$13:$D$103,'MIS Apr24'!$B28,'TB Apr 24'!Q$13:Q$103)</f>
        <v>0</v>
      </c>
      <c r="Z28" s="546">
        <f t="shared" si="12"/>
        <v>0</v>
      </c>
      <c r="AA28" s="87">
        <f>SUMIF('TB Apr 24'!$D$13:$D$103,'MIS Apr24'!$B28,'TB Apr 24'!R$13:R$103)</f>
        <v>663009.66666666663</v>
      </c>
      <c r="AB28" s="546">
        <f t="shared" si="13"/>
        <v>0.21072761031091039</v>
      </c>
      <c r="AC28" s="87">
        <f>SUMIF('TB Apr 24'!$D$13:$D$103,'MIS Apr24'!$B28,'TB Apr 24'!S$13:S$103)</f>
        <v>474870.66666666669</v>
      </c>
      <c r="AD28" s="546">
        <f t="shared" si="14"/>
        <v>0.20914078331577168</v>
      </c>
      <c r="AE28" s="87">
        <f>SUMIF('TB Apr 24'!$D$13:$D$103,'MIS Apr24'!$B28,'TB Apr 24'!T$13:T$103)</f>
        <v>0</v>
      </c>
      <c r="AF28" s="546">
        <f t="shared" si="15"/>
        <v>0</v>
      </c>
      <c r="AG28" s="87">
        <f>SUMIF('TB Apr 24'!$D$13:$D$103,'MIS Apr24'!$B28,'TB Apr 24'!U$13:U$103)</f>
        <v>746777.66666666663</v>
      </c>
      <c r="AH28" s="546">
        <f t="shared" si="16"/>
        <v>0.20092188166320535</v>
      </c>
      <c r="AI28" s="87">
        <f>SUMIF('TB Apr 24'!$D$13:$D$103,'MIS Apr24'!$B28,'TB Apr 24'!V$13:V$103)</f>
        <v>0</v>
      </c>
      <c r="AJ28" s="546">
        <f t="shared" si="17"/>
        <v>0</v>
      </c>
      <c r="AK28" s="87">
        <f>SUMIF('TB Apr 24'!$D$13:$D$103,'MIS Apr24'!$B28,'TB Apr 24'!W$13:W$103)</f>
        <v>678186.66666666663</v>
      </c>
      <c r="AL28" s="546">
        <f t="shared" si="18"/>
        <v>0.62654414750083998</v>
      </c>
      <c r="AM28" s="87">
        <f>SUMIF('TB Apr 24'!$D$13:$D$103,'MIS Apr24'!$B28,'TB Apr 24'!X$13:X$103)</f>
        <v>948894.66666666663</v>
      </c>
      <c r="AN28" s="546">
        <f t="shared" si="19"/>
        <v>0.46378349474095698</v>
      </c>
      <c r="AO28" s="87">
        <f>SUMIF('TB Apr 24'!$D$13:$D$103,'MIS Apr24'!$B28,'TB Apr 24'!Y$13:Y$103)</f>
        <v>707074.66666666663</v>
      </c>
      <c r="AP28" s="546">
        <f t="shared" si="20"/>
        <v>0.40126862170491245</v>
      </c>
      <c r="AQ28" s="87">
        <f>SUMIF('TB Apr 24'!$D$13:$D$103,'MIS Apr24'!$B28,'TB Apr 24'!Z$13:Z$103)</f>
        <v>436636.5</v>
      </c>
      <c r="AR28" s="546">
        <f t="shared" si="21"/>
        <v>0.29574543174664775</v>
      </c>
      <c r="AS28" s="87">
        <f>SUMIF('TB Apr 24'!$D$13:$D$103,'MIS Apr24'!$B28,'TB Apr 24'!AA$13:AA$103)</f>
        <v>477942.5</v>
      </c>
      <c r="AT28" s="546">
        <f t="shared" si="22"/>
        <v>0.25607645434866161</v>
      </c>
      <c r="AU28" s="87">
        <f>SUMIF('TB Apr 24'!$D$13:$D$103,'MIS Apr24'!$B28,'TB Apr 24'!AB$13:AB$103)</f>
        <v>0</v>
      </c>
      <c r="AV28" s="546">
        <f t="shared" si="23"/>
        <v>0</v>
      </c>
      <c r="AW28" s="87">
        <f>SUMIF('TB Apr 24'!$D$13:$D$103,'MIS Apr24'!$B28,'TB Apr 24'!AC$13:AC$103)</f>
        <v>752810.5</v>
      </c>
      <c r="AX28" s="546">
        <f t="shared" si="24"/>
        <v>0.20315993979480179</v>
      </c>
      <c r="AY28" s="87">
        <f>SUMIF('TB Apr 24'!$D$13:$D$103,'MIS Apr24'!$B28,'TB Apr 24'!AD$13:AD$103)</f>
        <v>1065274.5</v>
      </c>
      <c r="AZ28" s="546">
        <f t="shared" si="25"/>
        <v>0.2554528822423574</v>
      </c>
      <c r="BA28" s="87">
        <f>SUMIF('TB Apr 24'!$D$13:$D$103,'MIS Apr24'!$B28,'TB Apr 24'!AE$13:AE$103)</f>
        <v>336819.5</v>
      </c>
      <c r="BB28" s="546">
        <f t="shared" si="26"/>
        <v>1.0231466355570333</v>
      </c>
      <c r="BC28" s="87">
        <f>SUMIF('TB Apr 24'!$D$13:$D$103,'MIS Apr24'!$B28,'TB Apr 24'!AF$13:AF$103)</f>
        <v>889299.5</v>
      </c>
      <c r="BD28" s="546">
        <f t="shared" si="27"/>
        <v>0.42677946525141208</v>
      </c>
      <c r="BE28" s="87">
        <f>SUMIF('TB Apr 24'!$D$13:$D$103,'MIS Apr24'!$B28,'TB Apr 24'!AG$13:AG$103)</f>
        <v>418349.5</v>
      </c>
      <c r="BF28" s="546">
        <f t="shared" si="28"/>
        <v>0.26066204801211496</v>
      </c>
      <c r="BG28" s="87">
        <f>SUMIF('TB Apr 24'!$D$13:$D$103,'MIS Apr24'!$B28,'TB Apr 24'!AH$13:AH$103)</f>
        <v>433942.5</v>
      </c>
      <c r="BH28" s="546">
        <f t="shared" si="29"/>
        <v>0.23583553428065909</v>
      </c>
      <c r="BI28" s="87">
        <f>SUMIF('TB Apr 24'!$D$13:$D$103,'MIS Apr24'!$B28,'TB Apr 24'!AI$13:AI$103)</f>
        <v>782242</v>
      </c>
      <c r="BJ28" s="546">
        <f t="shared" si="30"/>
        <v>0.41624255054635578</v>
      </c>
      <c r="BK28" s="87">
        <f>SUMIF('TB Apr 24'!$D$13:$D$103,'MIS Apr24'!$B28,'TB Apr 24'!AJ$13:AJ$103)</f>
        <v>1113266</v>
      </c>
      <c r="BL28" s="546">
        <f t="shared" si="31"/>
        <v>0.48466051511454644</v>
      </c>
      <c r="BM28" s="87">
        <f>SUMIF('TB Apr 24'!$D$13:$D$103,'MIS Apr24'!$B28,'TB Apr 24'!AK$13:AK$103)</f>
        <v>0</v>
      </c>
      <c r="BN28" s="546">
        <f t="shared" si="32"/>
        <v>0</v>
      </c>
      <c r="BO28" s="87">
        <f>SUMIF('TB Apr 24'!$D$13:$D$103,'MIS Apr24'!$B28,'TB Apr 24'!AL$13:AL$103)</f>
        <v>0</v>
      </c>
      <c r="BP28" s="546">
        <f t="shared" si="33"/>
        <v>0</v>
      </c>
      <c r="BQ28" s="87">
        <f>SUMIF('TB Apr 24'!$D$13:$D$103,'MIS Apr24'!$B28,'TB Apr 24'!AM$13:AM$103)</f>
        <v>0</v>
      </c>
      <c r="BR28" s="546">
        <f t="shared" si="34"/>
        <v>0</v>
      </c>
      <c r="BS28" s="87">
        <f>SUMIF('TB Apr 24'!$D$13:$D$103,'MIS Apr24'!$B28,'TB Apr 24'!AN$13:AN$103)</f>
        <v>0</v>
      </c>
      <c r="BT28" s="546">
        <f t="shared" si="35"/>
        <v>0</v>
      </c>
      <c r="BU28" s="87">
        <f>SUMIF('TB Apr 24'!$D$13:$D$103,'MIS Apr24'!$B28,'TB Apr 24'!AO$13:AO$103)</f>
        <v>1635211</v>
      </c>
      <c r="BV28" s="546">
        <f t="shared" si="36"/>
        <v>0.32997803144060223</v>
      </c>
      <c r="BW28" s="87">
        <f>SUMIF('TB Apr 24'!$D$13:$D$103,'MIS Apr24'!$B28,'TB Apr 24'!AP$13:AP$103)</f>
        <v>541898</v>
      </c>
      <c r="BX28" s="546">
        <f t="shared" si="37"/>
        <v>2.2611021401062334</v>
      </c>
      <c r="BY28" s="87">
        <f>SUMIF('TB Apr 24'!$D$13:$D$103,'MIS Apr24'!$B28,'TB Apr 24'!AQ$13:AQ$103)</f>
        <v>0</v>
      </c>
      <c r="BZ28" s="546">
        <f t="shared" si="38"/>
        <v>0</v>
      </c>
      <c r="CA28" s="87">
        <f>SUMIF('TB Apr 24'!$D$13:$D$103,'MIS Apr24'!$B28,'TB Apr 24'!AR$13:AR$103)</f>
        <v>978159</v>
      </c>
      <c r="CB28" s="546">
        <f t="shared" si="39"/>
        <v>0.17222786205543256</v>
      </c>
      <c r="CC28" s="87">
        <f>SUMIF('TB Apr 24'!$D$13:$D$103,'MIS Apr24'!$B28,'TB Apr 24'!AS$13:AS$103)</f>
        <v>508675.25</v>
      </c>
      <c r="CD28" s="546">
        <f t="shared" si="40"/>
        <v>0.23591820531102653</v>
      </c>
      <c r="CE28" s="87">
        <f>SUMIF('TB Apr 24'!$D$13:$D$103,'MIS Apr24'!$B28,'TB Apr 24'!AT$13:AT$103)</f>
        <v>633602.25</v>
      </c>
      <c r="CF28" s="546">
        <f t="shared" si="41"/>
        <v>0.39263864667100656</v>
      </c>
      <c r="CG28" s="87">
        <f>SUMIF('TB Apr 24'!$D$13:$D$103,'MIS Apr24'!$B28,'TB Apr 24'!AU$13:AU$103)</f>
        <v>0</v>
      </c>
      <c r="CH28" s="546">
        <f t="shared" si="42"/>
        <v>0</v>
      </c>
      <c r="CI28" s="87">
        <f>SUMIF('TB Apr 24'!$D$13:$D$103,'MIS Apr24'!$B28,'TB Apr 24'!AV$13:AV$103)</f>
        <v>670765.25</v>
      </c>
      <c r="CJ28" s="546">
        <f t="shared" si="43"/>
        <v>0.31821922480828513</v>
      </c>
      <c r="CK28" s="87">
        <f>SUMIF('TB Apr 24'!$D$13:$D$103,'MIS Apr24'!$B28,'TB Apr 24'!AW$13:AW$103)</f>
        <v>438791.25</v>
      </c>
      <c r="CL28" s="546">
        <f t="shared" si="44"/>
        <v>0.21064216446839965</v>
      </c>
      <c r="CM28" s="87">
        <f>SUMIF('TB Apr 24'!$D$13:$D$103,'MIS Apr24'!$B28,'TB Apr 24'!AX$13:AX$103)</f>
        <v>581068.19999999995</v>
      </c>
      <c r="CN28" s="546">
        <f t="shared" si="45"/>
        <v>0.50810994809300691</v>
      </c>
      <c r="CO28" s="87">
        <f>SUMIF('TB Apr 24'!$D$13:$D$103,'MIS Apr24'!$B28,'TB Apr 24'!AY$13:AY$103)</f>
        <v>0</v>
      </c>
      <c r="CP28" s="546">
        <f t="shared" si="46"/>
        <v>0</v>
      </c>
      <c r="CQ28" s="87">
        <f>SUMIF('TB Apr 24'!$D$13:$D$103,'MIS Apr24'!$B28,'TB Apr 24'!AZ$13:AZ$103)</f>
        <v>0</v>
      </c>
      <c r="CR28" s="546">
        <f t="shared" si="47"/>
        <v>0</v>
      </c>
      <c r="CS28" s="87">
        <f>SUMIF('TB Apr 24'!$D$13:$D$103,'MIS Apr24'!$B28,'TB Apr 24'!BA$13:BA$103)</f>
        <v>1123504.2</v>
      </c>
      <c r="CT28" s="546">
        <f t="shared" si="48"/>
        <v>0.41892136795635926</v>
      </c>
      <c r="CU28" s="87">
        <f>SUMIF('TB Apr 24'!$D$13:$D$103,'MIS Apr24'!$B28,'TB Apr 24'!BB$13:BB$103)</f>
        <v>531113.19999999995</v>
      </c>
      <c r="CV28" s="546">
        <f t="shared" si="49"/>
        <v>0.42657051823563397</v>
      </c>
      <c r="CW28" s="87">
        <f>SUMIF('TB Apr 24'!$D$13:$D$103,'MIS Apr24'!$B28,'TB Apr 24'!BC$13:BC$103)</f>
        <v>1135626.2</v>
      </c>
      <c r="CX28" s="546">
        <f t="shared" si="50"/>
        <v>0.28535838347095671</v>
      </c>
      <c r="CY28" s="87">
        <f>SUMIF('TB Apr 24'!$D$13:$D$103,'MIS Apr24'!$B28,'TB Apr 24'!BD$13:BD$103)</f>
        <v>521162.2</v>
      </c>
      <c r="CZ28" s="546">
        <f t="shared" si="51"/>
        <v>0.84571857557381591</v>
      </c>
      <c r="DA28" s="87">
        <f>SUMIF('TB Apr 24'!$D$13:$D$103,'MIS Apr24'!$B28,'TB Apr 24'!O$13:O$103)</f>
        <v>4239511</v>
      </c>
      <c r="DB28" s="546">
        <f t="shared" si="52"/>
        <v>0</v>
      </c>
      <c r="DC28" s="87">
        <f t="shared" ref="DC28:DC33" si="58">SUM(C28,E28,I28,K28,M28,O28,S28,U28,AA28,AC28,AG28,AK28,AM28,AO28,AQ28,AS28,AW28,AY28,BA28,BC28,BE28,BG28,BI28,BK28,BU28,BW28,CA28,CC28,CE28,CI28,CK28,CM28,CS28,CU28,CW28,CY28,DA28)</f>
        <v>28701641.999999996</v>
      </c>
      <c r="DD28" s="546">
        <f t="shared" si="53"/>
        <v>0.34616272540307402</v>
      </c>
      <c r="DE28" s="87"/>
      <c r="DF28" s="546">
        <f t="shared" si="54"/>
        <v>0</v>
      </c>
      <c r="DG28" s="87">
        <f t="shared" ref="DG28:DG33" si="59">DE28-DC28</f>
        <v>-28701641.999999996</v>
      </c>
      <c r="DH28" s="546">
        <f t="shared" si="55"/>
        <v>0.34616272540307402</v>
      </c>
      <c r="DI28" s="499"/>
      <c r="DJ28" s="238"/>
      <c r="DK28" s="498"/>
    </row>
    <row r="29" spans="2:115" outlineLevel="1" x14ac:dyDescent="0.35">
      <c r="B29" s="17" t="s">
        <v>968</v>
      </c>
      <c r="C29" s="87">
        <v>53093.95</v>
      </c>
      <c r="D29" s="546">
        <f t="shared" si="56"/>
        <v>4.3984398058067191E-2</v>
      </c>
      <c r="E29" s="87">
        <v>75823.831999999995</v>
      </c>
      <c r="F29" s="546">
        <f t="shared" si="56"/>
        <v>4.6055050331513941E-2</v>
      </c>
      <c r="G29" s="87">
        <v>0</v>
      </c>
      <c r="H29" s="546">
        <f t="shared" si="3"/>
        <v>0</v>
      </c>
      <c r="I29" s="87">
        <v>157519.28499999997</v>
      </c>
      <c r="J29" s="546">
        <f t="shared" si="4"/>
        <v>5.1606166415135969E-2</v>
      </c>
      <c r="K29" s="87">
        <v>26281.199000000001</v>
      </c>
      <c r="L29" s="546">
        <f t="shared" si="5"/>
        <v>2.7317765634406899E-2</v>
      </c>
      <c r="M29" s="87">
        <v>126567.042</v>
      </c>
      <c r="N29" s="546">
        <f t="shared" si="6"/>
        <v>5.4492656597831909E-2</v>
      </c>
      <c r="O29" s="87">
        <v>176813.728</v>
      </c>
      <c r="P29" s="546">
        <f t="shared" si="7"/>
        <v>5.2518504936185977E-2</v>
      </c>
      <c r="Q29" s="87"/>
      <c r="R29" s="546">
        <f t="shared" si="8"/>
        <v>0</v>
      </c>
      <c r="S29" s="87">
        <v>174452.663</v>
      </c>
      <c r="T29" s="546">
        <f t="shared" si="9"/>
        <v>4.6395137018363328E-2</v>
      </c>
      <c r="U29" s="87">
        <v>147214.76699999999</v>
      </c>
      <c r="V29" s="546">
        <f t="shared" si="10"/>
        <v>5.2246962459486047E-2</v>
      </c>
      <c r="W29" s="87"/>
      <c r="X29" s="546">
        <f t="shared" si="11"/>
        <v>0</v>
      </c>
      <c r="Y29" s="87"/>
      <c r="Z29" s="546">
        <f t="shared" si="12"/>
        <v>0</v>
      </c>
      <c r="AA29" s="87">
        <v>114991.177</v>
      </c>
      <c r="AB29" s="546">
        <f t="shared" si="13"/>
        <v>3.6548209105119515E-2</v>
      </c>
      <c r="AC29" s="87">
        <v>127028.671</v>
      </c>
      <c r="AD29" s="546">
        <f t="shared" si="14"/>
        <v>5.5945497629884031E-2</v>
      </c>
      <c r="AE29" s="87"/>
      <c r="AF29" s="546">
        <f t="shared" si="15"/>
        <v>0</v>
      </c>
      <c r="AG29" s="87">
        <v>197911.96600000001</v>
      </c>
      <c r="AH29" s="546">
        <f t="shared" si="16"/>
        <v>5.3248572349357426E-2</v>
      </c>
      <c r="AI29" s="87"/>
      <c r="AJ29" s="546">
        <f t="shared" si="17"/>
        <v>0</v>
      </c>
      <c r="AK29" s="87">
        <v>55380.08</v>
      </c>
      <c r="AL29" s="546">
        <f t="shared" si="18"/>
        <v>5.1163000863275084E-2</v>
      </c>
      <c r="AM29" s="87">
        <v>113208.24900000001</v>
      </c>
      <c r="AN29" s="546">
        <f t="shared" si="19"/>
        <v>5.5331871069698418E-2</v>
      </c>
      <c r="AO29" s="87">
        <v>101348.247</v>
      </c>
      <c r="AP29" s="546">
        <f t="shared" si="20"/>
        <v>5.7515667443748086E-2</v>
      </c>
      <c r="AQ29" s="87">
        <v>75241.670000000013</v>
      </c>
      <c r="AR29" s="546">
        <f t="shared" si="21"/>
        <v>5.0963170004085311E-2</v>
      </c>
      <c r="AS29" s="87">
        <v>95899.978999999992</v>
      </c>
      <c r="AT29" s="546">
        <f t="shared" si="22"/>
        <v>5.1382177970009171E-2</v>
      </c>
      <c r="AU29" s="87"/>
      <c r="AV29" s="546">
        <f t="shared" si="23"/>
        <v>0</v>
      </c>
      <c r="AW29" s="87">
        <v>210683.851</v>
      </c>
      <c r="AX29" s="546">
        <f t="shared" si="24"/>
        <v>5.6856962655139627E-2</v>
      </c>
      <c r="AY29" s="87">
        <v>204476.342</v>
      </c>
      <c r="AZ29" s="546">
        <f t="shared" si="25"/>
        <v>4.903343777990931E-2</v>
      </c>
      <c r="BA29" s="87">
        <v>14810.936</v>
      </c>
      <c r="BB29" s="546">
        <f t="shared" si="26"/>
        <v>4.4990742334842682E-2</v>
      </c>
      <c r="BC29" s="87">
        <v>123352.10999999999</v>
      </c>
      <c r="BD29" s="546">
        <f t="shared" si="27"/>
        <v>5.9197320524112917E-2</v>
      </c>
      <c r="BE29" s="87">
        <v>79841.502999999997</v>
      </c>
      <c r="BF29" s="546">
        <f t="shared" si="28"/>
        <v>4.9747040903229046E-2</v>
      </c>
      <c r="BG29" s="87">
        <v>64358.287000000004</v>
      </c>
      <c r="BH29" s="546">
        <f t="shared" si="29"/>
        <v>3.4976917448816369E-2</v>
      </c>
      <c r="BI29" s="87">
        <v>100546.59299999999</v>
      </c>
      <c r="BJ29" s="546">
        <f t="shared" si="30"/>
        <v>5.3502330888735655E-2</v>
      </c>
      <c r="BK29" s="87">
        <v>123063.93400000001</v>
      </c>
      <c r="BL29" s="546">
        <f t="shared" si="31"/>
        <v>5.3575901576498837E-2</v>
      </c>
      <c r="BM29" s="87"/>
      <c r="BN29" s="546">
        <f t="shared" si="32"/>
        <v>0</v>
      </c>
      <c r="BO29" s="87"/>
      <c r="BP29" s="546">
        <f t="shared" si="33"/>
        <v>0</v>
      </c>
      <c r="BQ29" s="87"/>
      <c r="BR29" s="546">
        <f t="shared" si="34"/>
        <v>0</v>
      </c>
      <c r="BS29" s="87"/>
      <c r="BT29" s="546">
        <f t="shared" si="35"/>
        <v>0</v>
      </c>
      <c r="BU29" s="87">
        <v>296618.924</v>
      </c>
      <c r="BV29" s="546">
        <f t="shared" si="36"/>
        <v>5.9856329629356463E-2</v>
      </c>
      <c r="BW29" s="87">
        <v>12202.400000000001</v>
      </c>
      <c r="BX29" s="546">
        <f t="shared" si="37"/>
        <v>5.0915251125548178E-2</v>
      </c>
      <c r="BY29" s="87"/>
      <c r="BZ29" s="546">
        <f t="shared" si="38"/>
        <v>0</v>
      </c>
      <c r="CA29" s="87">
        <v>313054.54600000003</v>
      </c>
      <c r="CB29" s="546">
        <f t="shared" si="39"/>
        <v>5.5120604282446993E-2</v>
      </c>
      <c r="CC29" s="87">
        <v>115582.60700000002</v>
      </c>
      <c r="CD29" s="546">
        <f t="shared" si="40"/>
        <v>5.3605991658940942E-2</v>
      </c>
      <c r="CE29" s="87">
        <v>83693.483999999997</v>
      </c>
      <c r="CF29" s="546">
        <f t="shared" si="41"/>
        <v>5.1864235477291215E-2</v>
      </c>
      <c r="CG29" s="87"/>
      <c r="CH29" s="546">
        <f t="shared" si="42"/>
        <v>0</v>
      </c>
      <c r="CI29" s="87">
        <v>99094.898000000016</v>
      </c>
      <c r="CJ29" s="546">
        <f t="shared" si="43"/>
        <v>4.7011829584219053E-2</v>
      </c>
      <c r="CK29" s="87">
        <v>78518.720000000001</v>
      </c>
      <c r="CL29" s="546">
        <f t="shared" si="44"/>
        <v>3.7692987570030673E-2</v>
      </c>
      <c r="CM29" s="87">
        <v>61847.918999999994</v>
      </c>
      <c r="CN29" s="546">
        <f t="shared" si="45"/>
        <v>5.4082365740803738E-2</v>
      </c>
      <c r="CO29" s="87"/>
      <c r="CP29" s="546">
        <f t="shared" si="46"/>
        <v>0</v>
      </c>
      <c r="CQ29" s="87"/>
      <c r="CR29" s="546">
        <f t="shared" si="47"/>
        <v>0</v>
      </c>
      <c r="CS29" s="87">
        <v>132975.283</v>
      </c>
      <c r="CT29" s="546">
        <f t="shared" si="48"/>
        <v>4.9582536014323761E-2</v>
      </c>
      <c r="CU29" s="87">
        <v>62544.957999999999</v>
      </c>
      <c r="CV29" s="546">
        <f t="shared" si="49"/>
        <v>5.0233801658640685E-2</v>
      </c>
      <c r="CW29" s="87">
        <v>238662.50099999999</v>
      </c>
      <c r="CX29" s="546">
        <f t="shared" si="50"/>
        <v>5.9970741675822191E-2</v>
      </c>
      <c r="CY29" s="87">
        <v>33160.302000000003</v>
      </c>
      <c r="CZ29" s="546">
        <f t="shared" si="51"/>
        <v>5.3811046490013205E-2</v>
      </c>
      <c r="DA29" s="87"/>
      <c r="DB29" s="546">
        <f t="shared" si="52"/>
        <v>0</v>
      </c>
      <c r="DC29" s="87">
        <f t="shared" si="58"/>
        <v>4267866.6030000001</v>
      </c>
      <c r="DD29" s="546">
        <f t="shared" si="53"/>
        <v>5.1473582415641574E-2</v>
      </c>
      <c r="DE29" s="87"/>
      <c r="DF29" s="546">
        <f t="shared" si="54"/>
        <v>0</v>
      </c>
      <c r="DG29" s="87">
        <f t="shared" si="59"/>
        <v>-4267866.6030000001</v>
      </c>
      <c r="DH29" s="546">
        <f t="shared" si="55"/>
        <v>5.1473582415641574E-2</v>
      </c>
      <c r="DI29" s="499"/>
      <c r="DJ29" s="238"/>
      <c r="DK29" s="498"/>
    </row>
    <row r="30" spans="2:115" outlineLevel="1" x14ac:dyDescent="0.35">
      <c r="B30" s="17" t="s">
        <v>290</v>
      </c>
      <c r="C30" s="87">
        <f>SUMIF('TB Apr 24'!$D$13:$D$103,'MIS Apr24'!$B30,'TB Apr 24'!E$13:E$103)</f>
        <v>40545</v>
      </c>
      <c r="D30" s="546">
        <f t="shared" si="56"/>
        <v>3.3588524102356937E-2</v>
      </c>
      <c r="E30" s="87">
        <f>SUMIF('TB Apr 24'!$D$13:$D$103,'MIS Apr24'!$B30,'TB Apr 24'!F$13:F$103)</f>
        <v>40545</v>
      </c>
      <c r="F30" s="546">
        <f t="shared" si="56"/>
        <v>2.4626848398947087E-2</v>
      </c>
      <c r="G30" s="87">
        <f>SUMIF('TB Apr 24'!$D$13:$D$103,'MIS Apr24'!$B30,'TB Apr 24'!G$13:G$103)</f>
        <v>0</v>
      </c>
      <c r="H30" s="546">
        <f t="shared" si="3"/>
        <v>0</v>
      </c>
      <c r="I30" s="87">
        <f>SUMIF('TB Apr 24'!$D$13:$D$103,'MIS Apr24'!$B30,'TB Apr 24'!H$13:H$103)</f>
        <v>40545</v>
      </c>
      <c r="J30" s="546">
        <f t="shared" si="4"/>
        <v>1.3283275233897159E-2</v>
      </c>
      <c r="K30" s="87">
        <f>SUMIF('TB Apr 24'!$D$13:$D$103,'MIS Apr24'!$B30,'TB Apr 24'!I$13:I$103)</f>
        <v>40545</v>
      </c>
      <c r="L30" s="546">
        <f t="shared" si="5"/>
        <v>4.2144150563565526E-2</v>
      </c>
      <c r="M30" s="87">
        <f>SUMIF('TB Apr 24'!$D$13:$D$103,'MIS Apr24'!$B30,'TB Apr 24'!J$13:J$103)</f>
        <v>77698.5</v>
      </c>
      <c r="N30" s="546">
        <f t="shared" si="6"/>
        <v>3.3452608291711851E-2</v>
      </c>
      <c r="O30" s="87">
        <f>SUMIF('TB Apr 24'!$D$13:$D$103,'MIS Apr24'!$B30,'TB Apr 24'!K$13:K$103)</f>
        <v>82698.5</v>
      </c>
      <c r="P30" s="546">
        <f t="shared" si="7"/>
        <v>2.4563712498981843E-2</v>
      </c>
      <c r="Q30" s="87">
        <f>SUMIF('TB Apr 24'!$D$13:$D$103,'MIS Apr24'!$B30,'TB Apr 24'!L$13:L$103)</f>
        <v>0</v>
      </c>
      <c r="R30" s="546">
        <f t="shared" si="8"/>
        <v>0</v>
      </c>
      <c r="S30" s="87">
        <f>SUMIF('TB Apr 24'!$D$13:$D$103,'MIS Apr24'!$B30,'TB Apr 24'!M$13:M$103)</f>
        <v>82698.5</v>
      </c>
      <c r="T30" s="546">
        <f t="shared" si="9"/>
        <v>2.1993405963158727E-2</v>
      </c>
      <c r="U30" s="87">
        <f>SUMIF('TB Apr 24'!$D$13:$D$103,'MIS Apr24'!$B30,'TB Apr 24'!N$13:N$103)</f>
        <v>77698.5</v>
      </c>
      <c r="V30" s="546">
        <f t="shared" si="10"/>
        <v>2.7575430749133864E-2</v>
      </c>
      <c r="W30" s="87">
        <f>SUMIF('TB Apr 24'!$D$13:$D$103,'MIS Apr24'!$B30,'TB Apr 24'!P$13:P$103)</f>
        <v>0</v>
      </c>
      <c r="X30" s="546">
        <f t="shared" si="11"/>
        <v>0</v>
      </c>
      <c r="Y30" s="87">
        <f>SUMIF('TB Apr 24'!$D$13:$D$103,'MIS Apr24'!$B30,'TB Apr 24'!Q$13:Q$103)</f>
        <v>0</v>
      </c>
      <c r="Z30" s="546">
        <f t="shared" si="12"/>
        <v>0</v>
      </c>
      <c r="AA30" s="87">
        <f>SUMIF('TB Apr 24'!$D$13:$D$103,'MIS Apr24'!$B30,'TB Apr 24'!R$13:R$103)</f>
        <v>0</v>
      </c>
      <c r="AB30" s="546">
        <f t="shared" si="13"/>
        <v>0</v>
      </c>
      <c r="AC30" s="87">
        <f>SUMIF('TB Apr 24'!$D$13:$D$103,'MIS Apr24'!$B30,'TB Apr 24'!S$13:S$103)</f>
        <v>0</v>
      </c>
      <c r="AD30" s="546">
        <f t="shared" si="14"/>
        <v>0</v>
      </c>
      <c r="AE30" s="87">
        <f>SUMIF('TB Apr 24'!$D$13:$D$103,'MIS Apr24'!$B30,'TB Apr 24'!T$13:T$103)</f>
        <v>0</v>
      </c>
      <c r="AF30" s="546">
        <f t="shared" si="15"/>
        <v>0</v>
      </c>
      <c r="AG30" s="87">
        <f>SUMIF('TB Apr 24'!$D$13:$D$103,'MIS Apr24'!$B30,'TB Apr 24'!U$13:U$103)</f>
        <v>0</v>
      </c>
      <c r="AH30" s="546">
        <f t="shared" si="16"/>
        <v>0</v>
      </c>
      <c r="AI30" s="87">
        <f>SUMIF('TB Apr 24'!$D$13:$D$103,'MIS Apr24'!$B30,'TB Apr 24'!V$13:V$103)</f>
        <v>0</v>
      </c>
      <c r="AJ30" s="546">
        <f t="shared" si="17"/>
        <v>0</v>
      </c>
      <c r="AK30" s="87">
        <f>SUMIF('TB Apr 24'!$D$13:$D$103,'MIS Apr24'!$B30,'TB Apr 24'!W$13:W$103)</f>
        <v>33632</v>
      </c>
      <c r="AL30" s="546">
        <f t="shared" si="18"/>
        <v>3.1070992404374779E-2</v>
      </c>
      <c r="AM30" s="87">
        <f>SUMIF('TB Apr 24'!$D$13:$D$103,'MIS Apr24'!$B30,'TB Apr 24'!X$13:X$103)</f>
        <v>33633</v>
      </c>
      <c r="AN30" s="546">
        <f t="shared" si="19"/>
        <v>1.6438526663257257E-2</v>
      </c>
      <c r="AO30" s="87">
        <f>SUMIF('TB Apr 24'!$D$13:$D$103,'MIS Apr24'!$B30,'TB Apr 24'!Y$13:Y$103)</f>
        <v>35887</v>
      </c>
      <c r="AP30" s="546">
        <f t="shared" si="20"/>
        <v>2.0366062745552842E-2</v>
      </c>
      <c r="AQ30" s="87">
        <f>SUMIF('TB Apr 24'!$D$13:$D$103,'MIS Apr24'!$B30,'TB Apr 24'!Z$13:Z$103)</f>
        <v>2500</v>
      </c>
      <c r="AR30" s="546">
        <f t="shared" si="21"/>
        <v>1.6933160177095119E-3</v>
      </c>
      <c r="AS30" s="87">
        <f>SUMIF('TB Apr 24'!$D$13:$D$103,'MIS Apr24'!$B30,'TB Apr 24'!AA$13:AA$103)</f>
        <v>6410</v>
      </c>
      <c r="AT30" s="546">
        <f t="shared" si="22"/>
        <v>3.4344091022977053E-3</v>
      </c>
      <c r="AU30" s="87">
        <f>SUMIF('TB Apr 24'!$D$13:$D$103,'MIS Apr24'!$B30,'TB Apr 24'!AB$13:AB$103)</f>
        <v>0</v>
      </c>
      <c r="AV30" s="546">
        <f t="shared" si="23"/>
        <v>0</v>
      </c>
      <c r="AW30" s="87">
        <f>SUMIF('TB Apr 24'!$D$13:$D$103,'MIS Apr24'!$B30,'TB Apr 24'!AC$13:AC$103)</f>
        <v>2500</v>
      </c>
      <c r="AX30" s="546">
        <f t="shared" si="24"/>
        <v>6.7467158001516248E-4</v>
      </c>
      <c r="AY30" s="87">
        <f>SUMIF('TB Apr 24'!$D$13:$D$103,'MIS Apr24'!$B30,'TB Apr 24'!AD$13:AD$103)</f>
        <v>22500</v>
      </c>
      <c r="AZ30" s="546">
        <f t="shared" si="25"/>
        <v>5.395501206921823E-3</v>
      </c>
      <c r="BA30" s="87">
        <f>SUMIF('TB Apr 24'!$D$13:$D$103,'MIS Apr24'!$B30,'TB Apr 24'!AE$13:AE$103)</f>
        <v>2500</v>
      </c>
      <c r="BB30" s="546">
        <f t="shared" si="26"/>
        <v>7.5941760761849691E-3</v>
      </c>
      <c r="BC30" s="87">
        <f>SUMIF('TB Apr 24'!$D$13:$D$103,'MIS Apr24'!$B30,'TB Apr 24'!AF$13:AF$103)</f>
        <v>2500</v>
      </c>
      <c r="BD30" s="546">
        <f t="shared" si="27"/>
        <v>1.199763030484702E-3</v>
      </c>
      <c r="BE30" s="87">
        <f>SUMIF('TB Apr 24'!$D$13:$D$103,'MIS Apr24'!$B30,'TB Apr 24'!AG$13:AG$103)</f>
        <v>2500</v>
      </c>
      <c r="BF30" s="546">
        <f t="shared" si="28"/>
        <v>1.5576811255428474E-3</v>
      </c>
      <c r="BG30" s="87">
        <f>SUMIF('TB Apr 24'!$D$13:$D$103,'MIS Apr24'!$B30,'TB Apr 24'!AH$13:AH$103)</f>
        <v>2500</v>
      </c>
      <c r="BH30" s="546">
        <f t="shared" si="29"/>
        <v>1.3586796308304619E-3</v>
      </c>
      <c r="BI30" s="87">
        <f>SUMIF('TB Apr 24'!$D$13:$D$103,'MIS Apr24'!$B30,'TB Apr 24'!AI$13:AI$103)</f>
        <v>108890</v>
      </c>
      <c r="BJ30" s="546">
        <f t="shared" si="30"/>
        <v>5.7941981290946638E-2</v>
      </c>
      <c r="BK30" s="87">
        <f>SUMIF('TB Apr 24'!$D$13:$D$103,'MIS Apr24'!$B30,'TB Apr 24'!AJ$13:AJ$103)</f>
        <v>101390</v>
      </c>
      <c r="BL30" s="546">
        <f t="shared" si="31"/>
        <v>4.4140151255372809E-2</v>
      </c>
      <c r="BM30" s="87">
        <f>SUMIF('TB Apr 24'!$D$13:$D$103,'MIS Apr24'!$B30,'TB Apr 24'!AK$13:AK$103)</f>
        <v>0</v>
      </c>
      <c r="BN30" s="546">
        <f t="shared" si="32"/>
        <v>0</v>
      </c>
      <c r="BO30" s="87">
        <f>SUMIF('TB Apr 24'!$D$13:$D$103,'MIS Apr24'!$B30,'TB Apr 24'!AL$13:AL$103)</f>
        <v>0</v>
      </c>
      <c r="BP30" s="546">
        <f t="shared" si="33"/>
        <v>0</v>
      </c>
      <c r="BQ30" s="87">
        <f>SUMIF('TB Apr 24'!$D$13:$D$103,'MIS Apr24'!$B30,'TB Apr 24'!AM$13:AM$103)</f>
        <v>0</v>
      </c>
      <c r="BR30" s="546">
        <f t="shared" si="34"/>
        <v>0</v>
      </c>
      <c r="BS30" s="87">
        <f>SUMIF('TB Apr 24'!$D$13:$D$103,'MIS Apr24'!$B30,'TB Apr 24'!AN$13:AN$103)</f>
        <v>0</v>
      </c>
      <c r="BT30" s="546">
        <f t="shared" si="35"/>
        <v>0</v>
      </c>
      <c r="BU30" s="87">
        <f>SUMIF('TB Apr 24'!$D$13:$D$103,'MIS Apr24'!$B30,'TB Apr 24'!AO$13:AO$103)</f>
        <v>98890</v>
      </c>
      <c r="BV30" s="546">
        <f t="shared" si="36"/>
        <v>1.9955545510127536E-2</v>
      </c>
      <c r="BW30" s="87">
        <f>SUMIF('TB Apr 24'!$D$13:$D$103,'MIS Apr24'!$B30,'TB Apr 24'!AP$13:AP$103)</f>
        <v>98890</v>
      </c>
      <c r="BX30" s="546">
        <f t="shared" si="37"/>
        <v>0.41262449877118096</v>
      </c>
      <c r="BY30" s="87">
        <f>SUMIF('TB Apr 24'!$D$13:$D$103,'MIS Apr24'!$B30,'TB Apr 24'!AQ$13:AQ$103)</f>
        <v>0</v>
      </c>
      <c r="BZ30" s="546">
        <f t="shared" si="38"/>
        <v>0</v>
      </c>
      <c r="CA30" s="87">
        <f>SUMIF('TB Apr 24'!$D$13:$D$103,'MIS Apr24'!$B30,'TB Apr 24'!AR$13:AR$103)</f>
        <v>127430</v>
      </c>
      <c r="CB30" s="546">
        <f t="shared" si="39"/>
        <v>2.243704393838197E-2</v>
      </c>
      <c r="CC30" s="87">
        <f>SUMIF('TB Apr 24'!$D$13:$D$103,'MIS Apr24'!$B30,'TB Apr 24'!AS$13:AS$103)</f>
        <v>25910</v>
      </c>
      <c r="CD30" s="546">
        <f t="shared" si="40"/>
        <v>1.2016784185211876E-2</v>
      </c>
      <c r="CE30" s="87">
        <f>SUMIF('TB Apr 24'!$D$13:$D$103,'MIS Apr24'!$B30,'TB Apr 24'!AT$13:AT$103)</f>
        <v>50338</v>
      </c>
      <c r="CF30" s="546">
        <f t="shared" si="41"/>
        <v>3.1194087767404753E-2</v>
      </c>
      <c r="CG30" s="87">
        <f>SUMIF('TB Apr 24'!$D$13:$D$103,'MIS Apr24'!$B30,'TB Apr 24'!AU$13:AU$103)</f>
        <v>0</v>
      </c>
      <c r="CH30" s="546">
        <f t="shared" si="42"/>
        <v>0</v>
      </c>
      <c r="CI30" s="87">
        <f>SUMIF('TB Apr 24'!$D$13:$D$103,'MIS Apr24'!$B30,'TB Apr 24'!AV$13:AV$103)</f>
        <v>76190</v>
      </c>
      <c r="CJ30" s="546">
        <f t="shared" si="43"/>
        <v>3.61454662985944E-2</v>
      </c>
      <c r="CK30" s="87">
        <f>SUMIF('TB Apr 24'!$D$13:$D$103,'MIS Apr24'!$B30,'TB Apr 24'!AW$13:AW$103)</f>
        <v>76190</v>
      </c>
      <c r="CL30" s="546">
        <f t="shared" si="44"/>
        <v>3.6575083279001962E-2</v>
      </c>
      <c r="CM30" s="87">
        <f>SUMIF('TB Apr 24'!$D$13:$D$103,'MIS Apr24'!$B30,'TB Apr 24'!AX$13:AX$103)</f>
        <v>33000</v>
      </c>
      <c r="CN30" s="546">
        <f t="shared" si="45"/>
        <v>2.8856558123588984E-2</v>
      </c>
      <c r="CO30" s="87">
        <f>SUMIF('TB Apr 24'!$D$13:$D$103,'MIS Apr24'!$B30,'TB Apr 24'!AY$13:AY$103)</f>
        <v>0</v>
      </c>
      <c r="CP30" s="546">
        <f t="shared" si="46"/>
        <v>0</v>
      </c>
      <c r="CQ30" s="87">
        <f>SUMIF('TB Apr 24'!$D$13:$D$103,'MIS Apr24'!$B30,'TB Apr 24'!AZ$13:AZ$103)</f>
        <v>0</v>
      </c>
      <c r="CR30" s="546">
        <f t="shared" si="47"/>
        <v>0</v>
      </c>
      <c r="CS30" s="87">
        <f>SUMIF('TB Apr 24'!$D$13:$D$103,'MIS Apr24'!$B30,'TB Apr 24'!BA$13:BA$103)</f>
        <v>87833</v>
      </c>
      <c r="CT30" s="546">
        <f t="shared" si="48"/>
        <v>3.2750318611813739E-2</v>
      </c>
      <c r="CU30" s="87">
        <f>SUMIF('TB Apr 24'!$D$13:$D$103,'MIS Apr24'!$B30,'TB Apr 24'!BB$13:BB$103)</f>
        <v>87833</v>
      </c>
      <c r="CV30" s="546">
        <f t="shared" si="49"/>
        <v>7.0544223582073351E-2</v>
      </c>
      <c r="CW30" s="87">
        <f>SUMIF('TB Apr 24'!$D$13:$D$103,'MIS Apr24'!$B30,'TB Apr 24'!BC$13:BC$103)</f>
        <v>87833</v>
      </c>
      <c r="CX30" s="546">
        <f t="shared" si="50"/>
        <v>2.2070539492136179E-2</v>
      </c>
      <c r="CY30" s="87">
        <f>SUMIF('TB Apr 24'!$D$13:$D$103,'MIS Apr24'!$B30,'TB Apr 24'!BD$13:BD$103)</f>
        <v>33000</v>
      </c>
      <c r="CZ30" s="546">
        <f t="shared" si="51"/>
        <v>5.3550915615015682E-2</v>
      </c>
      <c r="DA30" s="87">
        <f>SUMIF('TB Apr 24'!$D$13:$D$103,'MIS Apr24'!$B30,'TB Apr 24'!O$13:O$103)</f>
        <v>0</v>
      </c>
      <c r="DB30" s="546">
        <f t="shared" si="52"/>
        <v>0</v>
      </c>
      <c r="DC30" s="87">
        <f t="shared" si="58"/>
        <v>1723653</v>
      </c>
      <c r="DD30" s="546">
        <f t="shared" si="53"/>
        <v>2.0788511686167112E-2</v>
      </c>
      <c r="DE30" s="87"/>
      <c r="DF30" s="546">
        <f t="shared" si="54"/>
        <v>0</v>
      </c>
      <c r="DG30" s="87">
        <f t="shared" si="59"/>
        <v>-1723653</v>
      </c>
      <c r="DH30" s="546">
        <f t="shared" si="55"/>
        <v>2.0788511686167112E-2</v>
      </c>
      <c r="DI30" s="499"/>
    </row>
    <row r="31" spans="2:115" outlineLevel="1" x14ac:dyDescent="0.35">
      <c r="B31" s="17" t="s">
        <v>319</v>
      </c>
      <c r="C31" s="87">
        <f>SUMIF('TB Apr 24'!$D$13:$D$103,'MIS Apr24'!$B31,'TB Apr 24'!E$13:E$103)</f>
        <v>0</v>
      </c>
      <c r="D31" s="546">
        <f t="shared" si="56"/>
        <v>0</v>
      </c>
      <c r="E31" s="87">
        <f>SUMIF('TB Apr 24'!$D$13:$D$103,'MIS Apr24'!$B31,'TB Apr 24'!F$13:F$103)</f>
        <v>0</v>
      </c>
      <c r="F31" s="546">
        <f t="shared" si="56"/>
        <v>0</v>
      </c>
      <c r="G31" s="87">
        <f>SUMIF('TB Apr 24'!$D$13:$D$103,'MIS Apr24'!$B31,'TB Apr 24'!G$13:G$103)</f>
        <v>0</v>
      </c>
      <c r="H31" s="546">
        <f t="shared" si="3"/>
        <v>0</v>
      </c>
      <c r="I31" s="87">
        <f>SUMIF('TB Apr 24'!$D$13:$D$103,'MIS Apr24'!$B31,'TB Apr 24'!H$13:H$103)</f>
        <v>0</v>
      </c>
      <c r="J31" s="546">
        <f t="shared" si="4"/>
        <v>0</v>
      </c>
      <c r="K31" s="87">
        <f>SUMIF('TB Apr 24'!$D$13:$D$103,'MIS Apr24'!$B31,'TB Apr 24'!I$13:I$103)</f>
        <v>0</v>
      </c>
      <c r="L31" s="546">
        <f t="shared" si="5"/>
        <v>0</v>
      </c>
      <c r="M31" s="87">
        <f>SUMIF('TB Apr 24'!$D$13:$D$103,'MIS Apr24'!$B31,'TB Apr 24'!J$13:J$103)</f>
        <v>0</v>
      </c>
      <c r="N31" s="546">
        <f t="shared" si="6"/>
        <v>0</v>
      </c>
      <c r="O31" s="87">
        <f>SUMIF('TB Apr 24'!$D$13:$D$103,'MIS Apr24'!$B31,'TB Apr 24'!K$13:K$103)</f>
        <v>8620</v>
      </c>
      <c r="P31" s="546">
        <f t="shared" si="7"/>
        <v>2.5603753603901337E-3</v>
      </c>
      <c r="Q31" s="87">
        <f>SUMIF('TB Apr 24'!$D$13:$D$103,'MIS Apr24'!$B31,'TB Apr 24'!L$13:L$103)</f>
        <v>0</v>
      </c>
      <c r="R31" s="546">
        <f t="shared" si="8"/>
        <v>0</v>
      </c>
      <c r="S31" s="87">
        <f>SUMIF('TB Apr 24'!$D$13:$D$103,'MIS Apr24'!$B31,'TB Apr 24'!M$13:M$103)</f>
        <v>43150</v>
      </c>
      <c r="T31" s="546">
        <f t="shared" si="9"/>
        <v>1.147560678017496E-2</v>
      </c>
      <c r="U31" s="87">
        <f>SUMIF('TB Apr 24'!$D$13:$D$103,'MIS Apr24'!$B31,'TB Apr 24'!N$13:N$103)</f>
        <v>0</v>
      </c>
      <c r="V31" s="546">
        <f t="shared" si="10"/>
        <v>0</v>
      </c>
      <c r="W31" s="87">
        <f>SUMIF('TB Apr 24'!$D$13:$D$103,'MIS Apr24'!$B31,'TB Apr 24'!P$13:P$103)</f>
        <v>0</v>
      </c>
      <c r="X31" s="546">
        <f t="shared" si="11"/>
        <v>0</v>
      </c>
      <c r="Y31" s="87">
        <f>SUMIF('TB Apr 24'!$D$13:$D$103,'MIS Apr24'!$B31,'TB Apr 24'!Q$13:Q$103)</f>
        <v>0</v>
      </c>
      <c r="Z31" s="546">
        <f t="shared" si="12"/>
        <v>0</v>
      </c>
      <c r="AA31" s="87">
        <f>SUMIF('TB Apr 24'!$D$13:$D$103,'MIS Apr24'!$B31,'TB Apr 24'!R$13:R$103)</f>
        <v>30800</v>
      </c>
      <c r="AB31" s="546">
        <f t="shared" si="13"/>
        <v>9.7893148831556115E-3</v>
      </c>
      <c r="AC31" s="87">
        <f>SUMIF('TB Apr 24'!$D$13:$D$103,'MIS Apr24'!$B31,'TB Apr 24'!S$13:S$103)</f>
        <v>34027</v>
      </c>
      <c r="AD31" s="546">
        <f t="shared" si="14"/>
        <v>1.498604553496481E-2</v>
      </c>
      <c r="AE31" s="87">
        <f>SUMIF('TB Apr 24'!$D$13:$D$103,'MIS Apr24'!$B31,'TB Apr 24'!T$13:T$103)</f>
        <v>0</v>
      </c>
      <c r="AF31" s="546">
        <f t="shared" si="15"/>
        <v>0</v>
      </c>
      <c r="AG31" s="87">
        <f>SUMIF('TB Apr 24'!$D$13:$D$103,'MIS Apr24'!$B31,'TB Apr 24'!U$13:U$103)</f>
        <v>32616</v>
      </c>
      <c r="AH31" s="546">
        <f t="shared" si="16"/>
        <v>8.7753937816303727E-3</v>
      </c>
      <c r="AI31" s="87">
        <f>SUMIF('TB Apr 24'!$D$13:$D$103,'MIS Apr24'!$B31,'TB Apr 24'!V$13:V$103)</f>
        <v>0</v>
      </c>
      <c r="AJ31" s="546">
        <f t="shared" si="17"/>
        <v>0</v>
      </c>
      <c r="AK31" s="87">
        <f>SUMIF('TB Apr 24'!$D$13:$D$103,'MIS Apr24'!$B31,'TB Apr 24'!W$13:W$103)</f>
        <v>7834</v>
      </c>
      <c r="AL31" s="546">
        <f t="shared" si="18"/>
        <v>7.237457019977165E-3</v>
      </c>
      <c r="AM31" s="87">
        <f>SUMIF('TB Apr 24'!$D$13:$D$103,'MIS Apr24'!$B31,'TB Apr 24'!X$13:X$103)</f>
        <v>9334</v>
      </c>
      <c r="AN31" s="546">
        <f t="shared" si="19"/>
        <v>4.5621029308965371E-3</v>
      </c>
      <c r="AO31" s="87">
        <f>SUMIF('TB Apr 24'!$D$13:$D$103,'MIS Apr24'!$B31,'TB Apr 24'!Y$13:Y$103)</f>
        <v>7834</v>
      </c>
      <c r="AP31" s="546">
        <f t="shared" si="20"/>
        <v>4.4458365299038915E-3</v>
      </c>
      <c r="AQ31" s="87">
        <f>SUMIF('TB Apr 24'!$D$13:$D$103,'MIS Apr24'!$B31,'TB Apr 24'!Z$13:Z$103)</f>
        <v>57264</v>
      </c>
      <c r="AR31" s="546">
        <f t="shared" si="21"/>
        <v>3.8786419375246996E-2</v>
      </c>
      <c r="AS31" s="87">
        <f>SUMIF('TB Apr 24'!$D$13:$D$103,'MIS Apr24'!$B31,'TB Apr 24'!AA$13:AA$103)</f>
        <v>0</v>
      </c>
      <c r="AT31" s="546">
        <f t="shared" si="22"/>
        <v>0</v>
      </c>
      <c r="AU31" s="87">
        <f>SUMIF('TB Apr 24'!$D$13:$D$103,'MIS Apr24'!$B31,'TB Apr 24'!AB$13:AB$103)</f>
        <v>0</v>
      </c>
      <c r="AV31" s="546">
        <f t="shared" si="23"/>
        <v>0</v>
      </c>
      <c r="AW31" s="87">
        <f>SUMIF('TB Apr 24'!$D$13:$D$103,'MIS Apr24'!$B31,'TB Apr 24'!AC$13:AC$103)</f>
        <v>52864</v>
      </c>
      <c r="AX31" s="546">
        <f t="shared" si="24"/>
        <v>1.4266335362368619E-2</v>
      </c>
      <c r="AY31" s="87">
        <f>SUMIF('TB Apr 24'!$D$13:$D$103,'MIS Apr24'!$B31,'TB Apr 24'!AD$13:AD$103)</f>
        <v>0</v>
      </c>
      <c r="AZ31" s="546">
        <f t="shared" si="25"/>
        <v>0</v>
      </c>
      <c r="BA31" s="87">
        <f>SUMIF('TB Apr 24'!$D$13:$D$103,'MIS Apr24'!$B31,'TB Apr 24'!AE$13:AE$103)</f>
        <v>22400</v>
      </c>
      <c r="BB31" s="546">
        <f t="shared" si="26"/>
        <v>6.8043817642617327E-2</v>
      </c>
      <c r="BC31" s="87">
        <f>SUMIF('TB Apr 24'!$D$13:$D$103,'MIS Apr24'!$B31,'TB Apr 24'!AF$13:AF$103)</f>
        <v>3894</v>
      </c>
      <c r="BD31" s="546">
        <f t="shared" si="27"/>
        <v>1.8687508962829719E-3</v>
      </c>
      <c r="BE31" s="87">
        <f>SUMIF('TB Apr 24'!$D$13:$D$103,'MIS Apr24'!$B31,'TB Apr 24'!AG$13:AG$103)</f>
        <v>10440</v>
      </c>
      <c r="BF31" s="546">
        <f t="shared" si="28"/>
        <v>6.5048763802669305E-3</v>
      </c>
      <c r="BG31" s="87">
        <f>SUMIF('TB Apr 24'!$D$13:$D$103,'MIS Apr24'!$B31,'TB Apr 24'!AH$13:AH$103)</f>
        <v>0</v>
      </c>
      <c r="BH31" s="546">
        <f t="shared" si="29"/>
        <v>0</v>
      </c>
      <c r="BI31" s="87">
        <f>SUMIF('TB Apr 24'!$D$13:$D$103,'MIS Apr24'!$B31,'TB Apr 24'!AI$13:AI$103)</f>
        <v>0</v>
      </c>
      <c r="BJ31" s="546">
        <f t="shared" si="30"/>
        <v>0</v>
      </c>
      <c r="BK31" s="87">
        <f>SUMIF('TB Apr 24'!$D$13:$D$103,'MIS Apr24'!$B31,'TB Apr 24'!AJ$13:AJ$103)</f>
        <v>2000</v>
      </c>
      <c r="BL31" s="546">
        <f t="shared" si="31"/>
        <v>8.7070029106169858E-4</v>
      </c>
      <c r="BM31" s="87">
        <f>SUMIF('TB Apr 24'!$D$13:$D$103,'MIS Apr24'!$B31,'TB Apr 24'!AK$13:AK$103)</f>
        <v>0</v>
      </c>
      <c r="BN31" s="546">
        <f t="shared" si="32"/>
        <v>0</v>
      </c>
      <c r="BO31" s="87">
        <f>SUMIF('TB Apr 24'!$D$13:$D$103,'MIS Apr24'!$B31,'TB Apr 24'!AL$13:AL$103)</f>
        <v>0</v>
      </c>
      <c r="BP31" s="546">
        <f t="shared" si="33"/>
        <v>0</v>
      </c>
      <c r="BQ31" s="87">
        <f>SUMIF('TB Apr 24'!$D$13:$D$103,'MIS Apr24'!$B31,'TB Apr 24'!AM$13:AM$103)</f>
        <v>0</v>
      </c>
      <c r="BR31" s="546">
        <f t="shared" si="34"/>
        <v>0</v>
      </c>
      <c r="BS31" s="87">
        <f>SUMIF('TB Apr 24'!$D$13:$D$103,'MIS Apr24'!$B31,'TB Apr 24'!AN$13:AN$103)</f>
        <v>0</v>
      </c>
      <c r="BT31" s="546">
        <f t="shared" si="35"/>
        <v>0</v>
      </c>
      <c r="BU31" s="87">
        <f>SUMIF('TB Apr 24'!$D$13:$D$103,'MIS Apr24'!$B31,'TB Apr 24'!AO$13:AO$103)</f>
        <v>0</v>
      </c>
      <c r="BV31" s="546">
        <f t="shared" si="36"/>
        <v>0</v>
      </c>
      <c r="BW31" s="87">
        <f>SUMIF('TB Apr 24'!$D$13:$D$103,'MIS Apr24'!$B31,'TB Apr 24'!AP$13:AP$103)</f>
        <v>0</v>
      </c>
      <c r="BX31" s="546">
        <f t="shared" si="37"/>
        <v>0</v>
      </c>
      <c r="BY31" s="87">
        <f>SUMIF('TB Apr 24'!$D$13:$D$103,'MIS Apr24'!$B31,'TB Apr 24'!AQ$13:AQ$103)</f>
        <v>0</v>
      </c>
      <c r="BZ31" s="546">
        <f t="shared" si="38"/>
        <v>0</v>
      </c>
      <c r="CA31" s="87">
        <f>SUMIF('TB Apr 24'!$D$13:$D$103,'MIS Apr24'!$B31,'TB Apr 24'!AR$13:AR$103)</f>
        <v>3000</v>
      </c>
      <c r="CB31" s="546">
        <f t="shared" si="39"/>
        <v>5.2822044899274829E-4</v>
      </c>
      <c r="CC31" s="87">
        <f>SUMIF('TB Apr 24'!$D$13:$D$103,'MIS Apr24'!$B31,'TB Apr 24'!AS$13:AS$103)</f>
        <v>0</v>
      </c>
      <c r="CD31" s="546">
        <f t="shared" si="40"/>
        <v>0</v>
      </c>
      <c r="CE31" s="87">
        <f>SUMIF('TB Apr 24'!$D$13:$D$103,'MIS Apr24'!$B31,'TB Apr 24'!AT$13:AT$103)</f>
        <v>0</v>
      </c>
      <c r="CF31" s="546">
        <f t="shared" si="41"/>
        <v>0</v>
      </c>
      <c r="CG31" s="87">
        <f>SUMIF('TB Apr 24'!$D$13:$D$103,'MIS Apr24'!$B31,'TB Apr 24'!AU$13:AU$103)</f>
        <v>0</v>
      </c>
      <c r="CH31" s="546">
        <f t="shared" si="42"/>
        <v>0</v>
      </c>
      <c r="CI31" s="87">
        <f>SUMIF('TB Apr 24'!$D$13:$D$103,'MIS Apr24'!$B31,'TB Apr 24'!AV$13:AV$103)</f>
        <v>0</v>
      </c>
      <c r="CJ31" s="546">
        <f t="shared" si="43"/>
        <v>0</v>
      </c>
      <c r="CK31" s="87">
        <f>SUMIF('TB Apr 24'!$D$13:$D$103,'MIS Apr24'!$B31,'TB Apr 24'!AW$13:AW$103)</f>
        <v>0</v>
      </c>
      <c r="CL31" s="546">
        <f t="shared" si="44"/>
        <v>0</v>
      </c>
      <c r="CM31" s="87">
        <f>SUMIF('TB Apr 24'!$D$13:$D$103,'MIS Apr24'!$B31,'TB Apr 24'!AX$13:AX$103)</f>
        <v>0</v>
      </c>
      <c r="CN31" s="546">
        <f t="shared" si="45"/>
        <v>0</v>
      </c>
      <c r="CO31" s="87">
        <f>SUMIF('TB Apr 24'!$D$13:$D$103,'MIS Apr24'!$B31,'TB Apr 24'!AY$13:AY$103)</f>
        <v>0</v>
      </c>
      <c r="CP31" s="546">
        <f t="shared" si="46"/>
        <v>0</v>
      </c>
      <c r="CQ31" s="87">
        <f>SUMIF('TB Apr 24'!$D$13:$D$103,'MIS Apr24'!$B31,'TB Apr 24'!AZ$13:AZ$103)</f>
        <v>0</v>
      </c>
      <c r="CR31" s="546">
        <f t="shared" si="47"/>
        <v>0</v>
      </c>
      <c r="CS31" s="87">
        <f>SUMIF('TB Apr 24'!$D$13:$D$103,'MIS Apr24'!$B31,'TB Apr 24'!BA$13:BA$103)</f>
        <v>0</v>
      </c>
      <c r="CT31" s="546">
        <f t="shared" si="48"/>
        <v>0</v>
      </c>
      <c r="CU31" s="87">
        <f>SUMIF('TB Apr 24'!$D$13:$D$103,'MIS Apr24'!$B31,'TB Apr 24'!BB$13:BB$103)</f>
        <v>0</v>
      </c>
      <c r="CV31" s="546">
        <f t="shared" si="49"/>
        <v>0</v>
      </c>
      <c r="CW31" s="87">
        <f>SUMIF('TB Apr 24'!$D$13:$D$103,'MIS Apr24'!$B31,'TB Apr 24'!BC$13:BC$103)</f>
        <v>0</v>
      </c>
      <c r="CX31" s="546">
        <f t="shared" si="50"/>
        <v>0</v>
      </c>
      <c r="CY31" s="87">
        <f>SUMIF('TB Apr 24'!$D$13:$D$103,'MIS Apr24'!$B31,'TB Apr 24'!BD$13:BD$103)</f>
        <v>0</v>
      </c>
      <c r="CZ31" s="546">
        <f t="shared" si="51"/>
        <v>0</v>
      </c>
      <c r="DA31" s="87">
        <f>SUMIF('TB Apr 24'!$D$13:$D$103,'MIS Apr24'!$B31,'TB Apr 24'!O$13:O$103)</f>
        <v>0</v>
      </c>
      <c r="DB31" s="546">
        <f t="shared" si="52"/>
        <v>0</v>
      </c>
      <c r="DC31" s="87">
        <f t="shared" si="58"/>
        <v>326077</v>
      </c>
      <c r="DD31" s="546">
        <f t="shared" si="53"/>
        <v>3.9327263231580334E-3</v>
      </c>
      <c r="DE31" s="87"/>
      <c r="DF31" s="546">
        <f t="shared" si="54"/>
        <v>0</v>
      </c>
      <c r="DG31" s="87">
        <f t="shared" si="59"/>
        <v>-326077</v>
      </c>
      <c r="DH31" s="546">
        <f t="shared" si="55"/>
        <v>3.9327263231580334E-3</v>
      </c>
      <c r="DI31" s="499"/>
    </row>
    <row r="32" spans="2:115" outlineLevel="1" x14ac:dyDescent="0.35">
      <c r="B32" s="17" t="s">
        <v>291</v>
      </c>
      <c r="C32" s="87">
        <f>SUMIF('TB Apr 24'!$D$13:$D$103,'MIS Apr24'!$B32,'TB Apr 24'!E$13:E$103)</f>
        <v>45062.152770411187</v>
      </c>
      <c r="D32" s="546">
        <f t="shared" si="56"/>
        <v>3.7330650004514652E-2</v>
      </c>
      <c r="E32" s="87">
        <f>SUMIF('TB Apr 24'!$D$13:$D$103,'MIS Apr24'!$B32,'TB Apr 24'!F$13:F$103)</f>
        <v>54289.240560826882</v>
      </c>
      <c r="F32" s="546">
        <f t="shared" si="56"/>
        <v>3.2975037538178632E-2</v>
      </c>
      <c r="G32" s="87">
        <f>SUMIF('TB Apr 24'!$D$13:$D$103,'MIS Apr24'!$B32,'TB Apr 24'!G$13:G$103)</f>
        <v>0</v>
      </c>
      <c r="H32" s="546">
        <f t="shared" si="3"/>
        <v>0</v>
      </c>
      <c r="I32" s="87">
        <f>SUMIF('TB Apr 24'!$D$13:$D$103,'MIS Apr24'!$B32,'TB Apr 24'!H$13:H$103)</f>
        <v>56739.447333792843</v>
      </c>
      <c r="J32" s="546">
        <f t="shared" si="4"/>
        <v>1.8588869048069619E-2</v>
      </c>
      <c r="K32" s="87">
        <f>SUMIF('TB Apr 24'!$D$13:$D$103,'MIS Apr24'!$B32,'TB Apr 24'!I$13:I$103)</f>
        <v>39425.305214691391</v>
      </c>
      <c r="L32" s="546">
        <f t="shared" si="5"/>
        <v>4.0980293475952126E-2</v>
      </c>
      <c r="M32" s="87">
        <f>SUMIF('TB Apr 24'!$D$13:$D$103,'MIS Apr24'!$B32,'TB Apr 24'!J$13:J$103)</f>
        <v>52915.606899175196</v>
      </c>
      <c r="N32" s="546">
        <f t="shared" si="6"/>
        <v>2.2782487050796517E-2</v>
      </c>
      <c r="O32" s="87">
        <f>SUMIF('TB Apr 24'!$D$13:$D$103,'MIS Apr24'!$B32,'TB Apr 24'!K$13:K$103)</f>
        <v>63754.381696601486</v>
      </c>
      <c r="P32" s="546">
        <f t="shared" si="7"/>
        <v>1.8936792112863827E-2</v>
      </c>
      <c r="Q32" s="87">
        <f>SUMIF('TB Apr 24'!$D$13:$D$103,'MIS Apr24'!$B32,'TB Apr 24'!L$13:L$103)</f>
        <v>0</v>
      </c>
      <c r="R32" s="546">
        <f t="shared" si="8"/>
        <v>0</v>
      </c>
      <c r="S32" s="87">
        <f>SUMIF('TB Apr 24'!$D$13:$D$103,'MIS Apr24'!$B32,'TB Apr 24'!M$13:M$103)</f>
        <v>59579.29150140148</v>
      </c>
      <c r="T32" s="546">
        <f t="shared" si="9"/>
        <v>1.5844925179872613E-2</v>
      </c>
      <c r="U32" s="87">
        <f>SUMIF('TB Apr 24'!$D$13:$D$103,'MIS Apr24'!$B32,'TB Apr 24'!N$13:N$103)</f>
        <v>69414.238197980769</v>
      </c>
      <c r="V32" s="546">
        <f t="shared" si="10"/>
        <v>2.4635321382424386E-2</v>
      </c>
      <c r="W32" s="87">
        <f>SUMIF('TB Apr 24'!$D$13:$D$103,'MIS Apr24'!$B32,'TB Apr 24'!P$13:P$103)</f>
        <v>0</v>
      </c>
      <c r="X32" s="546">
        <f t="shared" si="11"/>
        <v>0</v>
      </c>
      <c r="Y32" s="87">
        <f>SUMIF('TB Apr 24'!$D$13:$D$103,'MIS Apr24'!$B32,'TB Apr 24'!Q$13:Q$103)</f>
        <v>0</v>
      </c>
      <c r="Z32" s="546">
        <f t="shared" si="12"/>
        <v>0</v>
      </c>
      <c r="AA32" s="87">
        <f>SUMIF('TB Apr 24'!$D$13:$D$103,'MIS Apr24'!$B32,'TB Apr 24'!R$13:R$103)</f>
        <v>103755.85330421015</v>
      </c>
      <c r="AB32" s="546">
        <f t="shared" si="13"/>
        <v>3.2977231135240738E-2</v>
      </c>
      <c r="AC32" s="87">
        <f>SUMIF('TB Apr 24'!$D$13:$D$103,'MIS Apr24'!$B32,'TB Apr 24'!S$13:S$103)</f>
        <v>51067.847520689087</v>
      </c>
      <c r="AD32" s="546">
        <f t="shared" si="14"/>
        <v>2.2491112596399517E-2</v>
      </c>
      <c r="AE32" s="87">
        <f>SUMIF('TB Apr 24'!$D$13:$D$103,'MIS Apr24'!$B32,'TB Apr 24'!T$13:T$103)</f>
        <v>0</v>
      </c>
      <c r="AF32" s="546">
        <f t="shared" si="15"/>
        <v>0</v>
      </c>
      <c r="AG32" s="87">
        <f>SUMIF('TB Apr 24'!$D$13:$D$103,'MIS Apr24'!$B32,'TB Apr 24'!U$13:U$103)</f>
        <v>68290.186374237528</v>
      </c>
      <c r="AH32" s="546">
        <f t="shared" si="16"/>
        <v>1.8373598137566324E-2</v>
      </c>
      <c r="AI32" s="87">
        <f>SUMIF('TB Apr 24'!$D$13:$D$103,'MIS Apr24'!$B32,'TB Apr 24'!V$13:V$103)</f>
        <v>0</v>
      </c>
      <c r="AJ32" s="546">
        <f t="shared" si="17"/>
        <v>0</v>
      </c>
      <c r="AK32" s="87">
        <f>SUMIF('TB Apr 24'!$D$13:$D$103,'MIS Apr24'!$B32,'TB Apr 24'!W$13:W$103)</f>
        <v>130950.87319096392</v>
      </c>
      <c r="AL32" s="546">
        <f t="shared" si="18"/>
        <v>0.12097923365433767</v>
      </c>
      <c r="AM32" s="87">
        <f>SUMIF('TB Apr 24'!$D$13:$D$103,'MIS Apr24'!$B32,'TB Apr 24'!X$13:X$103)</f>
        <v>105171.92738446074</v>
      </c>
      <c r="AN32" s="546">
        <f t="shared" si="19"/>
        <v>5.1404023802087653E-2</v>
      </c>
      <c r="AO32" s="87">
        <f>SUMIF('TB Apr 24'!$D$13:$D$103,'MIS Apr24'!$B32,'TB Apr 24'!Y$13:Y$103)</f>
        <v>84605.189697879032</v>
      </c>
      <c r="AP32" s="546">
        <f t="shared" si="20"/>
        <v>4.8013893665851293E-2</v>
      </c>
      <c r="AQ32" s="87">
        <f>SUMIF('TB Apr 24'!$D$13:$D$103,'MIS Apr24'!$B32,'TB Apr 24'!Z$13:Z$103)</f>
        <v>41664.454711827988</v>
      </c>
      <c r="AR32" s="546">
        <f t="shared" si="21"/>
        <v>2.8220435413068352E-2</v>
      </c>
      <c r="AS32" s="87">
        <f>SUMIF('TB Apr 24'!$D$13:$D$103,'MIS Apr24'!$B32,'TB Apr 24'!AA$13:AA$103)</f>
        <v>39909.064437636203</v>
      </c>
      <c r="AT32" s="546">
        <f t="shared" si="22"/>
        <v>2.1382847764243904E-2</v>
      </c>
      <c r="AU32" s="87">
        <f>SUMIF('TB Apr 24'!$D$13:$D$103,'MIS Apr24'!$B32,'TB Apr 24'!AB$13:AB$103)</f>
        <v>0</v>
      </c>
      <c r="AV32" s="546">
        <f t="shared" si="23"/>
        <v>0</v>
      </c>
      <c r="AW32" s="87">
        <f>SUMIF('TB Apr 24'!$D$13:$D$103,'MIS Apr24'!$B32,'TB Apr 24'!AC$13:AC$103)</f>
        <v>68496.848903045364</v>
      </c>
      <c r="AX32" s="546">
        <f t="shared" si="24"/>
        <v>1.8485150910190984E-2</v>
      </c>
      <c r="AY32" s="87">
        <f>SUMIF('TB Apr 24'!$D$13:$D$103,'MIS Apr24'!$B32,'TB Apr 24'!AD$13:AD$103)</f>
        <v>88018.99063532881</v>
      </c>
      <c r="AZ32" s="546">
        <f t="shared" si="25"/>
        <v>2.1106958675775878E-2</v>
      </c>
      <c r="BA32" s="87">
        <f>SUMIF('TB Apr 24'!$D$13:$D$103,'MIS Apr24'!$B32,'TB Apr 24'!AE$13:AE$103)</f>
        <v>31730.2913552346</v>
      </c>
      <c r="BB32" s="546">
        <f t="shared" si="26"/>
        <v>9.6386167800120534E-2</v>
      </c>
      <c r="BC32" s="87">
        <f>SUMIF('TB Apr 24'!$D$13:$D$103,'MIS Apr24'!$B32,'TB Apr 24'!AF$13:AF$103)</f>
        <v>81109.061040150613</v>
      </c>
      <c r="BD32" s="546">
        <f t="shared" si="27"/>
        <v>3.892466114931991E-2</v>
      </c>
      <c r="BE32" s="87">
        <f>SUMIF('TB Apr 24'!$D$13:$D$103,'MIS Apr24'!$B32,'TB Apr 24'!AG$13:AG$103)</f>
        <v>39186.112763735611</v>
      </c>
      <c r="BF32" s="546">
        <f t="shared" si="28"/>
        <v>2.4415787294185851E-2</v>
      </c>
      <c r="BG32" s="87">
        <f>SUMIF('TB Apr 24'!$D$13:$D$103,'MIS Apr24'!$B32,'TB Apr 24'!AH$13:AH$103)</f>
        <v>44218.639305913326</v>
      </c>
      <c r="BH32" s="546">
        <f t="shared" si="29"/>
        <v>2.4031585811193468E-2</v>
      </c>
      <c r="BI32" s="87">
        <f>SUMIF('TB Apr 24'!$D$13:$D$103,'MIS Apr24'!$B32,'TB Apr 24'!AI$13:AI$103)</f>
        <v>82675.995410286108</v>
      </c>
      <c r="BJ32" s="546">
        <f t="shared" si="30"/>
        <v>4.3993121308413881E-2</v>
      </c>
      <c r="BK32" s="87">
        <f>SUMIF('TB Apr 24'!$D$13:$D$103,'MIS Apr24'!$B32,'TB Apr 24'!AJ$13:AJ$103)</f>
        <v>118782.37559464634</v>
      </c>
      <c r="BL32" s="546">
        <f t="shared" si="31"/>
        <v>5.1711924501629279E-2</v>
      </c>
      <c r="BM32" s="87">
        <f>SUMIF('TB Apr 24'!$D$13:$D$103,'MIS Apr24'!$B32,'TB Apr 24'!AK$13:AK$103)</f>
        <v>0</v>
      </c>
      <c r="BN32" s="546">
        <f t="shared" si="32"/>
        <v>0</v>
      </c>
      <c r="BO32" s="87">
        <f>SUMIF('TB Apr 24'!$D$13:$D$103,'MIS Apr24'!$B32,'TB Apr 24'!AL$13:AL$103)</f>
        <v>0</v>
      </c>
      <c r="BP32" s="546">
        <f t="shared" si="33"/>
        <v>0</v>
      </c>
      <c r="BQ32" s="87">
        <f>SUMIF('TB Apr 24'!$D$13:$D$103,'MIS Apr24'!$B32,'TB Apr 24'!AM$13:AM$103)</f>
        <v>0</v>
      </c>
      <c r="BR32" s="546">
        <f t="shared" si="34"/>
        <v>0</v>
      </c>
      <c r="BS32" s="87">
        <f>SUMIF('TB Apr 24'!$D$13:$D$103,'MIS Apr24'!$B32,'TB Apr 24'!AN$13:AN$103)</f>
        <v>0</v>
      </c>
      <c r="BT32" s="546">
        <f t="shared" si="35"/>
        <v>0</v>
      </c>
      <c r="BU32" s="87">
        <f>SUMIF('TB Apr 24'!$D$13:$D$103,'MIS Apr24'!$B32,'TB Apr 24'!AO$13:AO$103)</f>
        <v>148917.20707423007</v>
      </c>
      <c r="BV32" s="546">
        <f t="shared" si="36"/>
        <v>3.0050804965222815E-2</v>
      </c>
      <c r="BW32" s="87">
        <f>SUMIF('TB Apr 24'!$D$13:$D$103,'MIS Apr24'!$B32,'TB Apr 24'!AP$13:AP$103)</f>
        <v>70268.453752109854</v>
      </c>
      <c r="BX32" s="546">
        <f t="shared" si="37"/>
        <v>0.29319936807452968</v>
      </c>
      <c r="BY32" s="87">
        <f>SUMIF('TB Apr 24'!$D$13:$D$103,'MIS Apr24'!$B32,'TB Apr 24'!AQ$13:AQ$103)</f>
        <v>0</v>
      </c>
      <c r="BZ32" s="546">
        <f t="shared" si="38"/>
        <v>0</v>
      </c>
      <c r="CA32" s="87">
        <f>SUMIF('TB Apr 24'!$D$13:$D$103,'MIS Apr24'!$B32,'TB Apr 24'!AR$13:AR$103)</f>
        <v>131294.03916216409</v>
      </c>
      <c r="CB32" s="546">
        <f t="shared" si="39"/>
        <v>2.3117398772103264E-2</v>
      </c>
      <c r="CC32" s="87">
        <f>SUMIF('TB Apr 24'!$D$13:$D$103,'MIS Apr24'!$B32,'TB Apr 24'!AS$13:AS$103)</f>
        <v>55752.907684208498</v>
      </c>
      <c r="CD32" s="546">
        <f t="shared" si="40"/>
        <v>2.5857609391708777E-2</v>
      </c>
      <c r="CE32" s="87">
        <f>SUMIF('TB Apr 24'!$D$13:$D$103,'MIS Apr24'!$B32,'TB Apr 24'!AT$13:AT$103)</f>
        <v>66228.978979106396</v>
      </c>
      <c r="CF32" s="546">
        <f t="shared" si="41"/>
        <v>4.1041610374266943E-2</v>
      </c>
      <c r="CG32" s="87">
        <f>SUMIF('TB Apr 24'!$D$13:$D$103,'MIS Apr24'!$B32,'TB Apr 24'!AU$13:AU$103)</f>
        <v>0</v>
      </c>
      <c r="CH32" s="546">
        <f t="shared" si="42"/>
        <v>0</v>
      </c>
      <c r="CI32" s="87">
        <f>SUMIF('TB Apr 24'!$D$13:$D$103,'MIS Apr24'!$B32,'TB Apr 24'!AV$13:AV$103)</f>
        <v>64061.03041603163</v>
      </c>
      <c r="CJ32" s="546">
        <f t="shared" si="43"/>
        <v>3.039133503026515E-2</v>
      </c>
      <c r="CK32" s="87">
        <f>SUMIF('TB Apr 24'!$D$13:$D$103,'MIS Apr24'!$B32,'TB Apr 24'!AW$13:AW$103)</f>
        <v>43397.895998259315</v>
      </c>
      <c r="CL32" s="546">
        <f t="shared" si="44"/>
        <v>2.0833201998553621E-2</v>
      </c>
      <c r="CM32" s="87">
        <f>SUMIF('TB Apr 24'!$D$13:$D$103,'MIS Apr24'!$B32,'TB Apr 24'!AX$13:AX$103)</f>
        <v>62082.098819169005</v>
      </c>
      <c r="CN32" s="546">
        <f t="shared" si="45"/>
        <v>5.4287142212416532E-2</v>
      </c>
      <c r="CO32" s="87">
        <f>SUMIF('TB Apr 24'!$D$13:$D$103,'MIS Apr24'!$B32,'TB Apr 24'!AY$13:AY$103)</f>
        <v>0</v>
      </c>
      <c r="CP32" s="546">
        <f t="shared" si="46"/>
        <v>0</v>
      </c>
      <c r="CQ32" s="87">
        <f>SUMIF('TB Apr 24'!$D$13:$D$103,'MIS Apr24'!$B32,'TB Apr 24'!AZ$13:AZ$103)</f>
        <v>0</v>
      </c>
      <c r="CR32" s="546">
        <f t="shared" si="47"/>
        <v>0</v>
      </c>
      <c r="CS32" s="87">
        <f>SUMIF('TB Apr 24'!$D$13:$D$103,'MIS Apr24'!$B32,'TB Apr 24'!BA$13:BA$103)</f>
        <v>105503.23691861972</v>
      </c>
      <c r="CT32" s="546">
        <f t="shared" si="48"/>
        <v>3.9339025464944444E-2</v>
      </c>
      <c r="CU32" s="87">
        <f>SUMIF('TB Apr 24'!$D$13:$D$103,'MIS Apr24'!$B32,'TB Apr 24'!BB$13:BB$103)</f>
        <v>52293.504412142735</v>
      </c>
      <c r="CV32" s="546">
        <f t="shared" si="49"/>
        <v>4.2000212529918556E-2</v>
      </c>
      <c r="CW32" s="87">
        <f>SUMIF('TB Apr 24'!$D$13:$D$103,'MIS Apr24'!$B32,'TB Apr 24'!BC$13:BC$103)</f>
        <v>113304.02003954031</v>
      </c>
      <c r="CX32" s="546">
        <f t="shared" si="50"/>
        <v>2.8470857751647597E-2</v>
      </c>
      <c r="CY32" s="87">
        <f>SUMIF('TB Apr 24'!$D$13:$D$103,'MIS Apr24'!$B32,'TB Apr 24'!BD$13:BD$103)</f>
        <v>58995.792434649215</v>
      </c>
      <c r="CZ32" s="546">
        <f t="shared" si="51"/>
        <v>9.5735718251784258E-2</v>
      </c>
      <c r="DA32" s="87">
        <f>SUMIF('TB Apr 24'!$D$13:$D$103,'MIS Apr24'!$B32,'TB Apr 24'!O$13:O$103)</f>
        <v>833223.83507738577</v>
      </c>
      <c r="DB32" s="546">
        <f t="shared" si="52"/>
        <v>0</v>
      </c>
      <c r="DC32" s="87">
        <f t="shared" si="58"/>
        <v>3426136.376572744</v>
      </c>
      <c r="DD32" s="546">
        <f t="shared" si="53"/>
        <v>4.1321702281598871E-2</v>
      </c>
      <c r="DE32" s="87"/>
      <c r="DF32" s="546">
        <f t="shared" si="54"/>
        <v>0</v>
      </c>
      <c r="DG32" s="87">
        <f t="shared" si="59"/>
        <v>-3426136.376572744</v>
      </c>
      <c r="DH32" s="546">
        <f t="shared" si="55"/>
        <v>4.1321702281598871E-2</v>
      </c>
      <c r="DI32" s="499"/>
    </row>
    <row r="33" spans="2:113" outlineLevel="1" x14ac:dyDescent="0.35">
      <c r="B33" s="17" t="s">
        <v>955</v>
      </c>
      <c r="C33" s="87">
        <f>SUMIF('TB Apr 24'!$D$13:$D$103,'MIS Apr24'!$B33,'TB Apr 24'!E$13:E$103)</f>
        <v>44285</v>
      </c>
      <c r="D33" s="546">
        <f t="shared" si="56"/>
        <v>3.6686836598171839E-2</v>
      </c>
      <c r="E33" s="87">
        <f>SUMIF('TB Apr 24'!$D$13:$D$103,'MIS Apr24'!$B33,'TB Apr 24'!F$13:F$103)</f>
        <v>58641</v>
      </c>
      <c r="F33" s="546">
        <f t="shared" si="56"/>
        <v>3.5618276408007306E-2</v>
      </c>
      <c r="G33" s="87">
        <f>SUMIF('TB Apr 24'!$D$13:$D$103,'MIS Apr24'!$B33,'TB Apr 24'!G$13:G$103)</f>
        <v>0</v>
      </c>
      <c r="H33" s="546">
        <f t="shared" si="3"/>
        <v>0</v>
      </c>
      <c r="I33" s="87">
        <f>SUMIF('TB Apr 24'!$D$13:$D$103,'MIS Apr24'!$B33,'TB Apr 24'!H$13:H$103)</f>
        <v>75179</v>
      </c>
      <c r="J33" s="546">
        <f t="shared" si="4"/>
        <v>2.4629999970629042E-2</v>
      </c>
      <c r="K33" s="87">
        <f>SUMIF('TB Apr 24'!$D$13:$D$103,'MIS Apr24'!$B33,'TB Apr 24'!I$13:I$103)</f>
        <v>35472</v>
      </c>
      <c r="L33" s="546">
        <f t="shared" si="5"/>
        <v>3.6871064466414999E-2</v>
      </c>
      <c r="M33" s="87">
        <f>SUMIF('TB Apr 24'!$D$13:$D$103,'MIS Apr24'!$B33,'TB Apr 24'!J$13:J$103)</f>
        <v>51034.14</v>
      </c>
      <c r="N33" s="546">
        <f t="shared" si="6"/>
        <v>2.1972433121931357E-2</v>
      </c>
      <c r="O33" s="87">
        <f>SUMIF('TB Apr 24'!$D$13:$D$103,'MIS Apr24'!$B33,'TB Apr 24'!K$13:K$103)</f>
        <v>54717.96</v>
      </c>
      <c r="P33" s="546">
        <f t="shared" si="7"/>
        <v>1.6252728138609389E-2</v>
      </c>
      <c r="Q33" s="87">
        <f>SUMIF('TB Apr 24'!$D$13:$D$103,'MIS Apr24'!$B33,'TB Apr 24'!L$13:L$103)</f>
        <v>0</v>
      </c>
      <c r="R33" s="546">
        <f t="shared" si="8"/>
        <v>0</v>
      </c>
      <c r="S33" s="87">
        <f>SUMIF('TB Apr 24'!$D$13:$D$103,'MIS Apr24'!$B33,'TB Apr 24'!M$13:M$103)</f>
        <v>78410.260000000009</v>
      </c>
      <c r="T33" s="546">
        <f t="shared" si="9"/>
        <v>2.0852962022972925E-2</v>
      </c>
      <c r="U33" s="87">
        <f>SUMIF('TB Apr 24'!$D$13:$D$103,'MIS Apr24'!$B33,'TB Apr 24'!N$13:N$103)</f>
        <v>95093.549999999988</v>
      </c>
      <c r="V33" s="546">
        <f t="shared" si="10"/>
        <v>3.3748986180097404E-2</v>
      </c>
      <c r="W33" s="87">
        <f>SUMIF('TB Apr 24'!$D$13:$D$103,'MIS Apr24'!$B33,'TB Apr 24'!P$13:P$103)</f>
        <v>0</v>
      </c>
      <c r="X33" s="546">
        <f t="shared" si="11"/>
        <v>0</v>
      </c>
      <c r="Y33" s="87">
        <f>SUMIF('TB Apr 24'!$D$13:$D$103,'MIS Apr24'!$B33,'TB Apr 24'!Q$13:Q$103)</f>
        <v>0</v>
      </c>
      <c r="Z33" s="546">
        <f t="shared" si="12"/>
        <v>0</v>
      </c>
      <c r="AA33" s="87">
        <f>SUMIF('TB Apr 24'!$D$13:$D$103,'MIS Apr24'!$B33,'TB Apr 24'!R$13:R$103)</f>
        <v>40782.400000000001</v>
      </c>
      <c r="AB33" s="546">
        <f t="shared" si="13"/>
        <v>1.2962069976974203E-2</v>
      </c>
      <c r="AC33" s="87">
        <f>SUMIF('TB Apr 24'!$D$13:$D$103,'MIS Apr24'!$B33,'TB Apr 24'!S$13:S$103)</f>
        <v>36256.004999999997</v>
      </c>
      <c r="AD33" s="546">
        <f t="shared" si="14"/>
        <v>1.5967735675960614E-2</v>
      </c>
      <c r="AE33" s="87">
        <f>SUMIF('TB Apr 24'!$D$13:$D$103,'MIS Apr24'!$B33,'TB Apr 24'!T$13:T$103)</f>
        <v>0</v>
      </c>
      <c r="AF33" s="546">
        <f t="shared" si="15"/>
        <v>0</v>
      </c>
      <c r="AG33" s="87">
        <f>SUMIF('TB Apr 24'!$D$13:$D$103,'MIS Apr24'!$B33,'TB Apr 24'!U$13:U$103)</f>
        <v>71734.399999999994</v>
      </c>
      <c r="AH33" s="546">
        <f t="shared" si="16"/>
        <v>1.9300270041972826E-2</v>
      </c>
      <c r="AI33" s="87">
        <f>SUMIF('TB Apr 24'!$D$13:$D$103,'MIS Apr24'!$B33,'TB Apr 24'!V$13:V$103)</f>
        <v>0</v>
      </c>
      <c r="AJ33" s="546">
        <f t="shared" si="17"/>
        <v>0</v>
      </c>
      <c r="AK33" s="87">
        <f>SUMIF('TB Apr 24'!$D$13:$D$103,'MIS Apr24'!$B33,'TB Apr 24'!W$13:W$103)</f>
        <v>60816</v>
      </c>
      <c r="AL33" s="546">
        <f t="shared" si="18"/>
        <v>5.6184986740736693E-2</v>
      </c>
      <c r="AM33" s="87">
        <f>SUMIF('TB Apr 24'!$D$13:$D$103,'MIS Apr24'!$B33,'TB Apr 24'!X$13:X$103)</f>
        <v>91375</v>
      </c>
      <c r="AN33" s="546">
        <f t="shared" si="19"/>
        <v>4.4660612310978259E-2</v>
      </c>
      <c r="AO33" s="87">
        <f>SUMIF('TB Apr 24'!$D$13:$D$103,'MIS Apr24'!$B33,'TB Apr 24'!Y$13:Y$103)</f>
        <v>85042</v>
      </c>
      <c r="AP33" s="546">
        <f t="shared" si="20"/>
        <v>4.8261785827940613E-2</v>
      </c>
      <c r="AQ33" s="87">
        <f>SUMIF('TB Apr 24'!$D$13:$D$103,'MIS Apr24'!$B33,'TB Apr 24'!Z$13:Z$103)</f>
        <v>22355</v>
      </c>
      <c r="AR33" s="546">
        <f t="shared" si="21"/>
        <v>1.5141631830358455E-2</v>
      </c>
      <c r="AS33" s="87">
        <f>SUMIF('TB Apr 24'!$D$13:$D$103,'MIS Apr24'!$B33,'TB Apr 24'!AA$13:AA$103)</f>
        <v>33415</v>
      </c>
      <c r="AT33" s="546">
        <f t="shared" si="22"/>
        <v>1.7903397839824933E-2</v>
      </c>
      <c r="AU33" s="87">
        <f>SUMIF('TB Apr 24'!$D$13:$D$103,'MIS Apr24'!$B33,'TB Apr 24'!AB$13:AB$103)</f>
        <v>0</v>
      </c>
      <c r="AV33" s="546">
        <f t="shared" si="23"/>
        <v>0</v>
      </c>
      <c r="AW33" s="87">
        <f>SUMIF('TB Apr 24'!$D$13:$D$103,'MIS Apr24'!$B33,'TB Apr 24'!AC$13:AC$103)</f>
        <v>68047</v>
      </c>
      <c r="AX33" s="546">
        <f t="shared" si="24"/>
        <v>1.8363750802116705E-2</v>
      </c>
      <c r="AY33" s="87">
        <f>SUMIF('TB Apr 24'!$D$13:$D$103,'MIS Apr24'!$B33,'TB Apr 24'!AD$13:AD$103)</f>
        <v>18838.5</v>
      </c>
      <c r="AZ33" s="546">
        <f t="shared" si="25"/>
        <v>4.5174733105154121E-3</v>
      </c>
      <c r="BA33" s="87">
        <f>SUMIF('TB Apr 24'!$D$13:$D$103,'MIS Apr24'!$B33,'TB Apr 24'!AE$13:AE$103)</f>
        <v>2835.2999999999997</v>
      </c>
      <c r="BB33" s="546">
        <f t="shared" si="26"/>
        <v>8.6127069715228963E-3</v>
      </c>
      <c r="BC33" s="87">
        <f>SUMIF('TB Apr 24'!$D$13:$D$103,'MIS Apr24'!$B33,'TB Apr 24'!AF$13:AF$103)</f>
        <v>64119.043999999994</v>
      </c>
      <c r="BD33" s="546">
        <f t="shared" si="27"/>
        <v>3.0771063416488779E-2</v>
      </c>
      <c r="BE33" s="87">
        <f>SUMIF('TB Apr 24'!$D$13:$D$103,'MIS Apr24'!$B33,'TB Apr 24'!AG$13:AG$103)</f>
        <v>28148</v>
      </c>
      <c r="BF33" s="546">
        <f t="shared" si="28"/>
        <v>1.7538243328712028E-2</v>
      </c>
      <c r="BG33" s="87">
        <f>SUMIF('TB Apr 24'!$D$13:$D$103,'MIS Apr24'!$B33,'TB Apr 24'!AH$13:AH$103)</f>
        <v>24404.126000000004</v>
      </c>
      <c r="BH33" s="546">
        <f t="shared" si="29"/>
        <v>1.3262955561768033E-2</v>
      </c>
      <c r="BI33" s="87">
        <f>SUMIF('TB Apr 24'!$D$13:$D$103,'MIS Apr24'!$B33,'TB Apr 24'!AI$13:AI$103)</f>
        <v>33159.629999999997</v>
      </c>
      <c r="BJ33" s="546">
        <f t="shared" si="30"/>
        <v>1.764473010446058E-2</v>
      </c>
      <c r="BK33" s="87">
        <f>SUMIF('TB Apr 24'!$D$13:$D$103,'MIS Apr24'!$B33,'TB Apr 24'!AJ$13:AJ$103)</f>
        <v>37480</v>
      </c>
      <c r="BL33" s="546">
        <f t="shared" si="31"/>
        <v>1.6316923454496233E-2</v>
      </c>
      <c r="BM33" s="87">
        <f>SUMIF('TB Apr 24'!$D$13:$D$103,'MIS Apr24'!$B33,'TB Apr 24'!AK$13:AK$103)</f>
        <v>0</v>
      </c>
      <c r="BN33" s="546">
        <f t="shared" si="32"/>
        <v>0</v>
      </c>
      <c r="BO33" s="87">
        <f>SUMIF('TB Apr 24'!$D$13:$D$103,'MIS Apr24'!$B33,'TB Apr 24'!AL$13:AL$103)</f>
        <v>0</v>
      </c>
      <c r="BP33" s="546">
        <f t="shared" si="33"/>
        <v>0</v>
      </c>
      <c r="BQ33" s="87">
        <f>SUMIF('TB Apr 24'!$D$13:$D$103,'MIS Apr24'!$B33,'TB Apr 24'!AM$13:AM$103)</f>
        <v>0</v>
      </c>
      <c r="BR33" s="546">
        <f t="shared" si="34"/>
        <v>0</v>
      </c>
      <c r="BS33" s="87">
        <f>SUMIF('TB Apr 24'!$D$13:$D$103,'MIS Apr24'!$B33,'TB Apr 24'!AN$13:AN$103)</f>
        <v>0</v>
      </c>
      <c r="BT33" s="546">
        <f t="shared" si="35"/>
        <v>0</v>
      </c>
      <c r="BU33" s="87">
        <f>SUMIF('TB Apr 24'!$D$13:$D$103,'MIS Apr24'!$B33,'TB Apr 24'!AO$13:AO$103)</f>
        <v>53600</v>
      </c>
      <c r="BV33" s="546">
        <f t="shared" si="36"/>
        <v>1.081623257501098E-2</v>
      </c>
      <c r="BW33" s="87">
        <f>SUMIF('TB Apr 24'!$D$13:$D$103,'MIS Apr24'!$B33,'TB Apr 24'!AP$13:AP$103)</f>
        <v>16834</v>
      </c>
      <c r="BX33" s="546">
        <f t="shared" si="37"/>
        <v>7.0240881912367881E-2</v>
      </c>
      <c r="BY33" s="87">
        <f>SUMIF('TB Apr 24'!$D$13:$D$103,'MIS Apr24'!$B33,'TB Apr 24'!AQ$13:AQ$103)</f>
        <v>0</v>
      </c>
      <c r="BZ33" s="546">
        <f t="shared" si="38"/>
        <v>0</v>
      </c>
      <c r="CA33" s="87">
        <f>SUMIF('TB Apr 24'!$D$13:$D$103,'MIS Apr24'!$B33,'TB Apr 24'!AR$13:AR$103)</f>
        <v>56198.8</v>
      </c>
      <c r="CB33" s="546">
        <f t="shared" si="39"/>
        <v>9.8951184562845549E-3</v>
      </c>
      <c r="CC33" s="87">
        <f>SUMIF('TB Apr 24'!$D$13:$D$103,'MIS Apr24'!$B33,'TB Apr 24'!AS$13:AS$103)</f>
        <v>37975.975400000003</v>
      </c>
      <c r="CD33" s="546">
        <f t="shared" si="40"/>
        <v>1.7612856063478011E-2</v>
      </c>
      <c r="CE33" s="87">
        <f>SUMIF('TB Apr 24'!$D$13:$D$103,'MIS Apr24'!$B33,'TB Apr 24'!AT$13:AT$103)</f>
        <v>52453.760133333315</v>
      </c>
      <c r="CF33" s="546">
        <f t="shared" si="41"/>
        <v>3.2505208735539665E-2</v>
      </c>
      <c r="CG33" s="87">
        <f>SUMIF('TB Apr 24'!$D$13:$D$103,'MIS Apr24'!$B33,'TB Apr 24'!AU$13:AU$103)</f>
        <v>0</v>
      </c>
      <c r="CH33" s="546">
        <f t="shared" si="42"/>
        <v>0</v>
      </c>
      <c r="CI33" s="87">
        <f>SUMIF('TB Apr 24'!$D$13:$D$103,'MIS Apr24'!$B33,'TB Apr 24'!AV$13:AV$103)</f>
        <v>43521.557879802647</v>
      </c>
      <c r="CJ33" s="546">
        <f t="shared" si="43"/>
        <v>2.0647158467078777E-2</v>
      </c>
      <c r="CK33" s="87">
        <f>SUMIF('TB Apr 24'!$D$13:$D$103,'MIS Apr24'!$B33,'TB Apr 24'!AW$13:AW$103)</f>
        <v>57287.592120197354</v>
      </c>
      <c r="CL33" s="546">
        <f t="shared" si="44"/>
        <v>2.7500964072052957E-2</v>
      </c>
      <c r="CM33" s="87">
        <f>SUMIF('TB Apr 24'!$D$13:$D$103,'MIS Apr24'!$B33,'TB Apr 24'!AX$13:AX$103)</f>
        <v>47525.974999999999</v>
      </c>
      <c r="CN33" s="546">
        <f t="shared" si="45"/>
        <v>4.1558668483870818E-2</v>
      </c>
      <c r="CO33" s="87">
        <f>SUMIF('TB Apr 24'!$D$13:$D$103,'MIS Apr24'!$B33,'TB Apr 24'!AY$13:AY$103)</f>
        <v>0</v>
      </c>
      <c r="CP33" s="546">
        <f t="shared" si="46"/>
        <v>0</v>
      </c>
      <c r="CQ33" s="87">
        <f>SUMIF('TB Apr 24'!$D$13:$D$103,'MIS Apr24'!$B33,'TB Apr 24'!AZ$13:AZ$103)</f>
        <v>0</v>
      </c>
      <c r="CR33" s="546">
        <f t="shared" si="47"/>
        <v>0</v>
      </c>
      <c r="CS33" s="87">
        <f>SUMIF('TB Apr 24'!$D$13:$D$103,'MIS Apr24'!$B33,'TB Apr 24'!BA$13:BA$103)</f>
        <v>81042.100000000006</v>
      </c>
      <c r="CT33" s="546">
        <f t="shared" si="48"/>
        <v>3.0218193571555911E-2</v>
      </c>
      <c r="CU33" s="87">
        <f>SUMIF('TB Apr 24'!$D$13:$D$103,'MIS Apr24'!$B33,'TB Apr 24'!BB$13:BB$103)</f>
        <v>24855.88</v>
      </c>
      <c r="CV33" s="546">
        <f t="shared" si="49"/>
        <v>1.9963325356633446E-2</v>
      </c>
      <c r="CW33" s="87">
        <f>SUMIF('TB Apr 24'!$D$13:$D$103,'MIS Apr24'!$B33,'TB Apr 24'!BC$13:BC$103)</f>
        <v>77482.100000000006</v>
      </c>
      <c r="CX33" s="546">
        <f t="shared" si="50"/>
        <v>1.9469581455530894E-2</v>
      </c>
      <c r="CY33" s="87">
        <f>SUMIF('TB Apr 24'!$D$13:$D$103,'MIS Apr24'!$B33,'TB Apr 24'!BD$13:BD$103)</f>
        <v>42129.226000000002</v>
      </c>
      <c r="CZ33" s="546">
        <f t="shared" si="51"/>
        <v>6.8365412922785598E-2</v>
      </c>
      <c r="DA33" s="87">
        <f>SUMIF('TB Apr 24'!$D$13:$D$103,'MIS Apr24'!$B33,'TB Apr 24'!O$13:O$103)</f>
        <v>3335.4384666664992</v>
      </c>
      <c r="DB33" s="546">
        <f t="shared" si="52"/>
        <v>0</v>
      </c>
      <c r="DC33" s="87">
        <f t="shared" si="58"/>
        <v>1805882.72</v>
      </c>
      <c r="DD33" s="546">
        <f t="shared" si="53"/>
        <v>2.1780262053074054E-2</v>
      </c>
      <c r="DE33" s="87"/>
      <c r="DF33" s="546">
        <f t="shared" si="54"/>
        <v>0</v>
      </c>
      <c r="DG33" s="87">
        <f t="shared" si="59"/>
        <v>-1805882.72</v>
      </c>
      <c r="DH33" s="546">
        <f t="shared" si="55"/>
        <v>2.1780262053074054E-2</v>
      </c>
      <c r="DI33" s="499"/>
    </row>
    <row r="34" spans="2:113" x14ac:dyDescent="0.35">
      <c r="B34" s="18" t="s">
        <v>261</v>
      </c>
      <c r="C34" s="532">
        <f>SUM(C35:C38)</f>
        <v>95777.22</v>
      </c>
      <c r="D34" s="531">
        <f t="shared" si="56"/>
        <v>7.9344320197971219E-2</v>
      </c>
      <c r="E34" s="532">
        <f>SUM(E35:E38)</f>
        <v>94139</v>
      </c>
      <c r="F34" s="531">
        <f t="shared" si="56"/>
        <v>5.717959998590405E-2</v>
      </c>
      <c r="G34" s="532">
        <f>SUM(G35:G38)</f>
        <v>0</v>
      </c>
      <c r="H34" s="531">
        <f t="shared" si="3"/>
        <v>0</v>
      </c>
      <c r="I34" s="532">
        <f>SUM(I35:I38)</f>
        <v>86427.329999999987</v>
      </c>
      <c r="J34" s="531">
        <f t="shared" si="4"/>
        <v>2.831515629845497E-2</v>
      </c>
      <c r="K34" s="532">
        <f>SUM(K35:K38)</f>
        <v>116285.49999999997</v>
      </c>
      <c r="L34" s="531">
        <f t="shared" si="5"/>
        <v>0.12087196005326174</v>
      </c>
      <c r="M34" s="532">
        <f>SUM(M35:M38)</f>
        <v>54712.98000000001</v>
      </c>
      <c r="N34" s="531">
        <f t="shared" si="6"/>
        <v>2.3556334915246308E-2</v>
      </c>
      <c r="O34" s="532">
        <f>SUM(O35:O38)</f>
        <v>53647.38</v>
      </c>
      <c r="P34" s="531">
        <f t="shared" si="7"/>
        <v>1.5934736647504229E-2</v>
      </c>
      <c r="Q34" s="532">
        <f>SUM(Q35:Q38)</f>
        <v>0</v>
      </c>
      <c r="R34" s="531">
        <f t="shared" si="8"/>
        <v>0</v>
      </c>
      <c r="S34" s="532">
        <f>SUM(S35:S38)</f>
        <v>178507.19</v>
      </c>
      <c r="T34" s="531">
        <f t="shared" si="9"/>
        <v>4.7473425721297334E-2</v>
      </c>
      <c r="U34" s="532">
        <f>SUM(U35:U38)</f>
        <v>54029.26</v>
      </c>
      <c r="V34" s="531">
        <f t="shared" si="10"/>
        <v>1.9175146464306882E-2</v>
      </c>
      <c r="W34" s="532">
        <f>SUM(W35:W38)</f>
        <v>0</v>
      </c>
      <c r="X34" s="531">
        <f t="shared" si="11"/>
        <v>0</v>
      </c>
      <c r="Y34" s="532">
        <f>SUM(Y35:Y38)</f>
        <v>0</v>
      </c>
      <c r="Z34" s="531">
        <f t="shared" si="12"/>
        <v>0</v>
      </c>
      <c r="AA34" s="532">
        <f>SUM(AA35:AA38)</f>
        <v>43610.35</v>
      </c>
      <c r="AB34" s="531">
        <f t="shared" si="13"/>
        <v>1.3860891179046276E-2</v>
      </c>
      <c r="AC34" s="532">
        <f>SUM(AC35:AC38)</f>
        <v>80962.17</v>
      </c>
      <c r="AD34" s="531">
        <f t="shared" si="14"/>
        <v>3.565705957708766E-2</v>
      </c>
      <c r="AE34" s="532">
        <f>SUM(AE35:AE38)</f>
        <v>0</v>
      </c>
      <c r="AF34" s="531">
        <f t="shared" si="15"/>
        <v>0</v>
      </c>
      <c r="AG34" s="532">
        <f>SUM(AG35:AG38)</f>
        <v>79701</v>
      </c>
      <c r="AH34" s="531">
        <f t="shared" si="16"/>
        <v>2.1443698178492836E-2</v>
      </c>
      <c r="AI34" s="532">
        <f>SUM(AI35:AI38)</f>
        <v>0</v>
      </c>
      <c r="AJ34" s="531">
        <f t="shared" si="17"/>
        <v>0</v>
      </c>
      <c r="AK34" s="532">
        <f>SUM(AK35:AK38)</f>
        <v>121130.3</v>
      </c>
      <c r="AL34" s="531">
        <f t="shared" si="18"/>
        <v>0.11190647690412817</v>
      </c>
      <c r="AM34" s="532">
        <f>SUM(AM35:AM38)</f>
        <v>43450.19</v>
      </c>
      <c r="AN34" s="531">
        <f t="shared" si="19"/>
        <v>2.1236794423292418E-2</v>
      </c>
      <c r="AO34" s="532">
        <f>SUM(AO35:AO38)</f>
        <v>17625.36</v>
      </c>
      <c r="AP34" s="531">
        <f t="shared" si="20"/>
        <v>1.0002485236240345E-2</v>
      </c>
      <c r="AQ34" s="532">
        <f>SUM(AQ35:AQ38)</f>
        <v>61128.09</v>
      </c>
      <c r="AR34" s="531">
        <f t="shared" si="21"/>
        <v>4.1403669571595456E-2</v>
      </c>
      <c r="AS34" s="532">
        <f>SUM(AS35:AS38)</f>
        <v>63890.659999999996</v>
      </c>
      <c r="AT34" s="531">
        <f t="shared" si="22"/>
        <v>3.4231928901062074E-2</v>
      </c>
      <c r="AU34" s="532">
        <f>SUM(AU35:AU38)</f>
        <v>1016</v>
      </c>
      <c r="AV34" s="531">
        <f t="shared" si="23"/>
        <v>0</v>
      </c>
      <c r="AW34" s="532">
        <f>SUM(AW35:AW38)</f>
        <v>83936.53</v>
      </c>
      <c r="AX34" s="531">
        <f t="shared" si="24"/>
        <v>2.2651836526436032E-2</v>
      </c>
      <c r="AY34" s="532">
        <f>SUM(AY35:AY38)</f>
        <v>116500.48000000001</v>
      </c>
      <c r="AZ34" s="531">
        <f t="shared" si="25"/>
        <v>2.7936821353198745E-2</v>
      </c>
      <c r="BA34" s="532">
        <f>SUM(BA35:BA38)</f>
        <v>26062.510000000002</v>
      </c>
      <c r="BB34" s="531">
        <f t="shared" si="26"/>
        <v>7.9169315970932616E-2</v>
      </c>
      <c r="BC34" s="532">
        <f>SUM(BC35:BC38)</f>
        <v>51966.970000000008</v>
      </c>
      <c r="BD34" s="531">
        <f t="shared" si="27"/>
        <v>2.4939219764923044E-2</v>
      </c>
      <c r="BE34" s="532">
        <f>SUM(BE35:BE38)</f>
        <v>52717.14</v>
      </c>
      <c r="BF34" s="531">
        <f t="shared" si="28"/>
        <v>3.2846597588239941E-2</v>
      </c>
      <c r="BG34" s="532">
        <f>SUM(BG35:BG38)</f>
        <v>114433.8</v>
      </c>
      <c r="BH34" s="531">
        <f t="shared" si="29"/>
        <v>6.2191549255410768E-2</v>
      </c>
      <c r="BI34" s="532">
        <f>SUM(BI35:BI38)</f>
        <v>57046.899999999994</v>
      </c>
      <c r="BJ34" s="531">
        <f t="shared" si="30"/>
        <v>3.0355500160772372E-2</v>
      </c>
      <c r="BK34" s="532">
        <f>SUM(BK35:BK38)</f>
        <v>139904.97200000001</v>
      </c>
      <c r="BL34" s="531">
        <f t="shared" si="31"/>
        <v>6.0907649920689401E-2</v>
      </c>
      <c r="BM34" s="532">
        <f>SUM(BM35:BM38)</f>
        <v>0</v>
      </c>
      <c r="BN34" s="531">
        <f t="shared" si="32"/>
        <v>0</v>
      </c>
      <c r="BO34" s="532">
        <f>SUM(BO35:BO38)</f>
        <v>0</v>
      </c>
      <c r="BP34" s="531">
        <f t="shared" si="33"/>
        <v>0</v>
      </c>
      <c r="BQ34" s="532">
        <f>SUM(BQ35:BQ38)</f>
        <v>0</v>
      </c>
      <c r="BR34" s="531">
        <f t="shared" si="34"/>
        <v>0</v>
      </c>
      <c r="BS34" s="532">
        <f>SUM(BS35:BS38)</f>
        <v>0</v>
      </c>
      <c r="BT34" s="531">
        <f t="shared" si="35"/>
        <v>0</v>
      </c>
      <c r="BU34" s="532">
        <f>SUM(BU35:BU38)</f>
        <v>62008.7</v>
      </c>
      <c r="BV34" s="531">
        <f t="shared" si="36"/>
        <v>1.2513069419292601E-2</v>
      </c>
      <c r="BW34" s="532">
        <f>SUM(BW35:BW38)</f>
        <v>255426.2</v>
      </c>
      <c r="BX34" s="531">
        <f t="shared" si="37"/>
        <v>1.0657812493480374</v>
      </c>
      <c r="BY34" s="532">
        <f>SUM(BY35:BY38)</f>
        <v>0</v>
      </c>
      <c r="BZ34" s="531">
        <f t="shared" si="38"/>
        <v>0</v>
      </c>
      <c r="CA34" s="532">
        <f>SUM(CA35:CA38)</f>
        <v>79078.999999999985</v>
      </c>
      <c r="CB34" s="531">
        <f t="shared" si="39"/>
        <v>1.3923714961965844E-2</v>
      </c>
      <c r="CC34" s="532">
        <f>SUM(CC35:CC38)</f>
        <v>230497.35</v>
      </c>
      <c r="CD34" s="531">
        <f t="shared" si="40"/>
        <v>0.1069022350526147</v>
      </c>
      <c r="CE34" s="532">
        <f>SUM(CE35:CE38)</f>
        <v>88875.310000000012</v>
      </c>
      <c r="CF34" s="531">
        <f t="shared" si="41"/>
        <v>5.5075374875746069E-2</v>
      </c>
      <c r="CG34" s="532">
        <f>SUM(CG35:CG38)</f>
        <v>2031</v>
      </c>
      <c r="CH34" s="531">
        <f t="shared" si="42"/>
        <v>0</v>
      </c>
      <c r="CI34" s="532">
        <f>SUM(CI35:CI38)</f>
        <v>111946.24000000001</v>
      </c>
      <c r="CJ34" s="531">
        <f t="shared" si="43"/>
        <v>5.3108663147058144E-2</v>
      </c>
      <c r="CK34" s="532">
        <f>SUM(CK35:CK38)</f>
        <v>64141.72</v>
      </c>
      <c r="CL34" s="531">
        <f t="shared" si="44"/>
        <v>3.0791294797984325E-2</v>
      </c>
      <c r="CM34" s="532">
        <f>SUM(CM35:CM38)</f>
        <v>6346.5</v>
      </c>
      <c r="CN34" s="531">
        <f t="shared" si="45"/>
        <v>5.5496407918593183E-3</v>
      </c>
      <c r="CO34" s="532">
        <f>SUM(CO35:CO38)</f>
        <v>2100</v>
      </c>
      <c r="CP34" s="531">
        <f t="shared" si="46"/>
        <v>0</v>
      </c>
      <c r="CQ34" s="532">
        <f>SUM(CQ35:CQ38)</f>
        <v>0</v>
      </c>
      <c r="CR34" s="531">
        <f t="shared" si="47"/>
        <v>0</v>
      </c>
      <c r="CS34" s="532">
        <f>SUM(CS35:CS38)</f>
        <v>29872</v>
      </c>
      <c r="CT34" s="531">
        <f t="shared" si="48"/>
        <v>1.1138382129405804E-2</v>
      </c>
      <c r="CU34" s="532">
        <f>SUM(CU35:CU38)</f>
        <v>20037</v>
      </c>
      <c r="CV34" s="531">
        <f t="shared" si="49"/>
        <v>1.6092978811084714E-2</v>
      </c>
      <c r="CW34" s="532">
        <f>SUM(CW35:CW38)</f>
        <v>18544</v>
      </c>
      <c r="CX34" s="531">
        <f t="shared" si="50"/>
        <v>4.6597074487057634E-3</v>
      </c>
      <c r="CY34" s="532">
        <f>SUM(CY35:CY38)</f>
        <v>4142.3999999999996</v>
      </c>
      <c r="CZ34" s="531">
        <f t="shared" si="51"/>
        <v>6.7221003892012406E-3</v>
      </c>
      <c r="DA34" s="532">
        <f>SUM(DA35:DA38)</f>
        <v>596309.098</v>
      </c>
      <c r="DB34" s="531">
        <f t="shared" si="52"/>
        <v>0</v>
      </c>
      <c r="DC34" s="532">
        <f>SUM(DC35:DC38)</f>
        <v>3454818.8</v>
      </c>
      <c r="DD34" s="531">
        <f t="shared" si="53"/>
        <v>4.1667633217004722E-2</v>
      </c>
      <c r="DE34" s="532">
        <f>SUM(DE35:DE38)</f>
        <v>0</v>
      </c>
      <c r="DF34" s="531">
        <f t="shared" si="54"/>
        <v>0</v>
      </c>
      <c r="DG34" s="532">
        <f>SUM(DG35:DG38)</f>
        <v>-3454818.8</v>
      </c>
      <c r="DH34" s="531">
        <f t="shared" si="55"/>
        <v>4.1667633217004722E-2</v>
      </c>
      <c r="DI34" s="499"/>
    </row>
    <row r="35" spans="2:113" outlineLevel="1" x14ac:dyDescent="0.35">
      <c r="B35" s="17" t="s">
        <v>972</v>
      </c>
      <c r="C35" s="87">
        <f>SUMIF('TB Apr 24'!$D$13:$D$103,'MIS Apr24'!$B35,'TB Apr 24'!E$13:E$103)</f>
        <v>0</v>
      </c>
      <c r="D35" s="546">
        <f t="shared" si="56"/>
        <v>0</v>
      </c>
      <c r="E35" s="87">
        <f>SUMIF('TB Apr 24'!$D$13:$D$103,'MIS Apr24'!$B35,'TB Apr 24'!F$13:F$103)</f>
        <v>0</v>
      </c>
      <c r="F35" s="546">
        <f t="shared" si="56"/>
        <v>0</v>
      </c>
      <c r="G35" s="87">
        <f>SUMIF('TB Apr 24'!$D$13:$D$103,'MIS Apr24'!$B35,'TB Apr 24'!G$13:G$103)</f>
        <v>0</v>
      </c>
      <c r="H35" s="546">
        <f t="shared" si="3"/>
        <v>0</v>
      </c>
      <c r="I35" s="87">
        <f>SUMIF('TB Apr 24'!$D$13:$D$103,'MIS Apr24'!$B35,'TB Apr 24'!H$13:H$103)</f>
        <v>0</v>
      </c>
      <c r="J35" s="546">
        <f t="shared" si="4"/>
        <v>0</v>
      </c>
      <c r="K35" s="87">
        <f>SUMIF('TB Apr 24'!$D$13:$D$103,'MIS Apr24'!$B35,'TB Apr 24'!I$13:I$103)</f>
        <v>0</v>
      </c>
      <c r="L35" s="546">
        <f t="shared" si="5"/>
        <v>0</v>
      </c>
      <c r="M35" s="87">
        <f>SUMIF('TB Apr 24'!$D$13:$D$103,'MIS Apr24'!$B35,'TB Apr 24'!J$13:J$103)</f>
        <v>0</v>
      </c>
      <c r="N35" s="546">
        <f t="shared" si="6"/>
        <v>0</v>
      </c>
      <c r="O35" s="87">
        <f>SUMIF('TB Apr 24'!$D$13:$D$103,'MIS Apr24'!$B35,'TB Apr 24'!K$13:K$103)</f>
        <v>5000</v>
      </c>
      <c r="P35" s="546">
        <f t="shared" si="7"/>
        <v>1.4851365199478733E-3</v>
      </c>
      <c r="Q35" s="87">
        <f>SUMIF('TB Apr 24'!$D$13:$D$103,'MIS Apr24'!$B35,'TB Apr 24'!L$13:L$103)</f>
        <v>0</v>
      </c>
      <c r="R35" s="546">
        <f t="shared" si="8"/>
        <v>0</v>
      </c>
      <c r="S35" s="87">
        <f>SUMIF('TB Apr 24'!$D$13:$D$103,'MIS Apr24'!$B35,'TB Apr 24'!M$13:M$103)</f>
        <v>148500</v>
      </c>
      <c r="T35" s="546">
        <f t="shared" si="9"/>
        <v>3.949310792250247E-2</v>
      </c>
      <c r="U35" s="87">
        <f>SUMIF('TB Apr 24'!$D$13:$D$103,'MIS Apr24'!$B35,'TB Apr 24'!N$13:N$103)</f>
        <v>0</v>
      </c>
      <c r="V35" s="546">
        <f t="shared" si="10"/>
        <v>0</v>
      </c>
      <c r="W35" s="87">
        <f>SUMIF('TB Apr 24'!$D$13:$D$103,'MIS Apr24'!$B35,'TB Apr 24'!P$13:P$103)</f>
        <v>0</v>
      </c>
      <c r="X35" s="546">
        <f t="shared" si="11"/>
        <v>0</v>
      </c>
      <c r="Y35" s="87">
        <f>SUMIF('TB Apr 24'!$D$13:$D$103,'MIS Apr24'!$B35,'TB Apr 24'!Q$13:Q$103)</f>
        <v>0</v>
      </c>
      <c r="Z35" s="546">
        <f t="shared" si="12"/>
        <v>0</v>
      </c>
      <c r="AA35" s="87">
        <f>SUMIF('TB Apr 24'!$D$13:$D$103,'MIS Apr24'!$B35,'TB Apr 24'!R$13:R$103)</f>
        <v>0</v>
      </c>
      <c r="AB35" s="546">
        <f t="shared" si="13"/>
        <v>0</v>
      </c>
      <c r="AC35" s="87">
        <f>SUMIF('TB Apr 24'!$D$13:$D$103,'MIS Apr24'!$B35,'TB Apr 24'!S$13:S$103)</f>
        <v>27000</v>
      </c>
      <c r="AD35" s="546">
        <f t="shared" si="14"/>
        <v>1.1891240175274043E-2</v>
      </c>
      <c r="AE35" s="87">
        <f>SUMIF('TB Apr 24'!$D$13:$D$103,'MIS Apr24'!$B35,'TB Apr 24'!T$13:T$103)</f>
        <v>0</v>
      </c>
      <c r="AF35" s="546">
        <f t="shared" si="15"/>
        <v>0</v>
      </c>
      <c r="AG35" s="87">
        <f>SUMIF('TB Apr 24'!$D$13:$D$103,'MIS Apr24'!$B35,'TB Apr 24'!U$13:U$103)</f>
        <v>35000</v>
      </c>
      <c r="AH35" s="546">
        <f t="shared" si="16"/>
        <v>9.4168132927723511E-3</v>
      </c>
      <c r="AI35" s="87">
        <f>SUMIF('TB Apr 24'!$D$13:$D$103,'MIS Apr24'!$B35,'TB Apr 24'!V$13:V$103)</f>
        <v>0</v>
      </c>
      <c r="AJ35" s="546">
        <f t="shared" si="17"/>
        <v>0</v>
      </c>
      <c r="AK35" s="87">
        <f>SUMIF('TB Apr 24'!$D$13:$D$103,'MIS Apr24'!$B35,'TB Apr 24'!W$13:W$103)</f>
        <v>99000</v>
      </c>
      <c r="AL35" s="546">
        <f t="shared" si="18"/>
        <v>9.1461353711735943E-2</v>
      </c>
      <c r="AM35" s="87">
        <f>SUMIF('TB Apr 24'!$D$13:$D$103,'MIS Apr24'!$B35,'TB Apr 24'!X$13:X$103)</f>
        <v>0</v>
      </c>
      <c r="AN35" s="546">
        <f t="shared" si="19"/>
        <v>0</v>
      </c>
      <c r="AO35" s="87">
        <f>SUMIF('TB Apr 24'!$D$13:$D$103,'MIS Apr24'!$B35,'TB Apr 24'!Y$13:Y$103)</f>
        <v>0</v>
      </c>
      <c r="AP35" s="546">
        <f t="shared" si="20"/>
        <v>0</v>
      </c>
      <c r="AQ35" s="87">
        <f>SUMIF('TB Apr 24'!$D$13:$D$103,'MIS Apr24'!$B35,'TB Apr 24'!Z$13:Z$103)</f>
        <v>0</v>
      </c>
      <c r="AR35" s="546">
        <f t="shared" si="21"/>
        <v>0</v>
      </c>
      <c r="AS35" s="87">
        <f>SUMIF('TB Apr 24'!$D$13:$D$103,'MIS Apr24'!$B35,'TB Apr 24'!AA$13:AA$103)</f>
        <v>0</v>
      </c>
      <c r="AT35" s="546">
        <f t="shared" si="22"/>
        <v>0</v>
      </c>
      <c r="AU35" s="87">
        <f>SUMIF('TB Apr 24'!$D$13:$D$103,'MIS Apr24'!$B35,'TB Apr 24'!AB$13:AB$103)</f>
        <v>0</v>
      </c>
      <c r="AV35" s="546">
        <f t="shared" si="23"/>
        <v>0</v>
      </c>
      <c r="AW35" s="87">
        <f>SUMIF('TB Apr 24'!$D$13:$D$103,'MIS Apr24'!$B35,'TB Apr 24'!AC$13:AC$103)</f>
        <v>35000</v>
      </c>
      <c r="AX35" s="546">
        <f t="shared" si="24"/>
        <v>9.4454021202122745E-3</v>
      </c>
      <c r="AY35" s="87">
        <f>SUMIF('TB Apr 24'!$D$13:$D$103,'MIS Apr24'!$B35,'TB Apr 24'!AD$13:AD$103)</f>
        <v>0</v>
      </c>
      <c r="AZ35" s="546">
        <f t="shared" si="25"/>
        <v>0</v>
      </c>
      <c r="BA35" s="87">
        <f>SUMIF('TB Apr 24'!$D$13:$D$103,'MIS Apr24'!$B35,'TB Apr 24'!AE$13:AE$103)</f>
        <v>0</v>
      </c>
      <c r="BB35" s="546">
        <f t="shared" si="26"/>
        <v>0</v>
      </c>
      <c r="BC35" s="87">
        <f>SUMIF('TB Apr 24'!$D$13:$D$103,'MIS Apr24'!$B35,'TB Apr 24'!AF$13:AF$103)</f>
        <v>0</v>
      </c>
      <c r="BD35" s="546">
        <f t="shared" si="27"/>
        <v>0</v>
      </c>
      <c r="BE35" s="87">
        <f>SUMIF('TB Apr 24'!$D$13:$D$103,'MIS Apr24'!$B35,'TB Apr 24'!AG$13:AG$103)</f>
        <v>0</v>
      </c>
      <c r="BF35" s="546">
        <f t="shared" si="28"/>
        <v>0</v>
      </c>
      <c r="BG35" s="87">
        <f>SUMIF('TB Apr 24'!$D$13:$D$103,'MIS Apr24'!$B35,'TB Apr 24'!AH$13:AH$103)</f>
        <v>0</v>
      </c>
      <c r="BH35" s="546">
        <f t="shared" si="29"/>
        <v>0</v>
      </c>
      <c r="BI35" s="87">
        <f>SUMIF('TB Apr 24'!$D$13:$D$103,'MIS Apr24'!$B35,'TB Apr 24'!AI$13:AI$103)</f>
        <v>4290.2</v>
      </c>
      <c r="BJ35" s="546">
        <f t="shared" si="30"/>
        <v>2.2828789432860616E-3</v>
      </c>
      <c r="BK35" s="87">
        <f>SUMIF('TB Apr 24'!$D$13:$D$103,'MIS Apr24'!$B35,'TB Apr 24'!AJ$13:AJ$103)</f>
        <v>4290.2</v>
      </c>
      <c r="BL35" s="546">
        <f t="shared" si="31"/>
        <v>1.8677391943564495E-3</v>
      </c>
      <c r="BM35" s="87">
        <f>SUMIF('TB Apr 24'!$D$13:$D$103,'MIS Apr24'!$B35,'TB Apr 24'!AK$13:AK$103)</f>
        <v>0</v>
      </c>
      <c r="BN35" s="546">
        <f t="shared" si="32"/>
        <v>0</v>
      </c>
      <c r="BO35" s="87">
        <f>SUMIF('TB Apr 24'!$D$13:$D$103,'MIS Apr24'!$B35,'TB Apr 24'!AL$13:AL$103)</f>
        <v>0</v>
      </c>
      <c r="BP35" s="546">
        <f t="shared" si="33"/>
        <v>0</v>
      </c>
      <c r="BQ35" s="87">
        <f>SUMIF('TB Apr 24'!$D$13:$D$103,'MIS Apr24'!$B35,'TB Apr 24'!AM$13:AM$103)</f>
        <v>0</v>
      </c>
      <c r="BR35" s="546">
        <f t="shared" si="34"/>
        <v>0</v>
      </c>
      <c r="BS35" s="87">
        <f>SUMIF('TB Apr 24'!$D$13:$D$103,'MIS Apr24'!$B35,'TB Apr 24'!AN$13:AN$103)</f>
        <v>0</v>
      </c>
      <c r="BT35" s="546">
        <f t="shared" si="35"/>
        <v>0</v>
      </c>
      <c r="BU35" s="87">
        <f>SUMIF('TB Apr 24'!$D$13:$D$103,'MIS Apr24'!$B35,'TB Apr 24'!AO$13:AO$103)</f>
        <v>7290.2</v>
      </c>
      <c r="BV35" s="546">
        <f t="shared" si="36"/>
        <v>1.4711287074318105E-3</v>
      </c>
      <c r="BW35" s="87">
        <f>SUMIF('TB Apr 24'!$D$13:$D$103,'MIS Apr24'!$B35,'TB Apr 24'!AP$13:AP$103)</f>
        <v>4290.2</v>
      </c>
      <c r="BX35" s="546">
        <f t="shared" si="37"/>
        <v>1.7901118663445448E-2</v>
      </c>
      <c r="BY35" s="87">
        <f>SUMIF('TB Apr 24'!$D$13:$D$103,'MIS Apr24'!$B35,'TB Apr 24'!AQ$13:AQ$103)</f>
        <v>0</v>
      </c>
      <c r="BZ35" s="546">
        <f t="shared" si="38"/>
        <v>0</v>
      </c>
      <c r="CA35" s="87">
        <f>SUMIF('TB Apr 24'!$D$13:$D$103,'MIS Apr24'!$B35,'TB Apr 24'!AR$13:AR$103)</f>
        <v>4290.2</v>
      </c>
      <c r="CB35" s="546">
        <f t="shared" si="39"/>
        <v>7.5539045675622951E-4</v>
      </c>
      <c r="CC35" s="87">
        <f>SUMIF('TB Apr 24'!$D$13:$D$103,'MIS Apr24'!$B35,'TB Apr 24'!AS$13:AS$103)</f>
        <v>0</v>
      </c>
      <c r="CD35" s="546">
        <f t="shared" si="40"/>
        <v>0</v>
      </c>
      <c r="CE35" s="87">
        <f>SUMIF('TB Apr 24'!$D$13:$D$103,'MIS Apr24'!$B35,'TB Apr 24'!AT$13:AT$103)</f>
        <v>0</v>
      </c>
      <c r="CF35" s="546">
        <f t="shared" si="41"/>
        <v>0</v>
      </c>
      <c r="CG35" s="87">
        <f>SUMIF('TB Apr 24'!$D$13:$D$103,'MIS Apr24'!$B35,'TB Apr 24'!AU$13:AU$103)</f>
        <v>0</v>
      </c>
      <c r="CH35" s="546">
        <f t="shared" si="42"/>
        <v>0</v>
      </c>
      <c r="CI35" s="87">
        <f>SUMIF('TB Apr 24'!$D$13:$D$103,'MIS Apr24'!$B35,'TB Apr 24'!AV$13:AV$103)</f>
        <v>60000</v>
      </c>
      <c r="CJ35" s="546">
        <f t="shared" si="43"/>
        <v>2.8464732614721929E-2</v>
      </c>
      <c r="CK35" s="87">
        <f>SUMIF('TB Apr 24'!$D$13:$D$103,'MIS Apr24'!$B35,'TB Apr 24'!AW$13:AW$103)</f>
        <v>0</v>
      </c>
      <c r="CL35" s="546">
        <f t="shared" si="44"/>
        <v>0</v>
      </c>
      <c r="CM35" s="87">
        <f>SUMIF('TB Apr 24'!$D$13:$D$103,'MIS Apr24'!$B35,'TB Apr 24'!AX$13:AX$103)</f>
        <v>0</v>
      </c>
      <c r="CN35" s="546">
        <f t="shared" si="45"/>
        <v>0</v>
      </c>
      <c r="CO35" s="87">
        <f>SUMIF('TB Apr 24'!$D$13:$D$103,'MIS Apr24'!$B35,'TB Apr 24'!AY$13:AY$103)</f>
        <v>0</v>
      </c>
      <c r="CP35" s="546">
        <f t="shared" si="46"/>
        <v>0</v>
      </c>
      <c r="CQ35" s="87">
        <f>SUMIF('TB Apr 24'!$D$13:$D$103,'MIS Apr24'!$B35,'TB Apr 24'!AZ$13:AZ$103)</f>
        <v>0</v>
      </c>
      <c r="CR35" s="546">
        <f t="shared" si="47"/>
        <v>0</v>
      </c>
      <c r="CS35" s="87">
        <f>SUMIF('TB Apr 24'!$D$13:$D$103,'MIS Apr24'!$B35,'TB Apr 24'!BA$13:BA$103)</f>
        <v>0</v>
      </c>
      <c r="CT35" s="546">
        <f t="shared" si="48"/>
        <v>0</v>
      </c>
      <c r="CU35" s="87">
        <f>SUMIF('TB Apr 24'!$D$13:$D$103,'MIS Apr24'!$B35,'TB Apr 24'!BB$13:BB$103)</f>
        <v>0</v>
      </c>
      <c r="CV35" s="546">
        <f t="shared" si="49"/>
        <v>0</v>
      </c>
      <c r="CW35" s="87">
        <f>SUMIF('TB Apr 24'!$D$13:$D$103,'MIS Apr24'!$B35,'TB Apr 24'!BC$13:BC$103)</f>
        <v>0</v>
      </c>
      <c r="CX35" s="546">
        <f t="shared" si="50"/>
        <v>0</v>
      </c>
      <c r="CY35" s="87">
        <f>SUMIF('TB Apr 24'!$D$13:$D$103,'MIS Apr24'!$B35,'TB Apr 24'!BD$13:BD$103)</f>
        <v>0</v>
      </c>
      <c r="CZ35" s="546">
        <f t="shared" si="51"/>
        <v>0</v>
      </c>
      <c r="DA35" s="87">
        <f>SUMIF('TB Apr 24'!$D$13:$D$103,'MIS Apr24'!$B35,'TB Apr 24'!O$13:O$103)</f>
        <v>125000</v>
      </c>
      <c r="DB35" s="546">
        <f t="shared" si="52"/>
        <v>0</v>
      </c>
      <c r="DC35" s="87">
        <f>SUM(C35,E35,I35,K35,M35,O35,S35,U35,AA35,AC35,AG35,AK35,AM35,AO35,AQ35,AS35,AW35,AY35,BA35,BC35,BE35,BG35,BI35,BK35,BU35,BW35,CA35,CC35,CE35,CI35,CK35,CM35,CS35,CU35,CW35,CY35,DA35)</f>
        <v>558951</v>
      </c>
      <c r="DD35" s="546">
        <f t="shared" si="53"/>
        <v>6.7413565233227302E-3</v>
      </c>
      <c r="DE35" s="87"/>
      <c r="DF35" s="546">
        <f t="shared" si="54"/>
        <v>0</v>
      </c>
      <c r="DG35" s="87">
        <f>DE35-DC35</f>
        <v>-558951</v>
      </c>
      <c r="DH35" s="546">
        <f t="shared" si="55"/>
        <v>6.7413565233227302E-3</v>
      </c>
    </row>
    <row r="36" spans="2:113" outlineLevel="1" x14ac:dyDescent="0.35">
      <c r="B36" s="17" t="s">
        <v>293</v>
      </c>
      <c r="C36" s="87">
        <f>SUMIF('TB Apr 24'!$D$13:$D$103,'MIS Apr24'!$B36,'TB Apr 24'!E$13:E$103)</f>
        <v>0</v>
      </c>
      <c r="D36" s="546">
        <f t="shared" si="56"/>
        <v>0</v>
      </c>
      <c r="E36" s="87">
        <f>SUMIF('TB Apr 24'!$D$13:$D$103,'MIS Apr24'!$B36,'TB Apr 24'!F$13:F$103)</f>
        <v>0</v>
      </c>
      <c r="F36" s="546">
        <f t="shared" si="56"/>
        <v>0</v>
      </c>
      <c r="G36" s="87">
        <f>SUMIF('TB Apr 24'!$D$13:$D$103,'MIS Apr24'!$B36,'TB Apr 24'!G$13:G$103)</f>
        <v>0</v>
      </c>
      <c r="H36" s="546">
        <f t="shared" si="3"/>
        <v>0</v>
      </c>
      <c r="I36" s="87">
        <f>SUMIF('TB Apr 24'!$D$13:$D$103,'MIS Apr24'!$B36,'TB Apr 24'!H$13:H$103)</f>
        <v>0</v>
      </c>
      <c r="J36" s="546">
        <f t="shared" si="4"/>
        <v>0</v>
      </c>
      <c r="K36" s="87">
        <f>SUMIF('TB Apr 24'!$D$13:$D$103,'MIS Apr24'!$B36,'TB Apr 24'!I$13:I$103)</f>
        <v>0</v>
      </c>
      <c r="L36" s="546">
        <f t="shared" si="5"/>
        <v>0</v>
      </c>
      <c r="M36" s="87">
        <f>SUMIF('TB Apr 24'!$D$13:$D$103,'MIS Apr24'!$B36,'TB Apr 24'!J$13:J$103)</f>
        <v>0</v>
      </c>
      <c r="N36" s="546">
        <f t="shared" si="6"/>
        <v>0</v>
      </c>
      <c r="O36" s="87">
        <f>SUMIF('TB Apr 24'!$D$13:$D$103,'MIS Apr24'!$B36,'TB Apr 24'!K$13:K$103)</f>
        <v>0</v>
      </c>
      <c r="P36" s="546">
        <f t="shared" si="7"/>
        <v>0</v>
      </c>
      <c r="Q36" s="87">
        <f>SUMIF('TB Apr 24'!$D$13:$D$103,'MIS Apr24'!$B36,'TB Apr 24'!L$13:L$103)</f>
        <v>0</v>
      </c>
      <c r="R36" s="546">
        <f t="shared" si="8"/>
        <v>0</v>
      </c>
      <c r="S36" s="87">
        <f>SUMIF('TB Apr 24'!$D$13:$D$103,'MIS Apr24'!$B36,'TB Apr 24'!M$13:M$103)</f>
        <v>0</v>
      </c>
      <c r="T36" s="546">
        <f t="shared" si="9"/>
        <v>0</v>
      </c>
      <c r="U36" s="87">
        <f>SUMIF('TB Apr 24'!$D$13:$D$103,'MIS Apr24'!$B36,'TB Apr 24'!N$13:N$103)</f>
        <v>0</v>
      </c>
      <c r="V36" s="546">
        <f t="shared" si="10"/>
        <v>0</v>
      </c>
      <c r="W36" s="87">
        <f>SUMIF('TB Apr 24'!$D$13:$D$103,'MIS Apr24'!$B36,'TB Apr 24'!P$13:P$103)</f>
        <v>0</v>
      </c>
      <c r="X36" s="546">
        <f t="shared" si="11"/>
        <v>0</v>
      </c>
      <c r="Y36" s="87">
        <f>SUMIF('TB Apr 24'!$D$13:$D$103,'MIS Apr24'!$B36,'TB Apr 24'!Q$13:Q$103)</f>
        <v>0</v>
      </c>
      <c r="Z36" s="546">
        <f t="shared" si="12"/>
        <v>0</v>
      </c>
      <c r="AA36" s="87">
        <f>SUMIF('TB Apr 24'!$D$13:$D$103,'MIS Apr24'!$B36,'TB Apr 24'!R$13:R$103)</f>
        <v>0</v>
      </c>
      <c r="AB36" s="546">
        <f t="shared" si="13"/>
        <v>0</v>
      </c>
      <c r="AC36" s="87">
        <f>SUMIF('TB Apr 24'!$D$13:$D$103,'MIS Apr24'!$B36,'TB Apr 24'!S$13:S$103)</f>
        <v>0</v>
      </c>
      <c r="AD36" s="546">
        <f t="shared" si="14"/>
        <v>0</v>
      </c>
      <c r="AE36" s="87">
        <f>SUMIF('TB Apr 24'!$D$13:$D$103,'MIS Apr24'!$B36,'TB Apr 24'!T$13:T$103)</f>
        <v>0</v>
      </c>
      <c r="AF36" s="546">
        <f t="shared" si="15"/>
        <v>0</v>
      </c>
      <c r="AG36" s="87">
        <f>SUMIF('TB Apr 24'!$D$13:$D$103,'MIS Apr24'!$B36,'TB Apr 24'!U$13:U$103)</f>
        <v>0</v>
      </c>
      <c r="AH36" s="546">
        <f t="shared" si="16"/>
        <v>0</v>
      </c>
      <c r="AI36" s="87">
        <f>SUMIF('TB Apr 24'!$D$13:$D$103,'MIS Apr24'!$B36,'TB Apr 24'!V$13:V$103)</f>
        <v>0</v>
      </c>
      <c r="AJ36" s="546">
        <f t="shared" si="17"/>
        <v>0</v>
      </c>
      <c r="AK36" s="87">
        <f>SUMIF('TB Apr 24'!$D$13:$D$103,'MIS Apr24'!$B36,'TB Apr 24'!W$13:W$103)</f>
        <v>0</v>
      </c>
      <c r="AL36" s="546">
        <f t="shared" si="18"/>
        <v>0</v>
      </c>
      <c r="AM36" s="87">
        <f>SUMIF('TB Apr 24'!$D$13:$D$103,'MIS Apr24'!$B36,'TB Apr 24'!X$13:X$103)</f>
        <v>0</v>
      </c>
      <c r="AN36" s="546">
        <f t="shared" si="19"/>
        <v>0</v>
      </c>
      <c r="AO36" s="87">
        <f>SUMIF('TB Apr 24'!$D$13:$D$103,'MIS Apr24'!$B36,'TB Apr 24'!Y$13:Y$103)</f>
        <v>0</v>
      </c>
      <c r="AP36" s="546">
        <f t="shared" si="20"/>
        <v>0</v>
      </c>
      <c r="AQ36" s="87">
        <f>SUMIF('TB Apr 24'!$D$13:$D$103,'MIS Apr24'!$B36,'TB Apr 24'!Z$13:Z$103)</f>
        <v>0</v>
      </c>
      <c r="AR36" s="546">
        <f t="shared" si="21"/>
        <v>0</v>
      </c>
      <c r="AS36" s="87">
        <f>SUMIF('TB Apr 24'!$D$13:$D$103,'MIS Apr24'!$B36,'TB Apr 24'!AA$13:AA$103)</f>
        <v>0</v>
      </c>
      <c r="AT36" s="546">
        <f t="shared" si="22"/>
        <v>0</v>
      </c>
      <c r="AU36" s="87">
        <f>SUMIF('TB Apr 24'!$D$13:$D$103,'MIS Apr24'!$B36,'TB Apr 24'!AB$13:AB$103)</f>
        <v>0</v>
      </c>
      <c r="AV36" s="546">
        <f t="shared" si="23"/>
        <v>0</v>
      </c>
      <c r="AW36" s="87">
        <f>SUMIF('TB Apr 24'!$D$13:$D$103,'MIS Apr24'!$B36,'TB Apr 24'!AC$13:AC$103)</f>
        <v>0</v>
      </c>
      <c r="AX36" s="546">
        <f t="shared" si="24"/>
        <v>0</v>
      </c>
      <c r="AY36" s="87">
        <f>SUMIF('TB Apr 24'!$D$13:$D$103,'MIS Apr24'!$B36,'TB Apr 24'!AD$13:AD$103)</f>
        <v>0</v>
      </c>
      <c r="AZ36" s="546">
        <f t="shared" si="25"/>
        <v>0</v>
      </c>
      <c r="BA36" s="87">
        <f>SUMIF('TB Apr 24'!$D$13:$D$103,'MIS Apr24'!$B36,'TB Apr 24'!AE$13:AE$103)</f>
        <v>0</v>
      </c>
      <c r="BB36" s="546">
        <f t="shared" si="26"/>
        <v>0</v>
      </c>
      <c r="BC36" s="87">
        <f>SUMIF('TB Apr 24'!$D$13:$D$103,'MIS Apr24'!$B36,'TB Apr 24'!AF$13:AF$103)</f>
        <v>0</v>
      </c>
      <c r="BD36" s="546">
        <f t="shared" si="27"/>
        <v>0</v>
      </c>
      <c r="BE36" s="87">
        <f>SUMIF('TB Apr 24'!$D$13:$D$103,'MIS Apr24'!$B36,'TB Apr 24'!AG$13:AG$103)</f>
        <v>0</v>
      </c>
      <c r="BF36" s="546">
        <f t="shared" si="28"/>
        <v>0</v>
      </c>
      <c r="BG36" s="87">
        <f>SUMIF('TB Apr 24'!$D$13:$D$103,'MIS Apr24'!$B36,'TB Apr 24'!AH$13:AH$103)</f>
        <v>0</v>
      </c>
      <c r="BH36" s="546">
        <f t="shared" si="29"/>
        <v>0</v>
      </c>
      <c r="BI36" s="87">
        <f>SUMIF('TB Apr 24'!$D$13:$D$103,'MIS Apr24'!$B36,'TB Apr 24'!AI$13:AI$103)</f>
        <v>0</v>
      </c>
      <c r="BJ36" s="546">
        <f t="shared" si="30"/>
        <v>0</v>
      </c>
      <c r="BK36" s="87">
        <f>SUMIF('TB Apr 24'!$D$13:$D$103,'MIS Apr24'!$B36,'TB Apr 24'!AJ$13:AJ$103)</f>
        <v>0</v>
      </c>
      <c r="BL36" s="546">
        <f t="shared" si="31"/>
        <v>0</v>
      </c>
      <c r="BM36" s="87">
        <f>SUMIF('TB Apr 24'!$D$13:$D$103,'MIS Apr24'!$B36,'TB Apr 24'!AK$13:AK$103)</f>
        <v>0</v>
      </c>
      <c r="BN36" s="546">
        <f t="shared" si="32"/>
        <v>0</v>
      </c>
      <c r="BO36" s="87">
        <f>SUMIF('TB Apr 24'!$D$13:$D$103,'MIS Apr24'!$B36,'TB Apr 24'!AL$13:AL$103)</f>
        <v>0</v>
      </c>
      <c r="BP36" s="546">
        <f t="shared" si="33"/>
        <v>0</v>
      </c>
      <c r="BQ36" s="87">
        <f>SUMIF('TB Apr 24'!$D$13:$D$103,'MIS Apr24'!$B36,'TB Apr 24'!AM$13:AM$103)</f>
        <v>0</v>
      </c>
      <c r="BR36" s="546">
        <f t="shared" si="34"/>
        <v>0</v>
      </c>
      <c r="BS36" s="87">
        <f>SUMIF('TB Apr 24'!$D$13:$D$103,'MIS Apr24'!$B36,'TB Apr 24'!AN$13:AN$103)</f>
        <v>0</v>
      </c>
      <c r="BT36" s="546">
        <f t="shared" si="35"/>
        <v>0</v>
      </c>
      <c r="BU36" s="87">
        <f>SUMIF('TB Apr 24'!$D$13:$D$103,'MIS Apr24'!$B36,'TB Apr 24'!AO$13:AO$103)</f>
        <v>0</v>
      </c>
      <c r="BV36" s="546">
        <f t="shared" si="36"/>
        <v>0</v>
      </c>
      <c r="BW36" s="87">
        <f>SUMIF('TB Apr 24'!$D$13:$D$103,'MIS Apr24'!$B36,'TB Apr 24'!AP$13:AP$103)</f>
        <v>0</v>
      </c>
      <c r="BX36" s="546">
        <f t="shared" si="37"/>
        <v>0</v>
      </c>
      <c r="BY36" s="87">
        <f>SUMIF('TB Apr 24'!$D$13:$D$103,'MIS Apr24'!$B36,'TB Apr 24'!AQ$13:AQ$103)</f>
        <v>0</v>
      </c>
      <c r="BZ36" s="546">
        <f t="shared" si="38"/>
        <v>0</v>
      </c>
      <c r="CA36" s="87">
        <f>SUMIF('TB Apr 24'!$D$13:$D$103,'MIS Apr24'!$B36,'TB Apr 24'!AR$13:AR$103)</f>
        <v>0</v>
      </c>
      <c r="CB36" s="546">
        <f t="shared" si="39"/>
        <v>0</v>
      </c>
      <c r="CC36" s="87">
        <f>SUMIF('TB Apr 24'!$D$13:$D$103,'MIS Apr24'!$B36,'TB Apr 24'!AS$13:AS$103)</f>
        <v>0</v>
      </c>
      <c r="CD36" s="546">
        <f t="shared" si="40"/>
        <v>0</v>
      </c>
      <c r="CE36" s="87">
        <f>SUMIF('TB Apr 24'!$D$13:$D$103,'MIS Apr24'!$B36,'TB Apr 24'!AT$13:AT$103)</f>
        <v>0</v>
      </c>
      <c r="CF36" s="546">
        <f t="shared" si="41"/>
        <v>0</v>
      </c>
      <c r="CG36" s="87">
        <f>SUMIF('TB Apr 24'!$D$13:$D$103,'MIS Apr24'!$B36,'TB Apr 24'!AU$13:AU$103)</f>
        <v>0</v>
      </c>
      <c r="CH36" s="546">
        <f t="shared" si="42"/>
        <v>0</v>
      </c>
      <c r="CI36" s="87">
        <f>SUMIF('TB Apr 24'!$D$13:$D$103,'MIS Apr24'!$B36,'TB Apr 24'!AV$13:AV$103)</f>
        <v>0</v>
      </c>
      <c r="CJ36" s="546">
        <f t="shared" si="43"/>
        <v>0</v>
      </c>
      <c r="CK36" s="87">
        <f>SUMIF('TB Apr 24'!$D$13:$D$103,'MIS Apr24'!$B36,'TB Apr 24'!AW$13:AW$103)</f>
        <v>0</v>
      </c>
      <c r="CL36" s="546">
        <f t="shared" si="44"/>
        <v>0</v>
      </c>
      <c r="CM36" s="87">
        <f>SUMIF('TB Apr 24'!$D$13:$D$103,'MIS Apr24'!$B36,'TB Apr 24'!AX$13:AX$103)</f>
        <v>0</v>
      </c>
      <c r="CN36" s="546">
        <f t="shared" si="45"/>
        <v>0</v>
      </c>
      <c r="CO36" s="87">
        <f>SUMIF('TB Apr 24'!$D$13:$D$103,'MIS Apr24'!$B36,'TB Apr 24'!AY$13:AY$103)</f>
        <v>0</v>
      </c>
      <c r="CP36" s="546">
        <f t="shared" si="46"/>
        <v>0</v>
      </c>
      <c r="CQ36" s="87">
        <f>SUMIF('TB Apr 24'!$D$13:$D$103,'MIS Apr24'!$B36,'TB Apr 24'!AZ$13:AZ$103)</f>
        <v>0</v>
      </c>
      <c r="CR36" s="546">
        <f t="shared" si="47"/>
        <v>0</v>
      </c>
      <c r="CS36" s="87">
        <f>SUMIF('TB Apr 24'!$D$13:$D$103,'MIS Apr24'!$B36,'TB Apr 24'!BA$13:BA$103)</f>
        <v>0</v>
      </c>
      <c r="CT36" s="546">
        <f t="shared" si="48"/>
        <v>0</v>
      </c>
      <c r="CU36" s="87">
        <f>SUMIF('TB Apr 24'!$D$13:$D$103,'MIS Apr24'!$B36,'TB Apr 24'!BB$13:BB$103)</f>
        <v>0</v>
      </c>
      <c r="CV36" s="546">
        <f t="shared" si="49"/>
        <v>0</v>
      </c>
      <c r="CW36" s="87">
        <f>SUMIF('TB Apr 24'!$D$13:$D$103,'MIS Apr24'!$B36,'TB Apr 24'!BC$13:BC$103)</f>
        <v>0</v>
      </c>
      <c r="CX36" s="546">
        <f t="shared" si="50"/>
        <v>0</v>
      </c>
      <c r="CY36" s="87">
        <f>SUMIF('TB Apr 24'!$D$13:$D$103,'MIS Apr24'!$B36,'TB Apr 24'!BD$13:BD$103)</f>
        <v>0</v>
      </c>
      <c r="CZ36" s="546">
        <f t="shared" si="51"/>
        <v>0</v>
      </c>
      <c r="DA36" s="87">
        <f>SUMIF('TB Apr 24'!$D$13:$D$103,'MIS Apr24'!$B36,'TB Apr 24'!O$13:O$103)</f>
        <v>0</v>
      </c>
      <c r="DB36" s="546">
        <f t="shared" si="52"/>
        <v>0</v>
      </c>
      <c r="DC36" s="87">
        <f>SUM(C36,E36,I36,K36,M36,O36,S36,U36,AA36,AC36,AG36,AK36,AM36,AO36,AQ36,AS36,AW36,AY36,BA36,BC36,BE36,BG36,BI36,BK36,BU36,BW36,CA36,CC36,CE36,CI36,CK36,CM36,CS36,CU36,CW36,CY36,DA36)</f>
        <v>0</v>
      </c>
      <c r="DD36" s="546">
        <f t="shared" si="53"/>
        <v>0</v>
      </c>
      <c r="DE36" s="87"/>
      <c r="DF36" s="546">
        <f t="shared" si="54"/>
        <v>0</v>
      </c>
      <c r="DG36" s="87">
        <f>DE36-DC36</f>
        <v>0</v>
      </c>
      <c r="DH36" s="546">
        <f t="shared" si="55"/>
        <v>0</v>
      </c>
    </row>
    <row r="37" spans="2:113" outlineLevel="1" x14ac:dyDescent="0.35">
      <c r="B37" s="17" t="s">
        <v>294</v>
      </c>
      <c r="C37" s="87">
        <f>SUMIF('TB Apr 24'!$D$13:$D$103,'MIS Apr24'!$B37,'TB Apr 24'!E$13:E$103)</f>
        <v>95777.22</v>
      </c>
      <c r="D37" s="546">
        <f t="shared" si="56"/>
        <v>7.9344320197971219E-2</v>
      </c>
      <c r="E37" s="87">
        <f>SUMIF('TB Apr 24'!$D$13:$D$103,'MIS Apr24'!$B37,'TB Apr 24'!F$13:F$103)</f>
        <v>94139</v>
      </c>
      <c r="F37" s="546">
        <f t="shared" si="56"/>
        <v>5.717959998590405E-2</v>
      </c>
      <c r="G37" s="87">
        <f>SUMIF('TB Apr 24'!$D$13:$D$103,'MIS Apr24'!$B37,'TB Apr 24'!G$13:G$103)</f>
        <v>0</v>
      </c>
      <c r="H37" s="546">
        <f t="shared" si="3"/>
        <v>0</v>
      </c>
      <c r="I37" s="87">
        <f>SUMIF('TB Apr 24'!$D$13:$D$103,'MIS Apr24'!$B37,'TB Apr 24'!H$13:H$103)</f>
        <v>86427.329999999987</v>
      </c>
      <c r="J37" s="546">
        <f t="shared" si="4"/>
        <v>2.831515629845497E-2</v>
      </c>
      <c r="K37" s="87">
        <f>SUMIF('TB Apr 24'!$D$13:$D$103,'MIS Apr24'!$B37,'TB Apr 24'!I$13:I$103)</f>
        <v>116285.49999999997</v>
      </c>
      <c r="L37" s="546">
        <f t="shared" si="5"/>
        <v>0.12087196005326174</v>
      </c>
      <c r="M37" s="87">
        <f>SUMIF('TB Apr 24'!$D$13:$D$103,'MIS Apr24'!$B37,'TB Apr 24'!J$13:J$103)</f>
        <v>54712.98000000001</v>
      </c>
      <c r="N37" s="546">
        <f t="shared" si="6"/>
        <v>2.3556334915246308E-2</v>
      </c>
      <c r="O37" s="87">
        <f>SUMIF('TB Apr 24'!$D$13:$D$103,'MIS Apr24'!$B37,'TB Apr 24'!K$13:K$103)</f>
        <v>48647.38</v>
      </c>
      <c r="P37" s="546">
        <f t="shared" si="7"/>
        <v>1.4449600127556354E-2</v>
      </c>
      <c r="Q37" s="87">
        <f>SUMIF('TB Apr 24'!$D$13:$D$103,'MIS Apr24'!$B37,'TB Apr 24'!L$13:L$103)</f>
        <v>0</v>
      </c>
      <c r="R37" s="546">
        <f t="shared" si="8"/>
        <v>0</v>
      </c>
      <c r="S37" s="87">
        <f>SUMIF('TB Apr 24'!$D$13:$D$103,'MIS Apr24'!$B37,'TB Apr 24'!M$13:M$103)</f>
        <v>30007.190000000002</v>
      </c>
      <c r="T37" s="546">
        <f t="shared" si="9"/>
        <v>7.9803177987948625E-3</v>
      </c>
      <c r="U37" s="87">
        <f>SUMIF('TB Apr 24'!$D$13:$D$103,'MIS Apr24'!$B37,'TB Apr 24'!N$13:N$103)</f>
        <v>54029.26</v>
      </c>
      <c r="V37" s="546">
        <f t="shared" si="10"/>
        <v>1.9175146464306882E-2</v>
      </c>
      <c r="W37" s="87">
        <f>SUMIF('TB Apr 24'!$D$13:$D$103,'MIS Apr24'!$B37,'TB Apr 24'!P$13:P$103)</f>
        <v>0</v>
      </c>
      <c r="X37" s="546">
        <f t="shared" si="11"/>
        <v>0</v>
      </c>
      <c r="Y37" s="87">
        <f>SUMIF('TB Apr 24'!$D$13:$D$103,'MIS Apr24'!$B37,'TB Apr 24'!Q$13:Q$103)</f>
        <v>0</v>
      </c>
      <c r="Z37" s="546">
        <f t="shared" si="12"/>
        <v>0</v>
      </c>
      <c r="AA37" s="87">
        <f>SUMIF('TB Apr 24'!$D$13:$D$103,'MIS Apr24'!$B37,'TB Apr 24'!R$13:R$103)</f>
        <v>43610.35</v>
      </c>
      <c r="AB37" s="546">
        <f t="shared" si="13"/>
        <v>1.3860891179046276E-2</v>
      </c>
      <c r="AC37" s="87">
        <f>SUMIF('TB Apr 24'!$D$13:$D$103,'MIS Apr24'!$B37,'TB Apr 24'!S$13:S$103)</f>
        <v>53962.17</v>
      </c>
      <c r="AD37" s="546">
        <f t="shared" si="14"/>
        <v>2.3765819401813618E-2</v>
      </c>
      <c r="AE37" s="87">
        <f>SUMIF('TB Apr 24'!$D$13:$D$103,'MIS Apr24'!$B37,'TB Apr 24'!T$13:T$103)</f>
        <v>0</v>
      </c>
      <c r="AF37" s="546">
        <f t="shared" si="15"/>
        <v>0</v>
      </c>
      <c r="AG37" s="87">
        <f>SUMIF('TB Apr 24'!$D$13:$D$103,'MIS Apr24'!$B37,'TB Apr 24'!U$13:U$103)</f>
        <v>44701</v>
      </c>
      <c r="AH37" s="546">
        <f t="shared" si="16"/>
        <v>1.2026884885720483E-2</v>
      </c>
      <c r="AI37" s="87">
        <f>SUMIF('TB Apr 24'!$D$13:$D$103,'MIS Apr24'!$B37,'TB Apr 24'!V$13:V$103)</f>
        <v>0</v>
      </c>
      <c r="AJ37" s="546">
        <f t="shared" si="17"/>
        <v>0</v>
      </c>
      <c r="AK37" s="87">
        <f>SUMIF('TB Apr 24'!$D$13:$D$103,'MIS Apr24'!$B37,'TB Apr 24'!W$13:W$103)</f>
        <v>22130.300000000003</v>
      </c>
      <c r="AL37" s="546">
        <f t="shared" si="18"/>
        <v>2.0445123192392223E-2</v>
      </c>
      <c r="AM37" s="87">
        <f>SUMIF('TB Apr 24'!$D$13:$D$103,'MIS Apr24'!$B37,'TB Apr 24'!X$13:X$103)</f>
        <v>43450.19</v>
      </c>
      <c r="AN37" s="546">
        <f t="shared" si="19"/>
        <v>2.1236794423292418E-2</v>
      </c>
      <c r="AO37" s="87">
        <f>SUMIF('TB Apr 24'!$D$13:$D$103,'MIS Apr24'!$B37,'TB Apr 24'!Y$13:Y$103)</f>
        <v>17625.36</v>
      </c>
      <c r="AP37" s="546">
        <f t="shared" si="20"/>
        <v>1.0002485236240345E-2</v>
      </c>
      <c r="AQ37" s="87">
        <f>SUMIF('TB Apr 24'!$D$13:$D$103,'MIS Apr24'!$B37,'TB Apr 24'!Z$13:Z$103)</f>
        <v>61128.09</v>
      </c>
      <c r="AR37" s="546">
        <f t="shared" si="21"/>
        <v>4.1403669571595456E-2</v>
      </c>
      <c r="AS37" s="87">
        <f>SUMIF('TB Apr 24'!$D$13:$D$103,'MIS Apr24'!$B37,'TB Apr 24'!AA$13:AA$103)</f>
        <v>63890.659999999996</v>
      </c>
      <c r="AT37" s="546">
        <f t="shared" si="22"/>
        <v>3.4231928901062074E-2</v>
      </c>
      <c r="AU37" s="87">
        <f>SUMIF('TB Apr 24'!$D$13:$D$103,'MIS Apr24'!$B37,'TB Apr 24'!AB$13:AB$103)</f>
        <v>1016</v>
      </c>
      <c r="AV37" s="546">
        <f t="shared" si="23"/>
        <v>0</v>
      </c>
      <c r="AW37" s="87">
        <f>SUMIF('TB Apr 24'!$D$13:$D$103,'MIS Apr24'!$B37,'TB Apr 24'!AC$13:AC$103)</f>
        <v>48936.53</v>
      </c>
      <c r="AX37" s="546">
        <f t="shared" si="24"/>
        <v>1.3206434406223759E-2</v>
      </c>
      <c r="AY37" s="87">
        <f>SUMIF('TB Apr 24'!$D$13:$D$103,'MIS Apr24'!$B37,'TB Apr 24'!AD$13:AD$103)</f>
        <v>116500.48000000001</v>
      </c>
      <c r="AZ37" s="546">
        <f t="shared" si="25"/>
        <v>2.7936821353198745E-2</v>
      </c>
      <c r="BA37" s="87">
        <f>SUMIF('TB Apr 24'!$D$13:$D$103,'MIS Apr24'!$B37,'TB Apr 24'!AE$13:AE$103)</f>
        <v>26062.510000000002</v>
      </c>
      <c r="BB37" s="546">
        <f t="shared" si="26"/>
        <v>7.9169315970932616E-2</v>
      </c>
      <c r="BC37" s="87">
        <f>SUMIF('TB Apr 24'!$D$13:$D$103,'MIS Apr24'!$B37,'TB Apr 24'!AF$13:AF$103)</f>
        <v>51966.970000000008</v>
      </c>
      <c r="BD37" s="546">
        <f t="shared" si="27"/>
        <v>2.4939219764923044E-2</v>
      </c>
      <c r="BE37" s="87">
        <f>SUMIF('TB Apr 24'!$D$13:$D$103,'MIS Apr24'!$B37,'TB Apr 24'!AG$13:AG$103)</f>
        <v>52717.14</v>
      </c>
      <c r="BF37" s="546">
        <f t="shared" si="28"/>
        <v>3.2846597588239941E-2</v>
      </c>
      <c r="BG37" s="87">
        <f>SUMIF('TB Apr 24'!$D$13:$D$103,'MIS Apr24'!$B37,'TB Apr 24'!AH$13:AH$103)</f>
        <v>114433.8</v>
      </c>
      <c r="BH37" s="546">
        <f t="shared" si="29"/>
        <v>6.2191549255410768E-2</v>
      </c>
      <c r="BI37" s="87">
        <f>SUMIF('TB Apr 24'!$D$13:$D$103,'MIS Apr24'!$B37,'TB Apr 24'!AI$13:AI$103)</f>
        <v>52756.7</v>
      </c>
      <c r="BJ37" s="546">
        <f t="shared" si="30"/>
        <v>2.8072621217486309E-2</v>
      </c>
      <c r="BK37" s="87">
        <f>SUMIF('TB Apr 24'!$D$13:$D$103,'MIS Apr24'!$B37,'TB Apr 24'!AJ$13:AJ$103)</f>
        <v>135614.772</v>
      </c>
      <c r="BL37" s="546">
        <f t="shared" si="31"/>
        <v>5.9039910726332946E-2</v>
      </c>
      <c r="BM37" s="87">
        <f>SUMIF('TB Apr 24'!$D$13:$D$103,'MIS Apr24'!$B37,'TB Apr 24'!AK$13:AK$103)</f>
        <v>0</v>
      </c>
      <c r="BN37" s="546">
        <f t="shared" si="32"/>
        <v>0</v>
      </c>
      <c r="BO37" s="87">
        <f>SUMIF('TB Apr 24'!$D$13:$D$103,'MIS Apr24'!$B37,'TB Apr 24'!AL$13:AL$103)</f>
        <v>0</v>
      </c>
      <c r="BP37" s="546">
        <f t="shared" si="33"/>
        <v>0</v>
      </c>
      <c r="BQ37" s="87">
        <f>SUMIF('TB Apr 24'!$D$13:$D$103,'MIS Apr24'!$B37,'TB Apr 24'!AM$13:AM$103)</f>
        <v>0</v>
      </c>
      <c r="BR37" s="546">
        <f t="shared" si="34"/>
        <v>0</v>
      </c>
      <c r="BS37" s="87">
        <f>SUMIF('TB Apr 24'!$D$13:$D$103,'MIS Apr24'!$B37,'TB Apr 24'!AN$13:AN$103)</f>
        <v>0</v>
      </c>
      <c r="BT37" s="546">
        <f t="shared" si="35"/>
        <v>0</v>
      </c>
      <c r="BU37" s="87">
        <f>SUMIF('TB Apr 24'!$D$13:$D$103,'MIS Apr24'!$B37,'TB Apr 24'!AO$13:AO$103)</f>
        <v>54718.5</v>
      </c>
      <c r="BV37" s="546">
        <f t="shared" si="36"/>
        <v>1.1041940711860789E-2</v>
      </c>
      <c r="BW37" s="87">
        <f>SUMIF('TB Apr 24'!$D$13:$D$103,'MIS Apr24'!$B37,'TB Apr 24'!AP$13:AP$103)</f>
        <v>251136</v>
      </c>
      <c r="BX37" s="546">
        <f t="shared" si="37"/>
        <v>1.047880130684592</v>
      </c>
      <c r="BY37" s="87">
        <f>SUMIF('TB Apr 24'!$D$13:$D$103,'MIS Apr24'!$B37,'TB Apr 24'!AQ$13:AQ$103)</f>
        <v>0</v>
      </c>
      <c r="BZ37" s="546">
        <f t="shared" si="38"/>
        <v>0</v>
      </c>
      <c r="CA37" s="87">
        <f>SUMIF('TB Apr 24'!$D$13:$D$103,'MIS Apr24'!$B37,'TB Apr 24'!AR$13:AR$103)</f>
        <v>74788.799999999988</v>
      </c>
      <c r="CB37" s="546">
        <f t="shared" si="39"/>
        <v>1.3168324505209614E-2</v>
      </c>
      <c r="CC37" s="87">
        <f>SUMIF('TB Apr 24'!$D$13:$D$103,'MIS Apr24'!$B37,'TB Apr 24'!AS$13:AS$103)</f>
        <v>230497.35</v>
      </c>
      <c r="CD37" s="546">
        <f t="shared" si="40"/>
        <v>0.1069022350526147</v>
      </c>
      <c r="CE37" s="87">
        <f>SUMIF('TB Apr 24'!$D$13:$D$103,'MIS Apr24'!$B37,'TB Apr 24'!AT$13:AT$103)</f>
        <v>88875.310000000012</v>
      </c>
      <c r="CF37" s="546">
        <f t="shared" si="41"/>
        <v>5.5075374875746069E-2</v>
      </c>
      <c r="CG37" s="87">
        <f>SUMIF('TB Apr 24'!$D$13:$D$103,'MIS Apr24'!$B37,'TB Apr 24'!AU$13:AU$103)</f>
        <v>2031</v>
      </c>
      <c r="CH37" s="546">
        <f t="shared" si="42"/>
        <v>0</v>
      </c>
      <c r="CI37" s="87">
        <f>SUMIF('TB Apr 24'!$D$13:$D$103,'MIS Apr24'!$B37,'TB Apr 24'!AV$13:AV$103)</f>
        <v>51946.240000000005</v>
      </c>
      <c r="CJ37" s="546">
        <f t="shared" si="43"/>
        <v>2.4643930532336218E-2</v>
      </c>
      <c r="CK37" s="87">
        <f>SUMIF('TB Apr 24'!$D$13:$D$103,'MIS Apr24'!$B37,'TB Apr 24'!AW$13:AW$103)</f>
        <v>64141.72</v>
      </c>
      <c r="CL37" s="546">
        <f t="shared" si="44"/>
        <v>3.0791294797984325E-2</v>
      </c>
      <c r="CM37" s="87">
        <f>SUMIF('TB Apr 24'!$D$13:$D$103,'MIS Apr24'!$B37,'TB Apr 24'!AX$13:AX$103)</f>
        <v>6346.5</v>
      </c>
      <c r="CN37" s="546">
        <f t="shared" si="45"/>
        <v>5.5496407918593183E-3</v>
      </c>
      <c r="CO37" s="87">
        <f>SUMIF('TB Apr 24'!$D$13:$D$103,'MIS Apr24'!$B37,'TB Apr 24'!AY$13:AY$103)</f>
        <v>2100</v>
      </c>
      <c r="CP37" s="546">
        <f t="shared" si="46"/>
        <v>0</v>
      </c>
      <c r="CQ37" s="87">
        <f>SUMIF('TB Apr 24'!$D$13:$D$103,'MIS Apr24'!$B37,'TB Apr 24'!AZ$13:AZ$103)</f>
        <v>0</v>
      </c>
      <c r="CR37" s="546">
        <f t="shared" si="47"/>
        <v>0</v>
      </c>
      <c r="CS37" s="87">
        <f>SUMIF('TB Apr 24'!$D$13:$D$103,'MIS Apr24'!$B37,'TB Apr 24'!BA$13:BA$103)</f>
        <v>29872</v>
      </c>
      <c r="CT37" s="546">
        <f t="shared" si="48"/>
        <v>1.1138382129405804E-2</v>
      </c>
      <c r="CU37" s="87">
        <f>SUMIF('TB Apr 24'!$D$13:$D$103,'MIS Apr24'!$B37,'TB Apr 24'!BB$13:BB$103)</f>
        <v>20037</v>
      </c>
      <c r="CV37" s="546">
        <f t="shared" si="49"/>
        <v>1.6092978811084714E-2</v>
      </c>
      <c r="CW37" s="87">
        <f>SUMIF('TB Apr 24'!$D$13:$D$103,'MIS Apr24'!$B37,'TB Apr 24'!BC$13:BC$103)</f>
        <v>18544</v>
      </c>
      <c r="CX37" s="546">
        <f t="shared" si="50"/>
        <v>4.6597074487057634E-3</v>
      </c>
      <c r="CY37" s="87">
        <f>SUMIF('TB Apr 24'!$D$13:$D$103,'MIS Apr24'!$B37,'TB Apr 24'!BD$13:BD$103)</f>
        <v>4142.3999999999996</v>
      </c>
      <c r="CZ37" s="546">
        <f t="shared" si="51"/>
        <v>6.7221003892012406E-3</v>
      </c>
      <c r="DA37" s="87">
        <f>SUMIF('TB Apr 24'!$D$13:$D$103,'MIS Apr24'!$B37,'TB Apr 24'!O$13:O$103)</f>
        <v>471309.098</v>
      </c>
      <c r="DB37" s="546">
        <f t="shared" si="52"/>
        <v>0</v>
      </c>
      <c r="DC37" s="87">
        <f>SUM(C37,E37,I37,K37,M37,O37,S37,U37,AA37,AC37,AG37,AK37,AM37,AO37,AQ37,AS37,AW37,AY37,BA37,BC37,BE37,BG37,BI37,BK37,BU37,BW37,CA37,CC37,CE37,CI37,CK37,CM37,CS37,CU37,CW37,CY37,DA37)</f>
        <v>2895867.8</v>
      </c>
      <c r="DD37" s="546">
        <f t="shared" si="53"/>
        <v>3.4926276693681993E-2</v>
      </c>
      <c r="DE37" s="87"/>
      <c r="DF37" s="546">
        <f t="shared" si="54"/>
        <v>0</v>
      </c>
      <c r="DG37" s="87">
        <f>DE37-DC37</f>
        <v>-2895867.8</v>
      </c>
      <c r="DH37" s="546">
        <f t="shared" si="55"/>
        <v>3.4926276693681993E-2</v>
      </c>
    </row>
    <row r="38" spans="2:113" outlineLevel="1" x14ac:dyDescent="0.35">
      <c r="B38" s="17" t="s">
        <v>299</v>
      </c>
      <c r="C38" s="87">
        <f>SUMIF('TB Apr 24'!$D$13:$D$103,'MIS Apr24'!$B38,'TB Apr 24'!E$13:E$103)</f>
        <v>0</v>
      </c>
      <c r="D38" s="546">
        <f t="shared" si="56"/>
        <v>0</v>
      </c>
      <c r="E38" s="87">
        <f>SUMIF('TB Apr 24'!$D$13:$D$103,'MIS Apr24'!$B38,'TB Apr 24'!F$13:F$103)</f>
        <v>0</v>
      </c>
      <c r="F38" s="546">
        <f t="shared" si="56"/>
        <v>0</v>
      </c>
      <c r="G38" s="87">
        <f>SUMIF('TB Apr 24'!$D$13:$D$103,'MIS Apr24'!$B38,'TB Apr 24'!G$13:G$103)</f>
        <v>0</v>
      </c>
      <c r="H38" s="546">
        <f t="shared" si="3"/>
        <v>0</v>
      </c>
      <c r="I38" s="87">
        <f>SUMIF('TB Apr 24'!$D$13:$D$103,'MIS Apr24'!$B38,'TB Apr 24'!H$13:H$103)</f>
        <v>0</v>
      </c>
      <c r="J38" s="546">
        <f t="shared" si="4"/>
        <v>0</v>
      </c>
      <c r="K38" s="87">
        <f>SUMIF('TB Apr 24'!$D$13:$D$103,'MIS Apr24'!$B38,'TB Apr 24'!I$13:I$103)</f>
        <v>0</v>
      </c>
      <c r="L38" s="546">
        <f t="shared" si="5"/>
        <v>0</v>
      </c>
      <c r="M38" s="87">
        <f>SUMIF('TB Apr 24'!$D$13:$D$103,'MIS Apr24'!$B38,'TB Apr 24'!J$13:J$103)</f>
        <v>0</v>
      </c>
      <c r="N38" s="546">
        <f t="shared" si="6"/>
        <v>0</v>
      </c>
      <c r="O38" s="87">
        <f>SUMIF('TB Apr 24'!$D$13:$D$103,'MIS Apr24'!$B38,'TB Apr 24'!K$13:K$103)</f>
        <v>0</v>
      </c>
      <c r="P38" s="546">
        <f t="shared" si="7"/>
        <v>0</v>
      </c>
      <c r="Q38" s="87">
        <f>SUMIF('TB Apr 24'!$D$13:$D$103,'MIS Apr24'!$B38,'TB Apr 24'!L$13:L$103)</f>
        <v>0</v>
      </c>
      <c r="R38" s="546">
        <f t="shared" si="8"/>
        <v>0</v>
      </c>
      <c r="S38" s="87">
        <f>SUMIF('TB Apr 24'!$D$13:$D$103,'MIS Apr24'!$B38,'TB Apr 24'!M$13:M$103)</f>
        <v>0</v>
      </c>
      <c r="T38" s="546">
        <f t="shared" si="9"/>
        <v>0</v>
      </c>
      <c r="U38" s="87">
        <f>SUMIF('TB Apr 24'!$D$13:$D$103,'MIS Apr24'!$B38,'TB Apr 24'!N$13:N$103)</f>
        <v>0</v>
      </c>
      <c r="V38" s="546">
        <f t="shared" si="10"/>
        <v>0</v>
      </c>
      <c r="W38" s="87">
        <f>SUMIF('TB Apr 24'!$D$13:$D$103,'MIS Apr24'!$B38,'TB Apr 24'!P$13:P$103)</f>
        <v>0</v>
      </c>
      <c r="X38" s="546">
        <f t="shared" si="11"/>
        <v>0</v>
      </c>
      <c r="Y38" s="87">
        <f>SUMIF('TB Apr 24'!$D$13:$D$103,'MIS Apr24'!$B38,'TB Apr 24'!Q$13:Q$103)</f>
        <v>0</v>
      </c>
      <c r="Z38" s="546">
        <f t="shared" si="12"/>
        <v>0</v>
      </c>
      <c r="AA38" s="87">
        <f>SUMIF('TB Apr 24'!$D$13:$D$103,'MIS Apr24'!$B38,'TB Apr 24'!R$13:R$103)</f>
        <v>0</v>
      </c>
      <c r="AB38" s="546">
        <f t="shared" si="13"/>
        <v>0</v>
      </c>
      <c r="AC38" s="87">
        <f>SUMIF('TB Apr 24'!$D$13:$D$103,'MIS Apr24'!$B38,'TB Apr 24'!S$13:S$103)</f>
        <v>0</v>
      </c>
      <c r="AD38" s="546">
        <f t="shared" si="14"/>
        <v>0</v>
      </c>
      <c r="AE38" s="87">
        <f>SUMIF('TB Apr 24'!$D$13:$D$103,'MIS Apr24'!$B38,'TB Apr 24'!T$13:T$103)</f>
        <v>0</v>
      </c>
      <c r="AF38" s="546">
        <f t="shared" si="15"/>
        <v>0</v>
      </c>
      <c r="AG38" s="87">
        <f>SUMIF('TB Apr 24'!$D$13:$D$103,'MIS Apr24'!$B38,'TB Apr 24'!U$13:U$103)</f>
        <v>0</v>
      </c>
      <c r="AH38" s="546">
        <f t="shared" si="16"/>
        <v>0</v>
      </c>
      <c r="AI38" s="87">
        <f>SUMIF('TB Apr 24'!$D$13:$D$103,'MIS Apr24'!$B38,'TB Apr 24'!V$13:V$103)</f>
        <v>0</v>
      </c>
      <c r="AJ38" s="546">
        <f t="shared" si="17"/>
        <v>0</v>
      </c>
      <c r="AK38" s="87">
        <f>SUMIF('TB Apr 24'!$D$13:$D$103,'MIS Apr24'!$B38,'TB Apr 24'!W$13:W$103)</f>
        <v>0</v>
      </c>
      <c r="AL38" s="546">
        <f t="shared" si="18"/>
        <v>0</v>
      </c>
      <c r="AM38" s="87">
        <f>SUMIF('TB Apr 24'!$D$13:$D$103,'MIS Apr24'!$B38,'TB Apr 24'!X$13:X$103)</f>
        <v>0</v>
      </c>
      <c r="AN38" s="546">
        <f t="shared" si="19"/>
        <v>0</v>
      </c>
      <c r="AO38" s="87">
        <f>SUMIF('TB Apr 24'!$D$13:$D$103,'MIS Apr24'!$B38,'TB Apr 24'!Y$13:Y$103)</f>
        <v>0</v>
      </c>
      <c r="AP38" s="546">
        <f t="shared" si="20"/>
        <v>0</v>
      </c>
      <c r="AQ38" s="87">
        <f>SUMIF('TB Apr 24'!$D$13:$D$103,'MIS Apr24'!$B38,'TB Apr 24'!Z$13:Z$103)</f>
        <v>0</v>
      </c>
      <c r="AR38" s="546">
        <f t="shared" si="21"/>
        <v>0</v>
      </c>
      <c r="AS38" s="87">
        <f>SUMIF('TB Apr 24'!$D$13:$D$103,'MIS Apr24'!$B38,'TB Apr 24'!AA$13:AA$103)</f>
        <v>0</v>
      </c>
      <c r="AT38" s="546">
        <f t="shared" si="22"/>
        <v>0</v>
      </c>
      <c r="AU38" s="87">
        <f>SUMIF('TB Apr 24'!$D$13:$D$103,'MIS Apr24'!$B38,'TB Apr 24'!AB$13:AB$103)</f>
        <v>0</v>
      </c>
      <c r="AV38" s="546">
        <f t="shared" si="23"/>
        <v>0</v>
      </c>
      <c r="AW38" s="87">
        <f>SUMIF('TB Apr 24'!$D$13:$D$103,'MIS Apr24'!$B38,'TB Apr 24'!AC$13:AC$103)</f>
        <v>0</v>
      </c>
      <c r="AX38" s="546">
        <f t="shared" si="24"/>
        <v>0</v>
      </c>
      <c r="AY38" s="87">
        <f>SUMIF('TB Apr 24'!$D$13:$D$103,'MIS Apr24'!$B38,'TB Apr 24'!AD$13:AD$103)</f>
        <v>0</v>
      </c>
      <c r="AZ38" s="546">
        <f t="shared" si="25"/>
        <v>0</v>
      </c>
      <c r="BA38" s="87">
        <f>SUMIF('TB Apr 24'!$D$13:$D$103,'MIS Apr24'!$B38,'TB Apr 24'!AE$13:AE$103)</f>
        <v>0</v>
      </c>
      <c r="BB38" s="546">
        <f t="shared" si="26"/>
        <v>0</v>
      </c>
      <c r="BC38" s="87">
        <f>SUMIF('TB Apr 24'!$D$13:$D$103,'MIS Apr24'!$B38,'TB Apr 24'!AF$13:AF$103)</f>
        <v>0</v>
      </c>
      <c r="BD38" s="546">
        <f t="shared" si="27"/>
        <v>0</v>
      </c>
      <c r="BE38" s="87">
        <f>SUMIF('TB Apr 24'!$D$13:$D$103,'MIS Apr24'!$B38,'TB Apr 24'!AG$13:AG$103)</f>
        <v>0</v>
      </c>
      <c r="BF38" s="546">
        <f t="shared" si="28"/>
        <v>0</v>
      </c>
      <c r="BG38" s="87">
        <f>SUMIF('TB Apr 24'!$D$13:$D$103,'MIS Apr24'!$B38,'TB Apr 24'!AH$13:AH$103)</f>
        <v>0</v>
      </c>
      <c r="BH38" s="546">
        <f t="shared" si="29"/>
        <v>0</v>
      </c>
      <c r="BI38" s="87">
        <f>SUMIF('TB Apr 24'!$D$13:$D$103,'MIS Apr24'!$B38,'TB Apr 24'!AI$13:AI$103)</f>
        <v>0</v>
      </c>
      <c r="BJ38" s="546">
        <f t="shared" si="30"/>
        <v>0</v>
      </c>
      <c r="BK38" s="87">
        <f>SUMIF('TB Apr 24'!$D$13:$D$103,'MIS Apr24'!$B38,'TB Apr 24'!AJ$13:AJ$103)</f>
        <v>0</v>
      </c>
      <c r="BL38" s="546">
        <f t="shared" si="31"/>
        <v>0</v>
      </c>
      <c r="BM38" s="87">
        <f>SUMIF('TB Apr 24'!$D$13:$D$103,'MIS Apr24'!$B38,'TB Apr 24'!AK$13:AK$103)</f>
        <v>0</v>
      </c>
      <c r="BN38" s="546">
        <f t="shared" si="32"/>
        <v>0</v>
      </c>
      <c r="BO38" s="87">
        <f>SUMIF('TB Apr 24'!$D$13:$D$103,'MIS Apr24'!$B38,'TB Apr 24'!AL$13:AL$103)</f>
        <v>0</v>
      </c>
      <c r="BP38" s="546">
        <f t="shared" si="33"/>
        <v>0</v>
      </c>
      <c r="BQ38" s="87">
        <f>SUMIF('TB Apr 24'!$D$13:$D$103,'MIS Apr24'!$B38,'TB Apr 24'!AM$13:AM$103)</f>
        <v>0</v>
      </c>
      <c r="BR38" s="546">
        <f t="shared" si="34"/>
        <v>0</v>
      </c>
      <c r="BS38" s="87">
        <f>SUMIF('TB Apr 24'!$D$13:$D$103,'MIS Apr24'!$B38,'TB Apr 24'!AN$13:AN$103)</f>
        <v>0</v>
      </c>
      <c r="BT38" s="546">
        <f t="shared" si="35"/>
        <v>0</v>
      </c>
      <c r="BU38" s="87">
        <f>SUMIF('TB Apr 24'!$D$13:$D$103,'MIS Apr24'!$B38,'TB Apr 24'!AO$13:AO$103)</f>
        <v>0</v>
      </c>
      <c r="BV38" s="546">
        <f t="shared" si="36"/>
        <v>0</v>
      </c>
      <c r="BW38" s="87">
        <f>SUMIF('TB Apr 24'!$D$13:$D$103,'MIS Apr24'!$B38,'TB Apr 24'!AP$13:AP$103)</f>
        <v>0</v>
      </c>
      <c r="BX38" s="546">
        <f t="shared" si="37"/>
        <v>0</v>
      </c>
      <c r="BY38" s="87">
        <f>SUMIF('TB Apr 24'!$D$13:$D$103,'MIS Apr24'!$B38,'TB Apr 24'!AQ$13:AQ$103)</f>
        <v>0</v>
      </c>
      <c r="BZ38" s="546">
        <f t="shared" si="38"/>
        <v>0</v>
      </c>
      <c r="CA38" s="87">
        <f>SUMIF('TB Apr 24'!$D$13:$D$103,'MIS Apr24'!$B38,'TB Apr 24'!AR$13:AR$103)</f>
        <v>0</v>
      </c>
      <c r="CB38" s="546">
        <f t="shared" si="39"/>
        <v>0</v>
      </c>
      <c r="CC38" s="87">
        <f>SUMIF('TB Apr 24'!$D$13:$D$103,'MIS Apr24'!$B38,'TB Apr 24'!AS$13:AS$103)</f>
        <v>0</v>
      </c>
      <c r="CD38" s="546">
        <f t="shared" si="40"/>
        <v>0</v>
      </c>
      <c r="CE38" s="87">
        <f>SUMIF('TB Apr 24'!$D$13:$D$103,'MIS Apr24'!$B38,'TB Apr 24'!AT$13:AT$103)</f>
        <v>0</v>
      </c>
      <c r="CF38" s="546">
        <f t="shared" si="41"/>
        <v>0</v>
      </c>
      <c r="CG38" s="87">
        <f>SUMIF('TB Apr 24'!$D$13:$D$103,'MIS Apr24'!$B38,'TB Apr 24'!AU$13:AU$103)</f>
        <v>0</v>
      </c>
      <c r="CH38" s="546">
        <f t="shared" si="42"/>
        <v>0</v>
      </c>
      <c r="CI38" s="87">
        <f>SUMIF('TB Apr 24'!$D$13:$D$103,'MIS Apr24'!$B38,'TB Apr 24'!AV$13:AV$103)</f>
        <v>0</v>
      </c>
      <c r="CJ38" s="546">
        <f t="shared" si="43"/>
        <v>0</v>
      </c>
      <c r="CK38" s="87">
        <f>SUMIF('TB Apr 24'!$D$13:$D$103,'MIS Apr24'!$B38,'TB Apr 24'!AW$13:AW$103)</f>
        <v>0</v>
      </c>
      <c r="CL38" s="546">
        <f t="shared" si="44"/>
        <v>0</v>
      </c>
      <c r="CM38" s="87">
        <f>SUMIF('TB Apr 24'!$D$13:$D$103,'MIS Apr24'!$B38,'TB Apr 24'!AX$13:AX$103)</f>
        <v>0</v>
      </c>
      <c r="CN38" s="546">
        <f t="shared" si="45"/>
        <v>0</v>
      </c>
      <c r="CO38" s="87">
        <f>SUMIF('TB Apr 24'!$D$13:$D$103,'MIS Apr24'!$B38,'TB Apr 24'!AY$13:AY$103)</f>
        <v>0</v>
      </c>
      <c r="CP38" s="546">
        <f t="shared" si="46"/>
        <v>0</v>
      </c>
      <c r="CQ38" s="87">
        <f>SUMIF('TB Apr 24'!$D$13:$D$103,'MIS Apr24'!$B38,'TB Apr 24'!AZ$13:AZ$103)</f>
        <v>0</v>
      </c>
      <c r="CR38" s="546">
        <f t="shared" si="47"/>
        <v>0</v>
      </c>
      <c r="CS38" s="87">
        <f>SUMIF('TB Apr 24'!$D$13:$D$103,'MIS Apr24'!$B38,'TB Apr 24'!BA$13:BA$103)</f>
        <v>0</v>
      </c>
      <c r="CT38" s="546">
        <f t="shared" si="48"/>
        <v>0</v>
      </c>
      <c r="CU38" s="87">
        <f>SUMIF('TB Apr 24'!$D$13:$D$103,'MIS Apr24'!$B38,'TB Apr 24'!BB$13:BB$103)</f>
        <v>0</v>
      </c>
      <c r="CV38" s="546">
        <f t="shared" si="49"/>
        <v>0</v>
      </c>
      <c r="CW38" s="87">
        <f>SUMIF('TB Apr 24'!$D$13:$D$103,'MIS Apr24'!$B38,'TB Apr 24'!BC$13:BC$103)</f>
        <v>0</v>
      </c>
      <c r="CX38" s="546">
        <f t="shared" si="50"/>
        <v>0</v>
      </c>
      <c r="CY38" s="87">
        <f>SUMIF('TB Apr 24'!$D$13:$D$103,'MIS Apr24'!$B38,'TB Apr 24'!BD$13:BD$103)</f>
        <v>0</v>
      </c>
      <c r="CZ38" s="546">
        <f t="shared" si="51"/>
        <v>0</v>
      </c>
      <c r="DA38" s="87">
        <f>SUMIF('TB Apr 24'!$D$13:$D$103,'MIS Apr24'!$B38,'TB Apr 24'!O$13:O$103)</f>
        <v>0</v>
      </c>
      <c r="DB38" s="546">
        <f t="shared" si="52"/>
        <v>0</v>
      </c>
      <c r="DC38" s="87">
        <f>SUM(C38,E38,I38,K38,M38,O38,S38,U38,AA38,AC38,AG38,AK38,AM38,AO38,AQ38,AS38,AW38,AY38,BA38,BC38,BE38,BG38,BI38,BK38,BU38,BW38,CA38,CC38,CE38,CI38,CK38,CM38,CS38,CU38,CW38,CY38,DA38)</f>
        <v>0</v>
      </c>
      <c r="DD38" s="546">
        <f t="shared" si="53"/>
        <v>0</v>
      </c>
      <c r="DE38" s="87"/>
      <c r="DF38" s="546">
        <f t="shared" si="54"/>
        <v>0</v>
      </c>
      <c r="DG38" s="87">
        <f>DE38-DC38</f>
        <v>0</v>
      </c>
      <c r="DH38" s="546">
        <f t="shared" si="55"/>
        <v>0</v>
      </c>
    </row>
    <row r="39" spans="2:113" x14ac:dyDescent="0.35">
      <c r="B39" s="18" t="s">
        <v>262</v>
      </c>
      <c r="C39" s="532">
        <f>SUM(C40:C51)</f>
        <v>159908.03999999998</v>
      </c>
      <c r="D39" s="531">
        <f t="shared" si="56"/>
        <v>0.13247194612654228</v>
      </c>
      <c r="E39" s="532">
        <f>SUM(E40:E51)</f>
        <v>209334.24000000002</v>
      </c>
      <c r="F39" s="531">
        <f t="shared" si="56"/>
        <v>0.12714866427891985</v>
      </c>
      <c r="G39" s="532">
        <f>SUM(G41:G51)</f>
        <v>0</v>
      </c>
      <c r="H39" s="531">
        <f t="shared" si="3"/>
        <v>0</v>
      </c>
      <c r="I39" s="532">
        <f>SUM(I40:I51)</f>
        <v>189929.07</v>
      </c>
      <c r="J39" s="531">
        <f t="shared" si="4"/>
        <v>6.222419809416993E-2</v>
      </c>
      <c r="K39" s="532">
        <f>SUM(K40:K51)</f>
        <v>206135.88000000006</v>
      </c>
      <c r="L39" s="531">
        <f t="shared" si="5"/>
        <v>0.21426616261618148</v>
      </c>
      <c r="M39" s="532">
        <f>SUM(M40:M51)</f>
        <v>218766.22999999998</v>
      </c>
      <c r="N39" s="531">
        <f t="shared" si="6"/>
        <v>9.4188446361828632E-2</v>
      </c>
      <c r="O39" s="532">
        <f>SUM(O40:O51)</f>
        <v>275607.93999999994</v>
      </c>
      <c r="P39" s="531">
        <f t="shared" si="7"/>
        <v>8.186308337632045E-2</v>
      </c>
      <c r="Q39" s="532">
        <f>SUM(Q40:Q51)</f>
        <v>0</v>
      </c>
      <c r="R39" s="531">
        <f t="shared" si="8"/>
        <v>0</v>
      </c>
      <c r="S39" s="532">
        <f>SUM(S40:S51)</f>
        <v>262946.36</v>
      </c>
      <c r="T39" s="531">
        <f t="shared" si="9"/>
        <v>6.9929757396021461E-2</v>
      </c>
      <c r="U39" s="532">
        <f>SUM(U40:U51)</f>
        <v>166647.41</v>
      </c>
      <c r="V39" s="531">
        <f t="shared" si="10"/>
        <v>5.914366575902389E-2</v>
      </c>
      <c r="W39" s="532">
        <f>SUM(W40:W51)</f>
        <v>0</v>
      </c>
      <c r="X39" s="531">
        <f t="shared" si="11"/>
        <v>0</v>
      </c>
      <c r="Y39" s="532">
        <f>SUM(Y40:Y51)</f>
        <v>0</v>
      </c>
      <c r="Z39" s="531">
        <f t="shared" si="12"/>
        <v>0</v>
      </c>
      <c r="AA39" s="532">
        <f>SUM(AA40:AA51)</f>
        <v>398294.68</v>
      </c>
      <c r="AB39" s="531">
        <f t="shared" si="13"/>
        <v>0.12659194931187343</v>
      </c>
      <c r="AC39" s="532">
        <f>SUM(AC40:AC51)</f>
        <v>362114.29</v>
      </c>
      <c r="AD39" s="531">
        <f t="shared" si="14"/>
        <v>0.15948103678847539</v>
      </c>
      <c r="AE39" s="532">
        <f>SUM(AE40:AE51)</f>
        <v>0</v>
      </c>
      <c r="AF39" s="531">
        <f t="shared" si="15"/>
        <v>0</v>
      </c>
      <c r="AG39" s="532">
        <f>SUM(AG40:AG51)</f>
        <v>525562.6</v>
      </c>
      <c r="AH39" s="531">
        <f t="shared" si="16"/>
        <v>0.14140356793897138</v>
      </c>
      <c r="AI39" s="532">
        <f>SUM(AI40:AI51)</f>
        <v>0</v>
      </c>
      <c r="AJ39" s="531">
        <f t="shared" si="17"/>
        <v>0</v>
      </c>
      <c r="AK39" s="532">
        <f>SUM(AK40:AK51)</f>
        <v>157310.32666666666</v>
      </c>
      <c r="AL39" s="531">
        <f t="shared" si="18"/>
        <v>0.14533146898756288</v>
      </c>
      <c r="AM39" s="532">
        <f>SUM(AM40:AM51)</f>
        <v>239729.44666666666</v>
      </c>
      <c r="AN39" s="531">
        <f t="shared" si="19"/>
        <v>0.11717060330621439</v>
      </c>
      <c r="AO39" s="532">
        <f>SUM(AO40:AO51)</f>
        <v>181049.26666666666</v>
      </c>
      <c r="AP39" s="531">
        <f t="shared" si="20"/>
        <v>0.10274641861871045</v>
      </c>
      <c r="AQ39" s="532">
        <f>SUM(AQ40:AQ51)</f>
        <v>310063.685</v>
      </c>
      <c r="AR39" s="531">
        <f t="shared" si="21"/>
        <v>0.2100143217282146</v>
      </c>
      <c r="AS39" s="532">
        <f>SUM(AS40:AS51)</f>
        <v>197493.91499999998</v>
      </c>
      <c r="AT39" s="531">
        <f t="shared" si="22"/>
        <v>0.10581511689928381</v>
      </c>
      <c r="AU39" s="532">
        <f>SUM(AU40:AU51)</f>
        <v>0</v>
      </c>
      <c r="AV39" s="531">
        <f t="shared" si="23"/>
        <v>0</v>
      </c>
      <c r="AW39" s="532">
        <f>SUM(AW40:AW51)</f>
        <v>323271.88499999995</v>
      </c>
      <c r="AX39" s="531">
        <f t="shared" si="24"/>
        <v>8.724094137097195E-2</v>
      </c>
      <c r="AY39" s="532">
        <f>SUM(AY40:AY51)</f>
        <v>473459.67500000005</v>
      </c>
      <c r="AZ39" s="531">
        <f t="shared" si="25"/>
        <v>0.11353565546183619</v>
      </c>
      <c r="BA39" s="532">
        <f>SUM(BA40:BA51)</f>
        <v>242704.89499999999</v>
      </c>
      <c r="BB39" s="531">
        <f t="shared" si="26"/>
        <v>0.73725748287279391</v>
      </c>
      <c r="BC39" s="532">
        <f>SUM(BC40:BC51)</f>
        <v>280830.29499999998</v>
      </c>
      <c r="BD39" s="531">
        <f t="shared" si="27"/>
        <v>0.13477192231244514</v>
      </c>
      <c r="BE39" s="532">
        <f>SUM(BE40:BE51)</f>
        <v>203638.95499999999</v>
      </c>
      <c r="BF39" s="531">
        <f t="shared" si="28"/>
        <v>0.12688182265150769</v>
      </c>
      <c r="BG39" s="532">
        <f>SUM(BG40:BG51)</f>
        <v>417356.63500000013</v>
      </c>
      <c r="BH39" s="531">
        <f t="shared" si="29"/>
        <v>0.22682158350657761</v>
      </c>
      <c r="BI39" s="532">
        <f>SUM(BI40:BI51)</f>
        <v>328757.71999999997</v>
      </c>
      <c r="BJ39" s="531">
        <f t="shared" si="30"/>
        <v>0.17493685059688008</v>
      </c>
      <c r="BK39" s="532">
        <f>SUM(BK40:BK51)</f>
        <v>195727.3</v>
      </c>
      <c r="BL39" s="531">
        <f t="shared" si="31"/>
        <v>8.5209908539360196E-2</v>
      </c>
      <c r="BM39" s="532">
        <f>SUM(BM40:BM51)</f>
        <v>0</v>
      </c>
      <c r="BN39" s="531">
        <f t="shared" si="32"/>
        <v>0</v>
      </c>
      <c r="BO39" s="532">
        <f>SUM(BO40:BO51)</f>
        <v>0</v>
      </c>
      <c r="BP39" s="531">
        <f t="shared" si="33"/>
        <v>0</v>
      </c>
      <c r="BQ39" s="532">
        <f>SUM(BQ40:BQ51)</f>
        <v>0</v>
      </c>
      <c r="BR39" s="531">
        <f t="shared" si="34"/>
        <v>0</v>
      </c>
      <c r="BS39" s="532">
        <f>SUM(BS40:BS51)</f>
        <v>0</v>
      </c>
      <c r="BT39" s="531">
        <f t="shared" si="35"/>
        <v>0</v>
      </c>
      <c r="BU39" s="532">
        <f>SUM(BU40:BU51)</f>
        <v>293307.43</v>
      </c>
      <c r="BV39" s="531">
        <f t="shared" si="36"/>
        <v>5.9188085426469271E-2</v>
      </c>
      <c r="BW39" s="532">
        <f>SUM(BW40:BW51)</f>
        <v>188629.3</v>
      </c>
      <c r="BX39" s="531">
        <f t="shared" si="37"/>
        <v>0.7870671490146498</v>
      </c>
      <c r="BY39" s="532">
        <f>SUM(BY40:BY51)</f>
        <v>0</v>
      </c>
      <c r="BZ39" s="531">
        <f t="shared" si="38"/>
        <v>0</v>
      </c>
      <c r="CA39" s="532">
        <f>SUM(CA40:CA51)</f>
        <v>487547.79999999993</v>
      </c>
      <c r="CB39" s="531">
        <f t="shared" si="39"/>
        <v>8.5844239273808867E-2</v>
      </c>
      <c r="CC39" s="532">
        <f>SUM(CC40:CC51)</f>
        <v>243854.31999999998</v>
      </c>
      <c r="CD39" s="531">
        <f t="shared" si="40"/>
        <v>0.11309705658323412</v>
      </c>
      <c r="CE39" s="532">
        <f>SUM(CE40:CE51)</f>
        <v>354428.95</v>
      </c>
      <c r="CF39" s="531">
        <f t="shared" si="41"/>
        <v>0.21963700928938595</v>
      </c>
      <c r="CG39" s="532">
        <f>SUM(CG40:CG51)</f>
        <v>0</v>
      </c>
      <c r="CH39" s="531">
        <f t="shared" si="42"/>
        <v>0</v>
      </c>
      <c r="CI39" s="532">
        <f>SUM(CI40:CI51)</f>
        <v>224153.46000000002</v>
      </c>
      <c r="CJ39" s="531">
        <f t="shared" si="43"/>
        <v>0.10634113839274613</v>
      </c>
      <c r="CK39" s="532">
        <f>SUM(CK40:CK51)</f>
        <v>242035.74</v>
      </c>
      <c r="CL39" s="531">
        <f t="shared" si="44"/>
        <v>0.11618949136362865</v>
      </c>
      <c r="CM39" s="532">
        <f>SUM(CM40:CM51)</f>
        <v>251278.68</v>
      </c>
      <c r="CN39" s="531">
        <f t="shared" si="45"/>
        <v>0.21972841923147626</v>
      </c>
      <c r="CO39" s="532">
        <f>SUM(CO40:CO51)</f>
        <v>0</v>
      </c>
      <c r="CP39" s="531">
        <f t="shared" si="46"/>
        <v>0</v>
      </c>
      <c r="CQ39" s="532">
        <f>SUM(CQ40:CQ51)</f>
        <v>0</v>
      </c>
      <c r="CR39" s="531">
        <f t="shared" si="47"/>
        <v>0</v>
      </c>
      <c r="CS39" s="532">
        <f>SUM(CS40:CS51)</f>
        <v>372730.83</v>
      </c>
      <c r="CT39" s="531">
        <f t="shared" si="48"/>
        <v>0.13898026298709804</v>
      </c>
      <c r="CU39" s="532">
        <f>SUM(CU40:CU51)</f>
        <v>333815.03000000003</v>
      </c>
      <c r="CV39" s="531">
        <f t="shared" si="49"/>
        <v>0.26810791059597788</v>
      </c>
      <c r="CW39" s="532">
        <f>SUM(CW40:CW51)</f>
        <v>517548.15</v>
      </c>
      <c r="CX39" s="531">
        <f t="shared" si="50"/>
        <v>0.13004869335736022</v>
      </c>
      <c r="CY39" s="532">
        <f>SUM(CY40:CY51)</f>
        <v>270040.75</v>
      </c>
      <c r="CZ39" s="531">
        <f t="shared" si="51"/>
        <v>0.43820998229895591</v>
      </c>
      <c r="DA39" s="532">
        <f>SUM(DA40:DA51)</f>
        <v>1516687.8</v>
      </c>
      <c r="DB39" s="531">
        <f t="shared" si="52"/>
        <v>0</v>
      </c>
      <c r="DC39" s="532">
        <f>SUM(DC40:DC51)</f>
        <v>11822698.98</v>
      </c>
      <c r="DD39" s="531">
        <f t="shared" si="53"/>
        <v>0.14259036819346238</v>
      </c>
      <c r="DE39" s="532">
        <f>SUM(DE41:DE51)</f>
        <v>0</v>
      </c>
      <c r="DF39" s="531">
        <f t="shared" si="54"/>
        <v>0</v>
      </c>
      <c r="DG39" s="532">
        <f>SUM(DG41:DG51)</f>
        <v>-10119004.300000001</v>
      </c>
      <c r="DH39" s="531">
        <f t="shared" si="55"/>
        <v>0.12204256839568363</v>
      </c>
      <c r="DI39" s="499"/>
    </row>
    <row r="40" spans="2:113" outlineLevel="1" x14ac:dyDescent="0.35">
      <c r="B40" s="17" t="s">
        <v>298</v>
      </c>
      <c r="C40" s="87">
        <f>SUMIF('TB Apr 24'!$D$13:$D$103,'MIS Apr24'!$B40,'TB Apr 24'!E$13:E$103)</f>
        <v>32249.039999999997</v>
      </c>
      <c r="D40" s="546">
        <f>IFERROR(C40/C$8,0)</f>
        <v>2.6715936794126847E-2</v>
      </c>
      <c r="E40" s="87">
        <f>SUMIF('TB Apr 24'!$D$13:$D$103,'MIS Apr24'!$B40,'TB Apr 24'!F$13:F$103)</f>
        <v>35394.24000000002</v>
      </c>
      <c r="F40" s="546">
        <f>IFERROR(E40/E$8,0)</f>
        <v>2.149830022631519E-2</v>
      </c>
      <c r="G40" s="87">
        <f>SUMIF('TB Apr 24'!$D$13:$D$103,'MIS Apr24'!$B40,'TB Apr 24'!G$13:G$103)</f>
        <v>0</v>
      </c>
      <c r="H40" s="546">
        <f t="shared" si="3"/>
        <v>0</v>
      </c>
      <c r="I40" s="87">
        <f>SUMIF('TB Apr 24'!$D$13:$D$103,'MIS Apr24'!$B40,'TB Apr 24'!H$13:H$103)</f>
        <v>28894.07</v>
      </c>
      <c r="J40" s="546">
        <f t="shared" si="4"/>
        <v>9.4662198652729276E-3</v>
      </c>
      <c r="K40" s="87">
        <f>SUMIF('TB Apr 24'!$D$13:$D$103,'MIS Apr24'!$B40,'TB Apr 24'!I$13:I$103)</f>
        <v>98653.880000000077</v>
      </c>
      <c r="L40" s="546">
        <f t="shared" si="5"/>
        <v>0.10254492471081339</v>
      </c>
      <c r="M40" s="87">
        <f>SUMIF('TB Apr 24'!$D$13:$D$103,'MIS Apr24'!$B40,'TB Apr 24'!J$13:J$103)</f>
        <v>53926.979999999967</v>
      </c>
      <c r="N40" s="546">
        <f t="shared" si="6"/>
        <v>2.3217927479873848E-2</v>
      </c>
      <c r="O40" s="87">
        <f>SUMIF('TB Apr 24'!$D$13:$D$103,'MIS Apr24'!$B40,'TB Apr 24'!K$13:K$103)</f>
        <v>106312.68999999997</v>
      </c>
      <c r="P40" s="546">
        <f t="shared" si="7"/>
        <v>3.1577771690579411E-2</v>
      </c>
      <c r="Q40" s="87">
        <f>SUMIF('TB Apr 24'!$D$13:$D$103,'MIS Apr24'!$B40,'TB Apr 24'!L$13:L$103)</f>
        <v>0</v>
      </c>
      <c r="R40" s="546">
        <f t="shared" si="8"/>
        <v>0</v>
      </c>
      <c r="S40" s="87">
        <f>SUMIF('TB Apr 24'!$D$13:$D$103,'MIS Apr24'!$B40,'TB Apr 24'!M$13:M$103)</f>
        <v>65176.110000000015</v>
      </c>
      <c r="T40" s="546">
        <f t="shared" si="9"/>
        <v>1.7333381455884804E-2</v>
      </c>
      <c r="U40" s="87">
        <f>SUMIF('TB Apr 24'!$D$13:$D$103,'MIS Apr24'!$B40,'TB Apr 24'!N$13:N$103)</f>
        <v>21065.159999999996</v>
      </c>
      <c r="V40" s="546">
        <f t="shared" si="10"/>
        <v>7.4760884804651899E-3</v>
      </c>
      <c r="W40" s="87">
        <f>SUMIF('TB Apr 24'!$D$13:$D$103,'MIS Apr24'!$B40,'TB Apr 24'!P$13:P$103)</f>
        <v>0</v>
      </c>
      <c r="X40" s="546">
        <f t="shared" si="11"/>
        <v>0</v>
      </c>
      <c r="Y40" s="87">
        <f>SUMIF('TB Apr 24'!$D$13:$D$103,'MIS Apr24'!$B40,'TB Apr 24'!Q$13:Q$103)</f>
        <v>0</v>
      </c>
      <c r="Z40" s="546">
        <f t="shared" si="12"/>
        <v>0</v>
      </c>
      <c r="AA40" s="87">
        <f>SUMIF('TB Apr 24'!$D$13:$D$103,'MIS Apr24'!$B40,'TB Apr 24'!R$13:R$103)</f>
        <v>95718.180000000008</v>
      </c>
      <c r="AB40" s="546">
        <f t="shared" si="13"/>
        <v>3.0422578053979476E-2</v>
      </c>
      <c r="AC40" s="87">
        <f>SUMIF('TB Apr 24'!$D$13:$D$103,'MIS Apr24'!$B40,'TB Apr 24'!S$13:S$103)</f>
        <v>44823.289999999994</v>
      </c>
      <c r="AD40" s="546">
        <f t="shared" si="14"/>
        <v>1.974090766059108E-2</v>
      </c>
      <c r="AE40" s="87">
        <f>SUMIF('TB Apr 24'!$D$13:$D$103,'MIS Apr24'!$B40,'TB Apr 24'!T$13:T$103)</f>
        <v>0</v>
      </c>
      <c r="AF40" s="546">
        <f t="shared" si="15"/>
        <v>0</v>
      </c>
      <c r="AG40" s="87">
        <f>SUMIF('TB Apr 24'!$D$13:$D$103,'MIS Apr24'!$B40,'TB Apr 24'!U$13:U$103)</f>
        <v>44441.599999999999</v>
      </c>
      <c r="AH40" s="546">
        <f t="shared" si="16"/>
        <v>1.1957092846630621E-2</v>
      </c>
      <c r="AI40" s="87">
        <f>SUMIF('TB Apr 24'!$D$13:$D$103,'MIS Apr24'!$B40,'TB Apr 24'!V$13:V$103)</f>
        <v>0</v>
      </c>
      <c r="AJ40" s="546">
        <f t="shared" si="17"/>
        <v>0</v>
      </c>
      <c r="AK40" s="87">
        <f>SUMIF('TB Apr 24'!$D$13:$D$103,'MIS Apr24'!$B40,'TB Apr 24'!W$13:W$103)</f>
        <v>11831.659999999996</v>
      </c>
      <c r="AL40" s="546">
        <f t="shared" si="18"/>
        <v>1.0930703436939367E-2</v>
      </c>
      <c r="AM40" s="87">
        <f>SUMIF('TB Apr 24'!$D$13:$D$103,'MIS Apr24'!$B40,'TB Apr 24'!X$13:X$103)</f>
        <v>41059.78</v>
      </c>
      <c r="AN40" s="546">
        <f t="shared" si="19"/>
        <v>2.0068453254763984E-2</v>
      </c>
      <c r="AO40" s="87">
        <f>SUMIF('TB Apr 24'!$D$13:$D$103,'MIS Apr24'!$B40,'TB Apr 24'!Y$13:Y$103)</f>
        <v>17365.599999999999</v>
      </c>
      <c r="AP40" s="546">
        <f t="shared" si="20"/>
        <v>9.8550700591905818E-3</v>
      </c>
      <c r="AQ40" s="87">
        <f>SUMIF('TB Apr 24'!$D$13:$D$103,'MIS Apr24'!$B40,'TB Apr 24'!Z$13:Z$103)</f>
        <v>63800.81</v>
      </c>
      <c r="AR40" s="546">
        <f t="shared" si="21"/>
        <v>4.3213973406336481E-2</v>
      </c>
      <c r="AS40" s="87">
        <f>SUMIF('TB Apr 24'!$D$13:$D$103,'MIS Apr24'!$B40,'TB Apr 24'!AA$13:AA$103)</f>
        <v>93324.039999999979</v>
      </c>
      <c r="AT40" s="546">
        <f t="shared" si="22"/>
        <v>5.0002017541216082E-2</v>
      </c>
      <c r="AU40" s="87">
        <f>SUMIF('TB Apr 24'!$D$13:$D$103,'MIS Apr24'!$B40,'TB Apr 24'!AB$13:AB$103)</f>
        <v>0</v>
      </c>
      <c r="AV40" s="546">
        <f t="shared" si="23"/>
        <v>0</v>
      </c>
      <c r="AW40" s="87">
        <f>SUMIF('TB Apr 24'!$D$13:$D$103,'MIS Apr24'!$B40,'TB Apr 24'!AC$13:AC$103)</f>
        <v>122148.00999999995</v>
      </c>
      <c r="AX40" s="546">
        <f t="shared" si="24"/>
        <v>3.296391636096313E-2</v>
      </c>
      <c r="AY40" s="87">
        <f>SUMIF('TB Apr 24'!$D$13:$D$103,'MIS Apr24'!$B40,'TB Apr 24'!AD$13:AD$103)</f>
        <v>187503.80000000008</v>
      </c>
      <c r="AZ40" s="546">
        <f t="shared" si="25"/>
        <v>4.4963421297885713E-2</v>
      </c>
      <c r="BA40" s="87">
        <f>SUMIF('TB Apr 24'!$D$13:$D$103,'MIS Apr24'!$B40,'TB Apr 24'!AE$13:AE$103)</f>
        <v>8377.0199999999986</v>
      </c>
      <c r="BB40" s="546">
        <f t="shared" si="26"/>
        <v>2.54466259494892E-2</v>
      </c>
      <c r="BC40" s="87">
        <f>SUMIF('TB Apr 24'!$D$13:$D$103,'MIS Apr24'!$B40,'TB Apr 24'!AF$13:AF$103)</f>
        <v>21047.420000000002</v>
      </c>
      <c r="BD40" s="546">
        <f t="shared" si="27"/>
        <v>1.0100766561233732E-2</v>
      </c>
      <c r="BE40" s="87">
        <f>SUMIF('TB Apr 24'!$D$13:$D$103,'MIS Apr24'!$B40,'TB Apr 24'!AG$13:AG$103)</f>
        <v>27833.079999999994</v>
      </c>
      <c r="BF40" s="546">
        <f t="shared" si="28"/>
        <v>1.7342025352689642E-2</v>
      </c>
      <c r="BG40" s="87">
        <f>SUMIF('TB Apr 24'!$D$13:$D$103,'MIS Apr24'!$B40,'TB Apr 24'!AH$13:AH$103)</f>
        <v>139118.76000000015</v>
      </c>
      <c r="BH40" s="546">
        <f t="shared" si="29"/>
        <v>7.5607130191356745E-2</v>
      </c>
      <c r="BI40" s="87">
        <f>SUMIF('TB Apr 24'!$D$13:$D$103,'MIS Apr24'!$B40,'TB Apr 24'!AI$13:AI$103)</f>
        <v>18340.419999999998</v>
      </c>
      <c r="BJ40" s="546">
        <f t="shared" si="30"/>
        <v>9.7592090413086922E-3</v>
      </c>
      <c r="BK40" s="87">
        <f>SUMIF('TB Apr 24'!$D$13:$D$103,'MIS Apr24'!$B40,'TB Apr 24'!AJ$13:AJ$103)</f>
        <v>0</v>
      </c>
      <c r="BL40" s="546">
        <f t="shared" si="31"/>
        <v>0</v>
      </c>
      <c r="BM40" s="87">
        <f>SUMIF('TB Apr 24'!$D$13:$D$103,'MIS Apr24'!$B40,'TB Apr 24'!AK$13:AK$103)</f>
        <v>0</v>
      </c>
      <c r="BN40" s="546">
        <f t="shared" si="32"/>
        <v>0</v>
      </c>
      <c r="BO40" s="87">
        <f>SUMIF('TB Apr 24'!$D$13:$D$103,'MIS Apr24'!$B40,'TB Apr 24'!AL$13:AL$103)</f>
        <v>0</v>
      </c>
      <c r="BP40" s="546">
        <f t="shared" si="33"/>
        <v>0</v>
      </c>
      <c r="BQ40" s="87">
        <f>SUMIF('TB Apr 24'!$D$13:$D$103,'MIS Apr24'!$B40,'TB Apr 24'!AM$13:AM$103)</f>
        <v>0</v>
      </c>
      <c r="BR40" s="546">
        <f t="shared" si="34"/>
        <v>0</v>
      </c>
      <c r="BS40" s="87">
        <f>SUMIF('TB Apr 24'!$D$13:$D$103,'MIS Apr24'!$B40,'TB Apr 24'!AN$13:AN$103)</f>
        <v>0</v>
      </c>
      <c r="BT40" s="546">
        <f t="shared" si="35"/>
        <v>0</v>
      </c>
      <c r="BU40" s="87">
        <f>SUMIF('TB Apr 24'!$D$13:$D$103,'MIS Apr24'!$B40,'TB Apr 24'!AO$13:AO$103)</f>
        <v>37679.630000000012</v>
      </c>
      <c r="BV40" s="546">
        <f t="shared" si="36"/>
        <v>7.6035753996336027E-3</v>
      </c>
      <c r="BW40" s="87">
        <f>SUMIF('TB Apr 24'!$D$13:$D$103,'MIS Apr24'!$B40,'TB Apr 24'!AP$13:AP$103)</f>
        <v>0</v>
      </c>
      <c r="BX40" s="546">
        <f t="shared" si="37"/>
        <v>0</v>
      </c>
      <c r="BY40" s="87">
        <f>SUMIF('TB Apr 24'!$D$13:$D$103,'MIS Apr24'!$B40,'TB Apr 24'!AQ$13:AQ$103)</f>
        <v>0</v>
      </c>
      <c r="BZ40" s="546">
        <f t="shared" si="38"/>
        <v>0</v>
      </c>
      <c r="CA40" s="87">
        <f>SUMIF('TB Apr 24'!$D$13:$D$103,'MIS Apr24'!$B40,'TB Apr 24'!AR$13:AR$103)</f>
        <v>38376.499999999971</v>
      </c>
      <c r="CB40" s="546">
        <f t="shared" si="39"/>
        <v>6.7570840202567295E-3</v>
      </c>
      <c r="CC40" s="87">
        <f>SUMIF('TB Apr 24'!$D$13:$D$103,'MIS Apr24'!$B40,'TB Apr 24'!AS$13:AS$103)</f>
        <v>50352.319999999985</v>
      </c>
      <c r="CD40" s="546">
        <f t="shared" si="40"/>
        <v>2.3352873896747492E-2</v>
      </c>
      <c r="CE40" s="87">
        <f>SUMIF('TB Apr 24'!$D$13:$D$103,'MIS Apr24'!$B40,'TB Apr 24'!AT$13:AT$103)</f>
        <v>87339.95</v>
      </c>
      <c r="CF40" s="546">
        <f t="shared" si="41"/>
        <v>5.412392359451592E-2</v>
      </c>
      <c r="CG40" s="87">
        <f>SUMIF('TB Apr 24'!$D$13:$D$103,'MIS Apr24'!$B40,'TB Apr 24'!AU$13:AU$103)</f>
        <v>0</v>
      </c>
      <c r="CH40" s="546">
        <f t="shared" si="42"/>
        <v>0</v>
      </c>
      <c r="CI40" s="87">
        <f>SUMIF('TB Apr 24'!$D$13:$D$103,'MIS Apr24'!$B40,'TB Apr 24'!AV$13:AV$103)</f>
        <v>40192.960000000006</v>
      </c>
      <c r="CJ40" s="546">
        <f t="shared" si="43"/>
        <v>1.9068030989903569E-2</v>
      </c>
      <c r="CK40" s="87">
        <f>SUMIF('TB Apr 24'!$D$13:$D$103,'MIS Apr24'!$B40,'TB Apr 24'!AW$13:AW$103)</f>
        <v>21465.240000000005</v>
      </c>
      <c r="CL40" s="546">
        <f t="shared" si="44"/>
        <v>1.0304409247982206E-2</v>
      </c>
      <c r="CM40" s="87">
        <f>SUMIF('TB Apr 24'!$D$13:$D$103,'MIS Apr24'!$B40,'TB Apr 24'!AX$13:AX$103)</f>
        <v>8802.6799999999912</v>
      </c>
      <c r="CN40" s="546">
        <f t="shared" si="45"/>
        <v>7.6974256685864856E-3</v>
      </c>
      <c r="CO40" s="87">
        <f>SUMIF('TB Apr 24'!$D$13:$D$103,'MIS Apr24'!$B40,'TB Apr 24'!AY$13:AY$103)</f>
        <v>0</v>
      </c>
      <c r="CP40" s="546">
        <f t="shared" si="46"/>
        <v>0</v>
      </c>
      <c r="CQ40" s="87">
        <f>SUMIF('TB Apr 24'!$D$13:$D$103,'MIS Apr24'!$B40,'TB Apr 24'!AZ$13:AZ$103)</f>
        <v>0</v>
      </c>
      <c r="CR40" s="546">
        <f t="shared" si="47"/>
        <v>0</v>
      </c>
      <c r="CS40" s="87">
        <f>SUMIF('TB Apr 24'!$D$13:$D$103,'MIS Apr24'!$B40,'TB Apr 24'!BA$13:BA$103)</f>
        <v>12990.830000000004</v>
      </c>
      <c r="CT40" s="546">
        <f t="shared" si="48"/>
        <v>4.843894908882861E-3</v>
      </c>
      <c r="CU40" s="87">
        <f>SUMIF('TB Apr 24'!$D$13:$D$103,'MIS Apr24'!$B40,'TB Apr 24'!BB$13:BB$103)</f>
        <v>4708.0300000000007</v>
      </c>
      <c r="CV40" s="546">
        <f t="shared" si="49"/>
        <v>3.78131591715083E-3</v>
      </c>
      <c r="CW40" s="87">
        <f>SUMIF('TB Apr 24'!$D$13:$D$103,'MIS Apr24'!$B40,'TB Apr 24'!BC$13:BC$103)</f>
        <v>20559.149999999991</v>
      </c>
      <c r="CX40" s="546">
        <f t="shared" si="50"/>
        <v>5.166071203303443E-3</v>
      </c>
      <c r="CY40" s="87">
        <f>SUMIF('TB Apr 24'!$D$13:$D$103,'MIS Apr24'!$B40,'TB Apr 24'!BD$13:BD$103)</f>
        <v>2821.7499999999995</v>
      </c>
      <c r="CZ40" s="546">
        <f t="shared" si="51"/>
        <v>4.5790089738384993E-3</v>
      </c>
      <c r="DA40" s="87">
        <f>SUMIF('TB Apr 24'!$D$13:$D$103,'MIS Apr24'!$B40,'TB Apr 24'!O$13:O$103)</f>
        <v>0</v>
      </c>
      <c r="DB40" s="546">
        <f t="shared" si="52"/>
        <v>0</v>
      </c>
      <c r="DC40" s="87">
        <f t="shared" ref="DC40:DC50" si="60">SUM(C40,E40,I40,K40,M40,O40,S40,U40,AA40,AC40,AG40,AK40,AM40,AO40,AQ40,AS40,AW40,AY40,BA40,BC40,BE40,BG40,BI40,BK40,BU40,BW40,CA40,CC40,CE40,CI40,CK40,CM40,CS40,CU40,CW40,CY40,DA40)</f>
        <v>1703694.6800000004</v>
      </c>
      <c r="DD40" s="546">
        <f t="shared" si="53"/>
        <v>2.0547799797778758E-2</v>
      </c>
      <c r="DE40" s="87"/>
      <c r="DF40" s="546">
        <f t="shared" si="54"/>
        <v>0</v>
      </c>
      <c r="DG40" s="87">
        <f>DE40-DC40</f>
        <v>-1703694.6800000004</v>
      </c>
      <c r="DH40" s="546">
        <f t="shared" si="55"/>
        <v>2.0547799797778758E-2</v>
      </c>
    </row>
    <row r="41" spans="2:113" outlineLevel="1" x14ac:dyDescent="0.35">
      <c r="B41" s="17" t="s">
        <v>297</v>
      </c>
      <c r="C41" s="87">
        <f>SUMIF('TB Apr 24'!$D$13:$D$103,'MIS Apr24'!$B41,'TB Apr 24'!E$13:E$103)</f>
        <v>0</v>
      </c>
      <c r="D41" s="546">
        <f t="shared" si="56"/>
        <v>0</v>
      </c>
      <c r="E41" s="87">
        <f>SUMIF('TB Apr 24'!$D$13:$D$103,'MIS Apr24'!$B41,'TB Apr 24'!F$13:F$103)</f>
        <v>0</v>
      </c>
      <c r="F41" s="546">
        <f t="shared" si="56"/>
        <v>0</v>
      </c>
      <c r="G41" s="87">
        <f>SUMIF('TB Apr 24'!$D$13:$D$103,'MIS Apr24'!$B41,'TB Apr 24'!G$13:G$103)</f>
        <v>0</v>
      </c>
      <c r="H41" s="546">
        <f t="shared" si="3"/>
        <v>0</v>
      </c>
      <c r="I41" s="87">
        <f>SUMIF('TB Apr 24'!$D$13:$D$103,'MIS Apr24'!$B41,'TB Apr 24'!H$13:H$103)</f>
        <v>50043</v>
      </c>
      <c r="J41" s="546">
        <f t="shared" si="4"/>
        <v>1.6394991799973252E-2</v>
      </c>
      <c r="K41" s="87">
        <f>SUMIF('TB Apr 24'!$D$13:$D$103,'MIS Apr24'!$B41,'TB Apr 24'!I$13:I$103)</f>
        <v>0</v>
      </c>
      <c r="L41" s="546">
        <f t="shared" si="5"/>
        <v>0</v>
      </c>
      <c r="M41" s="87">
        <f>SUMIF('TB Apr 24'!$D$13:$D$103,'MIS Apr24'!$B41,'TB Apr 24'!J$13:J$103)</f>
        <v>17674</v>
      </c>
      <c r="N41" s="546">
        <f t="shared" si="6"/>
        <v>7.6094313139599256E-3</v>
      </c>
      <c r="O41" s="87">
        <f>SUMIF('TB Apr 24'!$D$13:$D$103,'MIS Apr24'!$B41,'TB Apr 24'!K$13:K$103)</f>
        <v>17674</v>
      </c>
      <c r="P41" s="546">
        <f t="shared" si="7"/>
        <v>5.2496605707117432E-3</v>
      </c>
      <c r="Q41" s="87">
        <f>SUMIF('TB Apr 24'!$D$13:$D$103,'MIS Apr24'!$B41,'TB Apr 24'!L$13:L$103)</f>
        <v>0</v>
      </c>
      <c r="R41" s="546">
        <f t="shared" si="8"/>
        <v>0</v>
      </c>
      <c r="S41" s="87">
        <f>SUMIF('TB Apr 24'!$D$13:$D$103,'MIS Apr24'!$B41,'TB Apr 24'!M$13:M$103)</f>
        <v>17674</v>
      </c>
      <c r="T41" s="546">
        <f t="shared" si="9"/>
        <v>4.7003447099145364E-3</v>
      </c>
      <c r="U41" s="87">
        <f>SUMIF('TB Apr 24'!$D$13:$D$103,'MIS Apr24'!$B41,'TB Apr 24'!N$13:N$103)</f>
        <v>63824</v>
      </c>
      <c r="V41" s="546">
        <f t="shared" si="10"/>
        <v>2.2651329074984971E-2</v>
      </c>
      <c r="W41" s="87">
        <f>SUMIF('TB Apr 24'!$D$13:$D$103,'MIS Apr24'!$B41,'TB Apr 24'!P$13:P$103)</f>
        <v>0</v>
      </c>
      <c r="X41" s="546">
        <f t="shared" si="11"/>
        <v>0</v>
      </c>
      <c r="Y41" s="87">
        <f>SUMIF('TB Apr 24'!$D$13:$D$103,'MIS Apr24'!$B41,'TB Apr 24'!Q$13:Q$103)</f>
        <v>0</v>
      </c>
      <c r="Z41" s="546">
        <f t="shared" si="12"/>
        <v>0</v>
      </c>
      <c r="AA41" s="87">
        <f>SUMIF('TB Apr 24'!$D$13:$D$103,'MIS Apr24'!$B41,'TB Apr 24'!R$13:R$103)</f>
        <v>214711.5</v>
      </c>
      <c r="AB41" s="546">
        <f t="shared" si="13"/>
        <v>6.824280787450214E-2</v>
      </c>
      <c r="AC41" s="87">
        <f>SUMIF('TB Apr 24'!$D$13:$D$103,'MIS Apr24'!$B41,'TB Apr 24'!S$13:S$103)</f>
        <v>74224</v>
      </c>
      <c r="AD41" s="546">
        <f t="shared" si="14"/>
        <v>3.268945965813113E-2</v>
      </c>
      <c r="AE41" s="87">
        <f>SUMIF('TB Apr 24'!$D$13:$D$103,'MIS Apr24'!$B41,'TB Apr 24'!T$13:T$103)</f>
        <v>0</v>
      </c>
      <c r="AF41" s="546">
        <f t="shared" si="15"/>
        <v>0</v>
      </c>
      <c r="AG41" s="87">
        <f>SUMIF('TB Apr 24'!$D$13:$D$103,'MIS Apr24'!$B41,'TB Apr 24'!U$13:U$103)</f>
        <v>144148</v>
      </c>
      <c r="AH41" s="546">
        <f t="shared" si="16"/>
        <v>3.8783280072187114E-2</v>
      </c>
      <c r="AI41" s="87">
        <f>SUMIF('TB Apr 24'!$D$13:$D$103,'MIS Apr24'!$B41,'TB Apr 24'!V$13:V$103)</f>
        <v>0</v>
      </c>
      <c r="AJ41" s="546">
        <f t="shared" si="17"/>
        <v>0</v>
      </c>
      <c r="AK41" s="87">
        <f>SUMIF('TB Apr 24'!$D$13:$D$103,'MIS Apr24'!$B41,'TB Apr 24'!W$13:W$103)</f>
        <v>62261</v>
      </c>
      <c r="AL41" s="546">
        <f t="shared" si="18"/>
        <v>5.7519952964104962E-2</v>
      </c>
      <c r="AM41" s="87">
        <f>SUMIF('TB Apr 24'!$D$13:$D$103,'MIS Apr24'!$B41,'TB Apr 24'!X$13:X$103)</f>
        <v>124522</v>
      </c>
      <c r="AN41" s="546">
        <f t="shared" si="19"/>
        <v>6.0861600724351685E-2</v>
      </c>
      <c r="AO41" s="87">
        <f>SUMIF('TB Apr 24'!$D$13:$D$103,'MIS Apr24'!$B41,'TB Apr 24'!Y$13:Y$103)</f>
        <v>90887</v>
      </c>
      <c r="AP41" s="546">
        <f t="shared" si="20"/>
        <v>5.1578854313680755E-2</v>
      </c>
      <c r="AQ41" s="87">
        <f>SUMIF('TB Apr 24'!$D$13:$D$103,'MIS Apr24'!$B41,'TB Apr 24'!Z$13:Z$103)</f>
        <v>52303</v>
      </c>
      <c r="AR41" s="546">
        <f t="shared" si="21"/>
        <v>3.5426203069704239E-2</v>
      </c>
      <c r="AS41" s="87">
        <f>SUMIF('TB Apr 24'!$D$13:$D$103,'MIS Apr24'!$B41,'TB Apr 24'!AA$13:AA$103)</f>
        <v>0</v>
      </c>
      <c r="AT41" s="546">
        <f t="shared" si="22"/>
        <v>0</v>
      </c>
      <c r="AU41" s="87">
        <f>SUMIF('TB Apr 24'!$D$13:$D$103,'MIS Apr24'!$B41,'TB Apr 24'!AB$13:AB$103)</f>
        <v>0</v>
      </c>
      <c r="AV41" s="546">
        <f t="shared" si="23"/>
        <v>0</v>
      </c>
      <c r="AW41" s="87">
        <f>SUMIF('TB Apr 24'!$D$13:$D$103,'MIS Apr24'!$B41,'TB Apr 24'!AC$13:AC$103)</f>
        <v>19680</v>
      </c>
      <c r="AX41" s="546">
        <f t="shared" si="24"/>
        <v>5.3110146778793587E-3</v>
      </c>
      <c r="AY41" s="87">
        <f>SUMIF('TB Apr 24'!$D$13:$D$103,'MIS Apr24'!$B41,'TB Apr 24'!AD$13:AD$103)</f>
        <v>19680</v>
      </c>
      <c r="AZ41" s="546">
        <f t="shared" si="25"/>
        <v>4.7192650556542879E-3</v>
      </c>
      <c r="BA41" s="87">
        <f>SUMIF('TB Apr 24'!$D$13:$D$103,'MIS Apr24'!$B41,'TB Apr 24'!AE$13:AE$103)</f>
        <v>19680</v>
      </c>
      <c r="BB41" s="546">
        <f t="shared" si="26"/>
        <v>5.9781354071728077E-2</v>
      </c>
      <c r="BC41" s="87">
        <f>SUMIF('TB Apr 24'!$D$13:$D$103,'MIS Apr24'!$B41,'TB Apr 24'!AF$13:AF$103)</f>
        <v>19680</v>
      </c>
      <c r="BD41" s="546">
        <f t="shared" si="27"/>
        <v>9.4445345759755737E-3</v>
      </c>
      <c r="BE41" s="87">
        <f>SUMIF('TB Apr 24'!$D$13:$D$103,'MIS Apr24'!$B41,'TB Apr 24'!AG$13:AG$103)</f>
        <v>0</v>
      </c>
      <c r="BF41" s="546">
        <f t="shared" si="28"/>
        <v>0</v>
      </c>
      <c r="BG41" s="87">
        <f>SUMIF('TB Apr 24'!$D$13:$D$103,'MIS Apr24'!$B41,'TB Apr 24'!AH$13:AH$103)</f>
        <v>73048</v>
      </c>
      <c r="BH41" s="546">
        <f t="shared" si="29"/>
        <v>3.9699531869161434E-2</v>
      </c>
      <c r="BI41" s="87">
        <f>SUMIF('TB Apr 24'!$D$13:$D$103,'MIS Apr24'!$B41,'TB Apr 24'!AI$13:AI$103)</f>
        <v>0</v>
      </c>
      <c r="BJ41" s="546">
        <f t="shared" si="30"/>
        <v>0</v>
      </c>
      <c r="BK41" s="87">
        <f>SUMIF('TB Apr 24'!$D$13:$D$103,'MIS Apr24'!$B41,'TB Apr 24'!AJ$13:AJ$103)</f>
        <v>0</v>
      </c>
      <c r="BL41" s="546">
        <f t="shared" si="31"/>
        <v>0</v>
      </c>
      <c r="BM41" s="87">
        <f>SUMIF('TB Apr 24'!$D$13:$D$103,'MIS Apr24'!$B41,'TB Apr 24'!AK$13:AK$103)</f>
        <v>0</v>
      </c>
      <c r="BN41" s="546">
        <f t="shared" si="32"/>
        <v>0</v>
      </c>
      <c r="BO41" s="87">
        <f>SUMIF('TB Apr 24'!$D$13:$D$103,'MIS Apr24'!$B41,'TB Apr 24'!AL$13:AL$103)</f>
        <v>0</v>
      </c>
      <c r="BP41" s="546">
        <f t="shared" si="33"/>
        <v>0</v>
      </c>
      <c r="BQ41" s="87">
        <f>SUMIF('TB Apr 24'!$D$13:$D$103,'MIS Apr24'!$B41,'TB Apr 24'!AM$13:AM$103)</f>
        <v>0</v>
      </c>
      <c r="BR41" s="546">
        <f t="shared" si="34"/>
        <v>0</v>
      </c>
      <c r="BS41" s="87">
        <f>SUMIF('TB Apr 24'!$D$13:$D$103,'MIS Apr24'!$B41,'TB Apr 24'!AN$13:AN$103)</f>
        <v>0</v>
      </c>
      <c r="BT41" s="546">
        <f t="shared" si="35"/>
        <v>0</v>
      </c>
      <c r="BU41" s="87">
        <f>SUMIF('TB Apr 24'!$D$13:$D$103,'MIS Apr24'!$B41,'TB Apr 24'!AO$13:AO$103)</f>
        <v>0</v>
      </c>
      <c r="BV41" s="546">
        <f t="shared" si="36"/>
        <v>0</v>
      </c>
      <c r="BW41" s="87">
        <f>SUMIF('TB Apr 24'!$D$13:$D$103,'MIS Apr24'!$B41,'TB Apr 24'!AP$13:AP$103)</f>
        <v>0</v>
      </c>
      <c r="BX41" s="546">
        <f t="shared" si="37"/>
        <v>0</v>
      </c>
      <c r="BY41" s="87">
        <f>SUMIF('TB Apr 24'!$D$13:$D$103,'MIS Apr24'!$B41,'TB Apr 24'!AQ$13:AQ$103)</f>
        <v>0</v>
      </c>
      <c r="BZ41" s="546">
        <f t="shared" si="38"/>
        <v>0</v>
      </c>
      <c r="CA41" s="87">
        <f>SUMIF('TB Apr 24'!$D$13:$D$103,'MIS Apr24'!$B41,'TB Apr 24'!AR$13:AR$103)</f>
        <v>92609</v>
      </c>
      <c r="CB41" s="546">
        <f t="shared" si="39"/>
        <v>1.630598918692314E-2</v>
      </c>
      <c r="CC41" s="87">
        <f>SUMIF('TB Apr 24'!$D$13:$D$103,'MIS Apr24'!$B41,'TB Apr 24'!AS$13:AS$103)</f>
        <v>74223</v>
      </c>
      <c r="CD41" s="546">
        <f t="shared" si="40"/>
        <v>3.4423843017328488E-2</v>
      </c>
      <c r="CE41" s="87">
        <f>SUMIF('TB Apr 24'!$D$13:$D$103,'MIS Apr24'!$B41,'TB Apr 24'!AT$13:AT$103)</f>
        <v>74264</v>
      </c>
      <c r="CF41" s="546">
        <f t="shared" si="41"/>
        <v>4.6020853708104145E-2</v>
      </c>
      <c r="CG41" s="87">
        <f>SUMIF('TB Apr 24'!$D$13:$D$103,'MIS Apr24'!$B41,'TB Apr 24'!AU$13:AU$103)</f>
        <v>0</v>
      </c>
      <c r="CH41" s="546">
        <f t="shared" si="42"/>
        <v>0</v>
      </c>
      <c r="CI41" s="87">
        <f>SUMIF('TB Apr 24'!$D$13:$D$103,'MIS Apr24'!$B41,'TB Apr 24'!AV$13:AV$103)</f>
        <v>38935</v>
      </c>
      <c r="CJ41" s="546">
        <f t="shared" si="43"/>
        <v>1.8471239405903304E-2</v>
      </c>
      <c r="CK41" s="87">
        <f>SUMIF('TB Apr 24'!$D$13:$D$103,'MIS Apr24'!$B41,'TB Apr 24'!AW$13:AW$103)</f>
        <v>73812</v>
      </c>
      <c r="CL41" s="546">
        <f t="shared" si="44"/>
        <v>3.5433522076252694E-2</v>
      </c>
      <c r="CM41" s="87">
        <f>SUMIF('TB Apr 24'!$D$13:$D$103,'MIS Apr24'!$B41,'TB Apr 24'!AX$13:AX$103)</f>
        <v>34029</v>
      </c>
      <c r="CN41" s="546">
        <f t="shared" si="45"/>
        <v>2.9756358072351805E-2</v>
      </c>
      <c r="CO41" s="87">
        <f>SUMIF('TB Apr 24'!$D$13:$D$103,'MIS Apr24'!$B41,'TB Apr 24'!AY$13:AY$103)</f>
        <v>0</v>
      </c>
      <c r="CP41" s="546">
        <f t="shared" si="46"/>
        <v>0</v>
      </c>
      <c r="CQ41" s="87">
        <f>SUMIF('TB Apr 24'!$D$13:$D$103,'MIS Apr24'!$B41,'TB Apr 24'!AZ$13:AZ$103)</f>
        <v>0</v>
      </c>
      <c r="CR41" s="546">
        <f t="shared" si="47"/>
        <v>0</v>
      </c>
      <c r="CS41" s="87">
        <f>SUMIF('TB Apr 24'!$D$13:$D$103,'MIS Apr24'!$B41,'TB Apr 24'!BA$13:BA$103)</f>
        <v>34029</v>
      </c>
      <c r="CT41" s="546">
        <f t="shared" si="48"/>
        <v>1.268840403995548E-2</v>
      </c>
      <c r="CU41" s="87">
        <f>SUMIF('TB Apr 24'!$D$13:$D$103,'MIS Apr24'!$B41,'TB Apr 24'!BB$13:BB$103)</f>
        <v>0</v>
      </c>
      <c r="CV41" s="546">
        <f t="shared" si="49"/>
        <v>0</v>
      </c>
      <c r="CW41" s="87">
        <f>SUMIF('TB Apr 24'!$D$13:$D$103,'MIS Apr24'!$B41,'TB Apr 24'!BC$13:BC$103)</f>
        <v>98433</v>
      </c>
      <c r="CX41" s="546">
        <f t="shared" si="50"/>
        <v>2.473409098891579E-2</v>
      </c>
      <c r="CY41" s="87">
        <f>SUMIF('TB Apr 24'!$D$13:$D$103,'MIS Apr24'!$B41,'TB Apr 24'!BD$13:BD$103)</f>
        <v>34029</v>
      </c>
      <c r="CZ41" s="546">
        <f t="shared" si="51"/>
        <v>5.5220730529192991E-2</v>
      </c>
      <c r="DA41" s="87">
        <f>SUMIF('TB Apr 24'!$D$13:$D$103,'MIS Apr24'!$B41,'TB Apr 24'!O$13:O$103)</f>
        <v>0</v>
      </c>
      <c r="DB41" s="546">
        <f t="shared" si="52"/>
        <v>0</v>
      </c>
      <c r="DC41" s="87">
        <f t="shared" si="60"/>
        <v>1636076.5</v>
      </c>
      <c r="DD41" s="546">
        <f t="shared" si="53"/>
        <v>1.9732275254771923E-2</v>
      </c>
      <c r="DE41" s="87"/>
      <c r="DF41" s="546">
        <f t="shared" si="54"/>
        <v>0</v>
      </c>
      <c r="DG41" s="87">
        <f t="shared" ref="DG41:DG50" si="61">DE41-DC41</f>
        <v>-1636076.5</v>
      </c>
      <c r="DH41" s="546">
        <f t="shared" si="55"/>
        <v>1.9732275254771923E-2</v>
      </c>
    </row>
    <row r="42" spans="2:113" outlineLevel="1" x14ac:dyDescent="0.35">
      <c r="B42" s="17" t="s">
        <v>296</v>
      </c>
      <c r="C42" s="87">
        <f>SUMIF('TB Apr 24'!$D$13:$D$103,'MIS Apr24'!$B42,'TB Apr 24'!E$13:E$103)</f>
        <v>0</v>
      </c>
      <c r="D42" s="546">
        <f t="shared" si="56"/>
        <v>0</v>
      </c>
      <c r="E42" s="87">
        <f>SUMIF('TB Apr 24'!$D$13:$D$103,'MIS Apr24'!$B42,'TB Apr 24'!F$13:F$103)</f>
        <v>0</v>
      </c>
      <c r="F42" s="546">
        <f t="shared" si="56"/>
        <v>0</v>
      </c>
      <c r="G42" s="87">
        <f>SUMIF('TB Apr 24'!$D$13:$D$103,'MIS Apr24'!$B42,'TB Apr 24'!G$13:G$103)</f>
        <v>0</v>
      </c>
      <c r="H42" s="546">
        <f t="shared" si="3"/>
        <v>0</v>
      </c>
      <c r="I42" s="87">
        <f>SUMIF('TB Apr 24'!$D$13:$D$103,'MIS Apr24'!$B42,'TB Apr 24'!H$13:H$103)</f>
        <v>0</v>
      </c>
      <c r="J42" s="546">
        <f t="shared" si="4"/>
        <v>0</v>
      </c>
      <c r="K42" s="87">
        <f>SUMIF('TB Apr 24'!$D$13:$D$103,'MIS Apr24'!$B42,'TB Apr 24'!I$13:I$103)</f>
        <v>0</v>
      </c>
      <c r="L42" s="546">
        <f t="shared" si="5"/>
        <v>0</v>
      </c>
      <c r="M42" s="87">
        <f>SUMIF('TB Apr 24'!$D$13:$D$103,'MIS Apr24'!$B42,'TB Apr 24'!J$13:J$103)</f>
        <v>0</v>
      </c>
      <c r="N42" s="546">
        <f t="shared" si="6"/>
        <v>0</v>
      </c>
      <c r="O42" s="87">
        <f>SUMIF('TB Apr 24'!$D$13:$D$103,'MIS Apr24'!$B42,'TB Apr 24'!K$13:K$103)</f>
        <v>0</v>
      </c>
      <c r="P42" s="546">
        <f t="shared" si="7"/>
        <v>0</v>
      </c>
      <c r="Q42" s="87">
        <f>SUMIF('TB Apr 24'!$D$13:$D$103,'MIS Apr24'!$B42,'TB Apr 24'!L$13:L$103)</f>
        <v>0</v>
      </c>
      <c r="R42" s="546">
        <f t="shared" si="8"/>
        <v>0</v>
      </c>
      <c r="S42" s="87">
        <f>SUMIF('TB Apr 24'!$D$13:$D$103,'MIS Apr24'!$B42,'TB Apr 24'!M$13:M$103)</f>
        <v>0</v>
      </c>
      <c r="T42" s="546">
        <f t="shared" si="9"/>
        <v>0</v>
      </c>
      <c r="U42" s="87">
        <f>SUMIF('TB Apr 24'!$D$13:$D$103,'MIS Apr24'!$B42,'TB Apr 24'!N$13:N$103)</f>
        <v>0</v>
      </c>
      <c r="V42" s="546">
        <f t="shared" si="10"/>
        <v>0</v>
      </c>
      <c r="W42" s="87">
        <f>SUMIF('TB Apr 24'!$D$13:$D$103,'MIS Apr24'!$B42,'TB Apr 24'!P$13:P$103)</f>
        <v>0</v>
      </c>
      <c r="X42" s="546">
        <f t="shared" si="11"/>
        <v>0</v>
      </c>
      <c r="Y42" s="87">
        <f>SUMIF('TB Apr 24'!$D$13:$D$103,'MIS Apr24'!$B42,'TB Apr 24'!Q$13:Q$103)</f>
        <v>0</v>
      </c>
      <c r="Z42" s="546">
        <f t="shared" si="12"/>
        <v>0</v>
      </c>
      <c r="AA42" s="87">
        <f>SUMIF('TB Apr 24'!$D$13:$D$103,'MIS Apr24'!$B42,'TB Apr 24'!R$13:R$103)</f>
        <v>0</v>
      </c>
      <c r="AB42" s="546">
        <f t="shared" si="13"/>
        <v>0</v>
      </c>
      <c r="AC42" s="87">
        <f>SUMIF('TB Apr 24'!$D$13:$D$103,'MIS Apr24'!$B42,'TB Apr 24'!S$13:S$103)</f>
        <v>7000</v>
      </c>
      <c r="AD42" s="546">
        <f t="shared" si="14"/>
        <v>3.0829141195154925E-3</v>
      </c>
      <c r="AE42" s="87">
        <f>SUMIF('TB Apr 24'!$D$13:$D$103,'MIS Apr24'!$B42,'TB Apr 24'!T$13:T$103)</f>
        <v>0</v>
      </c>
      <c r="AF42" s="546">
        <f t="shared" si="15"/>
        <v>0</v>
      </c>
      <c r="AG42" s="87">
        <f>SUMIF('TB Apr 24'!$D$13:$D$103,'MIS Apr24'!$B42,'TB Apr 24'!U$13:U$103)</f>
        <v>7000</v>
      </c>
      <c r="AH42" s="546">
        <f t="shared" si="16"/>
        <v>1.8833626585544705E-3</v>
      </c>
      <c r="AI42" s="87">
        <f>SUMIF('TB Apr 24'!$D$13:$D$103,'MIS Apr24'!$B42,'TB Apr 24'!V$13:V$103)</f>
        <v>0</v>
      </c>
      <c r="AJ42" s="546">
        <f t="shared" si="17"/>
        <v>0</v>
      </c>
      <c r="AK42" s="87">
        <f>SUMIF('TB Apr 24'!$D$13:$D$103,'MIS Apr24'!$B42,'TB Apr 24'!W$13:W$103)</f>
        <v>0</v>
      </c>
      <c r="AL42" s="546">
        <f t="shared" si="18"/>
        <v>0</v>
      </c>
      <c r="AM42" s="87">
        <f>SUMIF('TB Apr 24'!$D$13:$D$103,'MIS Apr24'!$B42,'TB Apr 24'!X$13:X$103)</f>
        <v>0</v>
      </c>
      <c r="AN42" s="546">
        <f t="shared" si="19"/>
        <v>0</v>
      </c>
      <c r="AO42" s="87">
        <f>SUMIF('TB Apr 24'!$D$13:$D$103,'MIS Apr24'!$B42,'TB Apr 24'!Y$13:Y$103)</f>
        <v>0</v>
      </c>
      <c r="AP42" s="546">
        <f t="shared" si="20"/>
        <v>0</v>
      </c>
      <c r="AQ42" s="87">
        <f>SUMIF('TB Apr 24'!$D$13:$D$103,'MIS Apr24'!$B42,'TB Apr 24'!Z$13:Z$103)</f>
        <v>75000</v>
      </c>
      <c r="AR42" s="546">
        <f t="shared" si="21"/>
        <v>5.0799480531285357E-2</v>
      </c>
      <c r="AS42" s="87">
        <f>SUMIF('TB Apr 24'!$D$13:$D$103,'MIS Apr24'!$B42,'TB Apr 24'!AA$13:AA$103)</f>
        <v>0</v>
      </c>
      <c r="AT42" s="546">
        <f t="shared" si="22"/>
        <v>0</v>
      </c>
      <c r="AU42" s="87">
        <f>SUMIF('TB Apr 24'!$D$13:$D$103,'MIS Apr24'!$B42,'TB Apr 24'!AB$13:AB$103)</f>
        <v>0</v>
      </c>
      <c r="AV42" s="546">
        <f t="shared" si="23"/>
        <v>0</v>
      </c>
      <c r="AW42" s="87">
        <f>SUMIF('TB Apr 24'!$D$13:$D$103,'MIS Apr24'!$B42,'TB Apr 24'!AC$13:AC$103)</f>
        <v>2200</v>
      </c>
      <c r="AX42" s="546">
        <f t="shared" si="24"/>
        <v>5.9371099041334292E-4</v>
      </c>
      <c r="AY42" s="87">
        <f>SUMIF('TB Apr 24'!$D$13:$D$103,'MIS Apr24'!$B42,'TB Apr 24'!AD$13:AD$103)</f>
        <v>2200</v>
      </c>
      <c r="AZ42" s="546">
        <f t="shared" si="25"/>
        <v>5.2756011801013383E-4</v>
      </c>
      <c r="BA42" s="87">
        <f>SUMIF('TB Apr 24'!$D$13:$D$103,'MIS Apr24'!$B42,'TB Apr 24'!AE$13:AE$103)</f>
        <v>100000</v>
      </c>
      <c r="BB42" s="546">
        <f t="shared" si="26"/>
        <v>0.30376704304739877</v>
      </c>
      <c r="BC42" s="87">
        <f>SUMIF('TB Apr 24'!$D$13:$D$103,'MIS Apr24'!$B42,'TB Apr 24'!AF$13:AF$103)</f>
        <v>0</v>
      </c>
      <c r="BD42" s="546">
        <f t="shared" si="27"/>
        <v>0</v>
      </c>
      <c r="BE42" s="87">
        <f>SUMIF('TB Apr 24'!$D$13:$D$103,'MIS Apr24'!$B42,'TB Apr 24'!AG$13:AG$103)</f>
        <v>0</v>
      </c>
      <c r="BF42" s="546">
        <f t="shared" si="28"/>
        <v>0</v>
      </c>
      <c r="BG42" s="87">
        <f>SUMIF('TB Apr 24'!$D$13:$D$103,'MIS Apr24'!$B42,'TB Apr 24'!AH$13:AH$103)</f>
        <v>13600</v>
      </c>
      <c r="BH42" s="546">
        <f t="shared" si="29"/>
        <v>7.3912171917177132E-3</v>
      </c>
      <c r="BI42" s="87">
        <f>SUMIF('TB Apr 24'!$D$13:$D$103,'MIS Apr24'!$B42,'TB Apr 24'!AI$13:AI$103)</f>
        <v>0</v>
      </c>
      <c r="BJ42" s="546">
        <f t="shared" si="30"/>
        <v>0</v>
      </c>
      <c r="BK42" s="87">
        <f>SUMIF('TB Apr 24'!$D$13:$D$103,'MIS Apr24'!$B42,'TB Apr 24'!AJ$13:AJ$103)</f>
        <v>0</v>
      </c>
      <c r="BL42" s="546">
        <f t="shared" si="31"/>
        <v>0</v>
      </c>
      <c r="BM42" s="87">
        <f>SUMIF('TB Apr 24'!$D$13:$D$103,'MIS Apr24'!$B42,'TB Apr 24'!AK$13:AK$103)</f>
        <v>0</v>
      </c>
      <c r="BN42" s="546">
        <f t="shared" si="32"/>
        <v>0</v>
      </c>
      <c r="BO42" s="87">
        <f>SUMIF('TB Apr 24'!$D$13:$D$103,'MIS Apr24'!$B42,'TB Apr 24'!AL$13:AL$103)</f>
        <v>0</v>
      </c>
      <c r="BP42" s="546">
        <f t="shared" si="33"/>
        <v>0</v>
      </c>
      <c r="BQ42" s="87">
        <f>SUMIF('TB Apr 24'!$D$13:$D$103,'MIS Apr24'!$B42,'TB Apr 24'!AM$13:AM$103)</f>
        <v>0</v>
      </c>
      <c r="BR42" s="546">
        <f t="shared" si="34"/>
        <v>0</v>
      </c>
      <c r="BS42" s="87">
        <f>SUMIF('TB Apr 24'!$D$13:$D$103,'MIS Apr24'!$B42,'TB Apr 24'!AN$13:AN$103)</f>
        <v>0</v>
      </c>
      <c r="BT42" s="546">
        <f t="shared" si="35"/>
        <v>0</v>
      </c>
      <c r="BU42" s="87">
        <f>SUMIF('TB Apr 24'!$D$13:$D$103,'MIS Apr24'!$B42,'TB Apr 24'!AO$13:AO$103)</f>
        <v>0</v>
      </c>
      <c r="BV42" s="546">
        <f t="shared" si="36"/>
        <v>0</v>
      </c>
      <c r="BW42" s="87">
        <f>SUMIF('TB Apr 24'!$D$13:$D$103,'MIS Apr24'!$B42,'TB Apr 24'!AP$13:AP$103)</f>
        <v>0</v>
      </c>
      <c r="BX42" s="546">
        <f t="shared" si="37"/>
        <v>0</v>
      </c>
      <c r="BY42" s="87">
        <f>SUMIF('TB Apr 24'!$D$13:$D$103,'MIS Apr24'!$B42,'TB Apr 24'!AQ$13:AQ$103)</f>
        <v>0</v>
      </c>
      <c r="BZ42" s="546">
        <f t="shared" si="38"/>
        <v>0</v>
      </c>
      <c r="CA42" s="87">
        <f>SUMIF('TB Apr 24'!$D$13:$D$103,'MIS Apr24'!$B42,'TB Apr 24'!AR$13:AR$103)</f>
        <v>0</v>
      </c>
      <c r="CB42" s="546">
        <f t="shared" si="39"/>
        <v>0</v>
      </c>
      <c r="CC42" s="87">
        <f>SUMIF('TB Apr 24'!$D$13:$D$103,'MIS Apr24'!$B42,'TB Apr 24'!AS$13:AS$103)</f>
        <v>30500</v>
      </c>
      <c r="CD42" s="546">
        <f t="shared" si="40"/>
        <v>1.4145577678462456E-2</v>
      </c>
      <c r="CE42" s="87">
        <f>SUMIF('TB Apr 24'!$D$13:$D$103,'MIS Apr24'!$B42,'TB Apr 24'!AT$13:AT$103)</f>
        <v>82389</v>
      </c>
      <c r="CF42" s="546">
        <f t="shared" si="41"/>
        <v>5.1055856352431761E-2</v>
      </c>
      <c r="CG42" s="87">
        <f>SUMIF('TB Apr 24'!$D$13:$D$103,'MIS Apr24'!$B42,'TB Apr 24'!AU$13:AU$103)</f>
        <v>0</v>
      </c>
      <c r="CH42" s="546">
        <f t="shared" si="42"/>
        <v>0</v>
      </c>
      <c r="CI42" s="87">
        <f>SUMIF('TB Apr 24'!$D$13:$D$103,'MIS Apr24'!$B42,'TB Apr 24'!AV$13:AV$103)</f>
        <v>28000</v>
      </c>
      <c r="CJ42" s="546">
        <f t="shared" si="43"/>
        <v>1.3283541886870235E-2</v>
      </c>
      <c r="CK42" s="87">
        <f>SUMIF('TB Apr 24'!$D$13:$D$103,'MIS Apr24'!$B42,'TB Apr 24'!AW$13:AW$103)</f>
        <v>28000</v>
      </c>
      <c r="CL42" s="546">
        <f t="shared" si="44"/>
        <v>1.3441427113952683E-2</v>
      </c>
      <c r="CM42" s="87">
        <f>SUMIF('TB Apr 24'!$D$13:$D$103,'MIS Apr24'!$B42,'TB Apr 24'!AX$13:AX$103)</f>
        <v>25250</v>
      </c>
      <c r="CN42" s="546">
        <f t="shared" si="45"/>
        <v>2.2079639170321876E-2</v>
      </c>
      <c r="CO42" s="87">
        <f>SUMIF('TB Apr 24'!$D$13:$D$103,'MIS Apr24'!$B42,'TB Apr 24'!AY$13:AY$103)</f>
        <v>0</v>
      </c>
      <c r="CP42" s="546">
        <f t="shared" si="46"/>
        <v>0</v>
      </c>
      <c r="CQ42" s="87">
        <f>SUMIF('TB Apr 24'!$D$13:$D$103,'MIS Apr24'!$B42,'TB Apr 24'!AZ$13:AZ$103)</f>
        <v>0</v>
      </c>
      <c r="CR42" s="546">
        <f t="shared" si="47"/>
        <v>0</v>
      </c>
      <c r="CS42" s="87">
        <f>SUMIF('TB Apr 24'!$D$13:$D$103,'MIS Apr24'!$B42,'TB Apr 24'!BA$13:BA$103)</f>
        <v>25250</v>
      </c>
      <c r="CT42" s="546">
        <f t="shared" si="48"/>
        <v>9.4149755211400815E-3</v>
      </c>
      <c r="CU42" s="87">
        <f>SUMIF('TB Apr 24'!$D$13:$D$103,'MIS Apr24'!$B42,'TB Apr 24'!BB$13:BB$103)</f>
        <v>0</v>
      </c>
      <c r="CV42" s="546">
        <f t="shared" si="49"/>
        <v>0</v>
      </c>
      <c r="CW42" s="87">
        <f>SUMIF('TB Apr 24'!$D$13:$D$103,'MIS Apr24'!$B42,'TB Apr 24'!BC$13:BC$103)</f>
        <v>25250</v>
      </c>
      <c r="CX42" s="546">
        <f t="shared" si="50"/>
        <v>6.3447806880835055E-3</v>
      </c>
      <c r="CY42" s="87">
        <f>SUMIF('TB Apr 24'!$D$13:$D$103,'MIS Apr24'!$B42,'TB Apr 24'!BD$13:BD$103)</f>
        <v>25250</v>
      </c>
      <c r="CZ42" s="546">
        <f t="shared" si="51"/>
        <v>4.0974564220580177E-2</v>
      </c>
      <c r="DA42" s="87">
        <f>SUMIF('TB Apr 24'!$D$13:$D$103,'MIS Apr24'!$B42,'TB Apr 24'!O$13:O$103)</f>
        <v>1377630</v>
      </c>
      <c r="DB42" s="546">
        <f t="shared" si="52"/>
        <v>0</v>
      </c>
      <c r="DC42" s="87">
        <f t="shared" si="60"/>
        <v>1854519</v>
      </c>
      <c r="DD42" s="546">
        <f t="shared" si="53"/>
        <v>2.2366851044681817E-2</v>
      </c>
      <c r="DE42" s="87"/>
      <c r="DF42" s="546">
        <f t="shared" si="54"/>
        <v>0</v>
      </c>
      <c r="DG42" s="87">
        <f t="shared" si="61"/>
        <v>-1854519</v>
      </c>
      <c r="DH42" s="546">
        <f t="shared" si="55"/>
        <v>2.2366851044681817E-2</v>
      </c>
    </row>
    <row r="43" spans="2:113" outlineLevel="1" x14ac:dyDescent="0.35">
      <c r="B43" s="17" t="s">
        <v>295</v>
      </c>
      <c r="C43" s="87">
        <f>SUMIF('TB Apr 24'!$D$13:$D$103,'MIS Apr24'!$B43,'TB Apr 24'!E$13:E$103)</f>
        <v>0</v>
      </c>
      <c r="D43" s="546">
        <f t="shared" si="56"/>
        <v>0</v>
      </c>
      <c r="E43" s="87">
        <f>SUMIF('TB Apr 24'!$D$13:$D$103,'MIS Apr24'!$B43,'TB Apr 24'!F$13:F$103)</f>
        <v>0</v>
      </c>
      <c r="F43" s="546">
        <f t="shared" si="56"/>
        <v>0</v>
      </c>
      <c r="G43" s="87">
        <f>SUMIF('TB Apr 24'!$D$13:$D$103,'MIS Apr24'!$B43,'TB Apr 24'!G$13:G$103)</f>
        <v>0</v>
      </c>
      <c r="H43" s="546">
        <f t="shared" si="3"/>
        <v>0</v>
      </c>
      <c r="I43" s="87">
        <f>SUMIF('TB Apr 24'!$D$13:$D$103,'MIS Apr24'!$B43,'TB Apr 24'!H$13:H$103)</f>
        <v>0</v>
      </c>
      <c r="J43" s="546">
        <f t="shared" si="4"/>
        <v>0</v>
      </c>
      <c r="K43" s="87">
        <f>SUMIF('TB Apr 24'!$D$13:$D$103,'MIS Apr24'!$B43,'TB Apr 24'!I$13:I$103)</f>
        <v>0</v>
      </c>
      <c r="L43" s="546">
        <f t="shared" si="5"/>
        <v>0</v>
      </c>
      <c r="M43" s="87">
        <f>SUMIF('TB Apr 24'!$D$13:$D$103,'MIS Apr24'!$B43,'TB Apr 24'!J$13:J$103)</f>
        <v>0</v>
      </c>
      <c r="N43" s="546">
        <f t="shared" si="6"/>
        <v>0</v>
      </c>
      <c r="O43" s="87">
        <f>SUMIF('TB Apr 24'!$D$13:$D$103,'MIS Apr24'!$B43,'TB Apr 24'!K$13:K$103)</f>
        <v>0</v>
      </c>
      <c r="P43" s="546">
        <f t="shared" si="7"/>
        <v>0</v>
      </c>
      <c r="Q43" s="87">
        <f>SUMIF('TB Apr 24'!$D$13:$D$103,'MIS Apr24'!$B43,'TB Apr 24'!L$13:L$103)</f>
        <v>0</v>
      </c>
      <c r="R43" s="546">
        <f t="shared" si="8"/>
        <v>0</v>
      </c>
      <c r="S43" s="87">
        <f>SUMIF('TB Apr 24'!$D$13:$D$103,'MIS Apr24'!$B43,'TB Apr 24'!M$13:M$103)</f>
        <v>0</v>
      </c>
      <c r="T43" s="546">
        <f t="shared" si="9"/>
        <v>0</v>
      </c>
      <c r="U43" s="87">
        <f>SUMIF('TB Apr 24'!$D$13:$D$103,'MIS Apr24'!$B43,'TB Apr 24'!N$13:N$103)</f>
        <v>0</v>
      </c>
      <c r="V43" s="546">
        <f t="shared" si="10"/>
        <v>0</v>
      </c>
      <c r="W43" s="87">
        <f>SUMIF('TB Apr 24'!$D$13:$D$103,'MIS Apr24'!$B43,'TB Apr 24'!P$13:P$103)</f>
        <v>0</v>
      </c>
      <c r="X43" s="546">
        <f t="shared" si="11"/>
        <v>0</v>
      </c>
      <c r="Y43" s="87">
        <f>SUMIF('TB Apr 24'!$D$13:$D$103,'MIS Apr24'!$B43,'TB Apr 24'!Q$13:Q$103)</f>
        <v>0</v>
      </c>
      <c r="Z43" s="546">
        <f t="shared" si="12"/>
        <v>0</v>
      </c>
      <c r="AA43" s="87">
        <f>SUMIF('TB Apr 24'!$D$13:$D$103,'MIS Apr24'!$B43,'TB Apr 24'!R$13:R$103)</f>
        <v>0</v>
      </c>
      <c r="AB43" s="546">
        <f t="shared" si="13"/>
        <v>0</v>
      </c>
      <c r="AC43" s="87">
        <f>SUMIF('TB Apr 24'!$D$13:$D$103,'MIS Apr24'!$B43,'TB Apr 24'!S$13:S$103)</f>
        <v>0</v>
      </c>
      <c r="AD43" s="546">
        <f t="shared" si="14"/>
        <v>0</v>
      </c>
      <c r="AE43" s="87">
        <f>SUMIF('TB Apr 24'!$D$13:$D$103,'MIS Apr24'!$B43,'TB Apr 24'!T$13:T$103)</f>
        <v>0</v>
      </c>
      <c r="AF43" s="546">
        <f t="shared" si="15"/>
        <v>0</v>
      </c>
      <c r="AG43" s="87">
        <f>SUMIF('TB Apr 24'!$D$13:$D$103,'MIS Apr24'!$B43,'TB Apr 24'!U$13:U$103)</f>
        <v>0</v>
      </c>
      <c r="AH43" s="546">
        <f t="shared" si="16"/>
        <v>0</v>
      </c>
      <c r="AI43" s="87">
        <f>SUMIF('TB Apr 24'!$D$13:$D$103,'MIS Apr24'!$B43,'TB Apr 24'!V$13:V$103)</f>
        <v>0</v>
      </c>
      <c r="AJ43" s="546">
        <f t="shared" si="17"/>
        <v>0</v>
      </c>
      <c r="AK43" s="87">
        <f>SUMIF('TB Apr 24'!$D$13:$D$103,'MIS Apr24'!$B43,'TB Apr 24'!W$13:W$103)</f>
        <v>0</v>
      </c>
      <c r="AL43" s="546">
        <f t="shared" si="18"/>
        <v>0</v>
      </c>
      <c r="AM43" s="87">
        <f>SUMIF('TB Apr 24'!$D$13:$D$103,'MIS Apr24'!$B43,'TB Apr 24'!X$13:X$103)</f>
        <v>0</v>
      </c>
      <c r="AN43" s="546">
        <f t="shared" si="19"/>
        <v>0</v>
      </c>
      <c r="AO43" s="87">
        <f>SUMIF('TB Apr 24'!$D$13:$D$103,'MIS Apr24'!$B43,'TB Apr 24'!Y$13:Y$103)</f>
        <v>0</v>
      </c>
      <c r="AP43" s="546">
        <f t="shared" si="20"/>
        <v>0</v>
      </c>
      <c r="AQ43" s="87">
        <f>SUMIF('TB Apr 24'!$D$13:$D$103,'MIS Apr24'!$B43,'TB Apr 24'!Z$13:Z$103)</f>
        <v>0</v>
      </c>
      <c r="AR43" s="546">
        <f t="shared" si="21"/>
        <v>0</v>
      </c>
      <c r="AS43" s="87">
        <f>SUMIF('TB Apr 24'!$D$13:$D$103,'MIS Apr24'!$B43,'TB Apr 24'!AA$13:AA$103)</f>
        <v>0</v>
      </c>
      <c r="AT43" s="546">
        <f t="shared" si="22"/>
        <v>0</v>
      </c>
      <c r="AU43" s="87">
        <f>SUMIF('TB Apr 24'!$D$13:$D$103,'MIS Apr24'!$B43,'TB Apr 24'!AB$13:AB$103)</f>
        <v>0</v>
      </c>
      <c r="AV43" s="546">
        <f t="shared" si="23"/>
        <v>0</v>
      </c>
      <c r="AW43" s="87">
        <f>SUMIF('TB Apr 24'!$D$13:$D$103,'MIS Apr24'!$B43,'TB Apr 24'!AC$13:AC$103)</f>
        <v>0</v>
      </c>
      <c r="AX43" s="546">
        <f t="shared" si="24"/>
        <v>0</v>
      </c>
      <c r="AY43" s="87">
        <f>SUMIF('TB Apr 24'!$D$13:$D$103,'MIS Apr24'!$B43,'TB Apr 24'!AD$13:AD$103)</f>
        <v>0</v>
      </c>
      <c r="AZ43" s="546">
        <f t="shared" si="25"/>
        <v>0</v>
      </c>
      <c r="BA43" s="87">
        <f>SUMIF('TB Apr 24'!$D$13:$D$103,'MIS Apr24'!$B43,'TB Apr 24'!AE$13:AE$103)</f>
        <v>0</v>
      </c>
      <c r="BB43" s="546">
        <f t="shared" si="26"/>
        <v>0</v>
      </c>
      <c r="BC43" s="87">
        <f>SUMIF('TB Apr 24'!$D$13:$D$103,'MIS Apr24'!$B43,'TB Apr 24'!AF$13:AF$103)</f>
        <v>0</v>
      </c>
      <c r="BD43" s="546">
        <f t="shared" si="27"/>
        <v>0</v>
      </c>
      <c r="BE43" s="87">
        <f>SUMIF('TB Apr 24'!$D$13:$D$103,'MIS Apr24'!$B43,'TB Apr 24'!AG$13:AG$103)</f>
        <v>0</v>
      </c>
      <c r="BF43" s="546">
        <f t="shared" si="28"/>
        <v>0</v>
      </c>
      <c r="BG43" s="87">
        <f>SUMIF('TB Apr 24'!$D$13:$D$103,'MIS Apr24'!$B43,'TB Apr 24'!AH$13:AH$103)</f>
        <v>0</v>
      </c>
      <c r="BH43" s="546">
        <f t="shared" si="29"/>
        <v>0</v>
      </c>
      <c r="BI43" s="87">
        <f>SUMIF('TB Apr 24'!$D$13:$D$103,'MIS Apr24'!$B43,'TB Apr 24'!AI$13:AI$103)</f>
        <v>0</v>
      </c>
      <c r="BJ43" s="546">
        <f t="shared" si="30"/>
        <v>0</v>
      </c>
      <c r="BK43" s="87">
        <f>SUMIF('TB Apr 24'!$D$13:$D$103,'MIS Apr24'!$B43,'TB Apr 24'!AJ$13:AJ$103)</f>
        <v>0</v>
      </c>
      <c r="BL43" s="546">
        <f t="shared" si="31"/>
        <v>0</v>
      </c>
      <c r="BM43" s="87">
        <f>SUMIF('TB Apr 24'!$D$13:$D$103,'MIS Apr24'!$B43,'TB Apr 24'!AK$13:AK$103)</f>
        <v>0</v>
      </c>
      <c r="BN43" s="546">
        <f t="shared" si="32"/>
        <v>0</v>
      </c>
      <c r="BO43" s="87">
        <f>SUMIF('TB Apr 24'!$D$13:$D$103,'MIS Apr24'!$B43,'TB Apr 24'!AL$13:AL$103)</f>
        <v>0</v>
      </c>
      <c r="BP43" s="546">
        <f t="shared" si="33"/>
        <v>0</v>
      </c>
      <c r="BQ43" s="87">
        <f>SUMIF('TB Apr 24'!$D$13:$D$103,'MIS Apr24'!$B43,'TB Apr 24'!AM$13:AM$103)</f>
        <v>0</v>
      </c>
      <c r="BR43" s="546">
        <f t="shared" si="34"/>
        <v>0</v>
      </c>
      <c r="BS43" s="87">
        <f>SUMIF('TB Apr 24'!$D$13:$D$103,'MIS Apr24'!$B43,'TB Apr 24'!AN$13:AN$103)</f>
        <v>0</v>
      </c>
      <c r="BT43" s="546">
        <f t="shared" si="35"/>
        <v>0</v>
      </c>
      <c r="BU43" s="87">
        <f>SUMIF('TB Apr 24'!$D$13:$D$103,'MIS Apr24'!$B43,'TB Apr 24'!AO$13:AO$103)</f>
        <v>0</v>
      </c>
      <c r="BV43" s="546">
        <f t="shared" si="36"/>
        <v>0</v>
      </c>
      <c r="BW43" s="87">
        <f>SUMIF('TB Apr 24'!$D$13:$D$103,'MIS Apr24'!$B43,'TB Apr 24'!AP$13:AP$103)</f>
        <v>0</v>
      </c>
      <c r="BX43" s="546">
        <f t="shared" si="37"/>
        <v>0</v>
      </c>
      <c r="BY43" s="87">
        <f>SUMIF('TB Apr 24'!$D$13:$D$103,'MIS Apr24'!$B43,'TB Apr 24'!AQ$13:AQ$103)</f>
        <v>0</v>
      </c>
      <c r="BZ43" s="546">
        <f t="shared" si="38"/>
        <v>0</v>
      </c>
      <c r="CA43" s="87">
        <f>SUMIF('TB Apr 24'!$D$13:$D$103,'MIS Apr24'!$B43,'TB Apr 24'!AR$13:AR$103)</f>
        <v>0</v>
      </c>
      <c r="CB43" s="546">
        <f t="shared" si="39"/>
        <v>0</v>
      </c>
      <c r="CC43" s="87">
        <f>SUMIF('TB Apr 24'!$D$13:$D$103,'MIS Apr24'!$B43,'TB Apr 24'!AS$13:AS$103)</f>
        <v>0</v>
      </c>
      <c r="CD43" s="546">
        <f t="shared" si="40"/>
        <v>0</v>
      </c>
      <c r="CE43" s="87">
        <f>SUMIF('TB Apr 24'!$D$13:$D$103,'MIS Apr24'!$B43,'TB Apr 24'!AT$13:AT$103)</f>
        <v>0</v>
      </c>
      <c r="CF43" s="546">
        <f t="shared" si="41"/>
        <v>0</v>
      </c>
      <c r="CG43" s="87">
        <f>SUMIF('TB Apr 24'!$D$13:$D$103,'MIS Apr24'!$B43,'TB Apr 24'!AU$13:AU$103)</f>
        <v>0</v>
      </c>
      <c r="CH43" s="546">
        <f t="shared" si="42"/>
        <v>0</v>
      </c>
      <c r="CI43" s="87">
        <f>SUMIF('TB Apr 24'!$D$13:$D$103,'MIS Apr24'!$B43,'TB Apr 24'!AV$13:AV$103)</f>
        <v>0</v>
      </c>
      <c r="CJ43" s="546">
        <f t="shared" si="43"/>
        <v>0</v>
      </c>
      <c r="CK43" s="87">
        <f>SUMIF('TB Apr 24'!$D$13:$D$103,'MIS Apr24'!$B43,'TB Apr 24'!AW$13:AW$103)</f>
        <v>0</v>
      </c>
      <c r="CL43" s="546">
        <f t="shared" si="44"/>
        <v>0</v>
      </c>
      <c r="CM43" s="87">
        <f>SUMIF('TB Apr 24'!$D$13:$D$103,'MIS Apr24'!$B43,'TB Apr 24'!AX$13:AX$103)</f>
        <v>0</v>
      </c>
      <c r="CN43" s="546">
        <f t="shared" si="45"/>
        <v>0</v>
      </c>
      <c r="CO43" s="87">
        <f>SUMIF('TB Apr 24'!$D$13:$D$103,'MIS Apr24'!$B43,'TB Apr 24'!AY$13:AY$103)</f>
        <v>0</v>
      </c>
      <c r="CP43" s="546">
        <f t="shared" si="46"/>
        <v>0</v>
      </c>
      <c r="CQ43" s="87">
        <f>SUMIF('TB Apr 24'!$D$13:$D$103,'MIS Apr24'!$B43,'TB Apr 24'!AZ$13:AZ$103)</f>
        <v>0</v>
      </c>
      <c r="CR43" s="546">
        <f t="shared" si="47"/>
        <v>0</v>
      </c>
      <c r="CS43" s="87">
        <f>SUMIF('TB Apr 24'!$D$13:$D$103,'MIS Apr24'!$B43,'TB Apr 24'!BA$13:BA$103)</f>
        <v>0</v>
      </c>
      <c r="CT43" s="546">
        <f t="shared" si="48"/>
        <v>0</v>
      </c>
      <c r="CU43" s="87">
        <f>SUMIF('TB Apr 24'!$D$13:$D$103,'MIS Apr24'!$B43,'TB Apr 24'!BB$13:BB$103)</f>
        <v>0</v>
      </c>
      <c r="CV43" s="546">
        <f t="shared" si="49"/>
        <v>0</v>
      </c>
      <c r="CW43" s="87">
        <f>SUMIF('TB Apr 24'!$D$13:$D$103,'MIS Apr24'!$B43,'TB Apr 24'!BC$13:BC$103)</f>
        <v>0</v>
      </c>
      <c r="CX43" s="546">
        <f t="shared" si="50"/>
        <v>0</v>
      </c>
      <c r="CY43" s="87">
        <f>SUMIF('TB Apr 24'!$D$13:$D$103,'MIS Apr24'!$B43,'TB Apr 24'!BD$13:BD$103)</f>
        <v>0</v>
      </c>
      <c r="CZ43" s="546">
        <f t="shared" si="51"/>
        <v>0</v>
      </c>
      <c r="DA43" s="87">
        <f>SUMIF('TB Apr 24'!$D$13:$D$103,'MIS Apr24'!$B43,'TB Apr 24'!O$13:O$103)</f>
        <v>0</v>
      </c>
      <c r="DB43" s="546">
        <f t="shared" si="52"/>
        <v>0</v>
      </c>
      <c r="DC43" s="87">
        <f t="shared" si="60"/>
        <v>0</v>
      </c>
      <c r="DD43" s="546">
        <f t="shared" si="53"/>
        <v>0</v>
      </c>
      <c r="DE43" s="87"/>
      <c r="DF43" s="546">
        <f t="shared" si="54"/>
        <v>0</v>
      </c>
      <c r="DG43" s="87">
        <f t="shared" si="61"/>
        <v>0</v>
      </c>
      <c r="DH43" s="546">
        <f t="shared" si="55"/>
        <v>0</v>
      </c>
    </row>
    <row r="44" spans="2:113" outlineLevel="1" x14ac:dyDescent="0.35">
      <c r="B44" s="17" t="s">
        <v>300</v>
      </c>
      <c r="C44" s="87">
        <f>SUMIF('TB Apr 24'!$D$13:$D$103,'MIS Apr24'!$B44,'TB Apr 24'!E$13:E$103)</f>
        <v>62319</v>
      </c>
      <c r="D44" s="546">
        <f t="shared" si="56"/>
        <v>5.162666749376698E-2</v>
      </c>
      <c r="E44" s="87">
        <f>SUMIF('TB Apr 24'!$D$13:$D$103,'MIS Apr24'!$B44,'TB Apr 24'!F$13:F$103)</f>
        <v>18370</v>
      </c>
      <c r="F44" s="546">
        <f t="shared" si="56"/>
        <v>1.1157854361540461E-2</v>
      </c>
      <c r="G44" s="87">
        <f>SUMIF('TB Apr 24'!$D$13:$D$103,'MIS Apr24'!$B44,'TB Apr 24'!G$13:G$103)</f>
        <v>0</v>
      </c>
      <c r="H44" s="546">
        <f t="shared" si="3"/>
        <v>0</v>
      </c>
      <c r="I44" s="87">
        <f>SUMIF('TB Apr 24'!$D$13:$D$103,'MIS Apr24'!$B44,'TB Apr 24'!H$13:H$103)</f>
        <v>21901</v>
      </c>
      <c r="J44" s="546">
        <f t="shared" si="4"/>
        <v>7.1751636674702596E-3</v>
      </c>
      <c r="K44" s="87">
        <f>SUMIF('TB Apr 24'!$D$13:$D$103,'MIS Apr24'!$B44,'TB Apr 24'!I$13:I$103)</f>
        <v>23471</v>
      </c>
      <c r="L44" s="546">
        <f t="shared" si="5"/>
        <v>2.4396728520839718E-2</v>
      </c>
      <c r="M44" s="87">
        <f>SUMIF('TB Apr 24'!$D$13:$D$103,'MIS Apr24'!$B44,'TB Apr 24'!J$13:J$103)</f>
        <v>7125</v>
      </c>
      <c r="N44" s="546">
        <f t="shared" si="6"/>
        <v>3.0676246527081858E-3</v>
      </c>
      <c r="O44" s="87">
        <f>SUMIF('TB Apr 24'!$D$13:$D$103,'MIS Apr24'!$B44,'TB Apr 24'!K$13:K$103)</f>
        <v>15553</v>
      </c>
      <c r="P44" s="546">
        <f t="shared" si="7"/>
        <v>4.619665658949855E-3</v>
      </c>
      <c r="Q44" s="87">
        <f>SUMIF('TB Apr 24'!$D$13:$D$103,'MIS Apr24'!$B44,'TB Apr 24'!L$13:L$103)</f>
        <v>0</v>
      </c>
      <c r="R44" s="546">
        <f t="shared" si="8"/>
        <v>0</v>
      </c>
      <c r="S44" s="87">
        <f>SUMIF('TB Apr 24'!$D$13:$D$103,'MIS Apr24'!$B44,'TB Apr 24'!M$13:M$103)</f>
        <v>20125</v>
      </c>
      <c r="T44" s="546">
        <f t="shared" si="9"/>
        <v>5.3521804507768505E-3</v>
      </c>
      <c r="U44" s="87">
        <f>SUMIF('TB Apr 24'!$D$13:$D$103,'MIS Apr24'!$B44,'TB Apr 24'!N$13:N$103)</f>
        <v>10255</v>
      </c>
      <c r="V44" s="546">
        <f t="shared" si="10"/>
        <v>3.6395302654796137E-3</v>
      </c>
      <c r="W44" s="87">
        <f>SUMIF('TB Apr 24'!$D$13:$D$103,'MIS Apr24'!$B44,'TB Apr 24'!P$13:P$103)</f>
        <v>0</v>
      </c>
      <c r="X44" s="546">
        <f t="shared" si="11"/>
        <v>0</v>
      </c>
      <c r="Y44" s="87">
        <f>SUMIF('TB Apr 24'!$D$13:$D$103,'MIS Apr24'!$B44,'TB Apr 24'!Q$13:Q$103)</f>
        <v>0</v>
      </c>
      <c r="Z44" s="546">
        <f t="shared" si="12"/>
        <v>0</v>
      </c>
      <c r="AA44" s="87">
        <f>SUMIF('TB Apr 24'!$D$13:$D$103,'MIS Apr24'!$B44,'TB Apr 24'!R$13:R$103)</f>
        <v>31658</v>
      </c>
      <c r="AB44" s="546">
        <f t="shared" si="13"/>
        <v>1.0062017226329233E-2</v>
      </c>
      <c r="AC44" s="87">
        <f>SUMIF('TB Apr 24'!$D$13:$D$103,'MIS Apr24'!$B44,'TB Apr 24'!S$13:S$103)</f>
        <v>71556</v>
      </c>
      <c r="AD44" s="546">
        <f t="shared" si="14"/>
        <v>3.1514428962292944E-2</v>
      </c>
      <c r="AE44" s="87">
        <f>SUMIF('TB Apr 24'!$D$13:$D$103,'MIS Apr24'!$B44,'TB Apr 24'!T$13:T$103)</f>
        <v>0</v>
      </c>
      <c r="AF44" s="546">
        <f t="shared" si="15"/>
        <v>0</v>
      </c>
      <c r="AG44" s="87">
        <f>SUMIF('TB Apr 24'!$D$13:$D$103,'MIS Apr24'!$B44,'TB Apr 24'!U$13:U$103)</f>
        <v>58040</v>
      </c>
      <c r="AH44" s="546">
        <f t="shared" si="16"/>
        <v>1.5615766957500209E-2</v>
      </c>
      <c r="AI44" s="87">
        <f>SUMIF('TB Apr 24'!$D$13:$D$103,'MIS Apr24'!$B44,'TB Apr 24'!V$13:V$103)</f>
        <v>0</v>
      </c>
      <c r="AJ44" s="546">
        <f t="shared" si="17"/>
        <v>0</v>
      </c>
      <c r="AK44" s="87">
        <f>SUMIF('TB Apr 24'!$D$13:$D$103,'MIS Apr24'!$B44,'TB Apr 24'!W$13:W$103)</f>
        <v>4279</v>
      </c>
      <c r="AL44" s="546">
        <f t="shared" si="18"/>
        <v>3.95316295487392E-3</v>
      </c>
      <c r="AM44" s="87">
        <f>SUMIF('TB Apr 24'!$D$13:$D$103,'MIS Apr24'!$B44,'TB Apr 24'!X$13:X$103)</f>
        <v>3309</v>
      </c>
      <c r="AN44" s="546">
        <f t="shared" si="19"/>
        <v>1.6173128989004331E-3</v>
      </c>
      <c r="AO44" s="87">
        <f>SUMIF('TB Apr 24'!$D$13:$D$103,'MIS Apr24'!$B44,'TB Apr 24'!Y$13:Y$103)</f>
        <v>5804</v>
      </c>
      <c r="AP44" s="546">
        <f t="shared" si="20"/>
        <v>3.2938007683893525E-3</v>
      </c>
      <c r="AQ44" s="87">
        <f>SUMIF('TB Apr 24'!$D$13:$D$103,'MIS Apr24'!$B44,'TB Apr 24'!Z$13:Z$103)</f>
        <v>61027</v>
      </c>
      <c r="AR44" s="546">
        <f t="shared" si="21"/>
        <v>4.1335198645103356E-2</v>
      </c>
      <c r="AS44" s="87">
        <f>SUMIF('TB Apr 24'!$D$13:$D$103,'MIS Apr24'!$B44,'TB Apr 24'!AA$13:AA$103)</f>
        <v>50470</v>
      </c>
      <c r="AT44" s="546">
        <f t="shared" si="22"/>
        <v>2.7041283524643554E-2</v>
      </c>
      <c r="AU44" s="87">
        <f>SUMIF('TB Apr 24'!$D$13:$D$103,'MIS Apr24'!$B44,'TB Apr 24'!AB$13:AB$103)</f>
        <v>0</v>
      </c>
      <c r="AV44" s="546">
        <f t="shared" si="23"/>
        <v>0</v>
      </c>
      <c r="AW44" s="87">
        <f>SUMIF('TB Apr 24'!$D$13:$D$103,'MIS Apr24'!$B44,'TB Apr 24'!AC$13:AC$103)</f>
        <v>117486</v>
      </c>
      <c r="AX44" s="546">
        <f t="shared" si="24"/>
        <v>3.1705786099864554E-2</v>
      </c>
      <c r="AY44" s="87">
        <f>SUMIF('TB Apr 24'!$D$13:$D$103,'MIS Apr24'!$B44,'TB Apr 24'!AD$13:AD$103)</f>
        <v>91595</v>
      </c>
      <c r="AZ44" s="546">
        <f t="shared" si="25"/>
        <v>2.1964485913244639E-2</v>
      </c>
      <c r="BA44" s="87">
        <f>SUMIF('TB Apr 24'!$D$13:$D$103,'MIS Apr24'!$B44,'TB Apr 24'!AE$13:AE$103)</f>
        <v>48504</v>
      </c>
      <c r="BB44" s="546">
        <f t="shared" si="26"/>
        <v>0.1473391665597103</v>
      </c>
      <c r="BC44" s="87">
        <f>SUMIF('TB Apr 24'!$D$13:$D$103,'MIS Apr24'!$B44,'TB Apr 24'!AF$13:AF$103)</f>
        <v>35225</v>
      </c>
      <c r="BD44" s="546">
        <f t="shared" si="27"/>
        <v>1.6904661099529452E-2</v>
      </c>
      <c r="BE44" s="87">
        <f>SUMIF('TB Apr 24'!$D$13:$D$103,'MIS Apr24'!$B44,'TB Apr 24'!AG$13:AG$103)</f>
        <v>63370</v>
      </c>
      <c r="BF44" s="546">
        <f t="shared" si="28"/>
        <v>3.9484101170260098E-2</v>
      </c>
      <c r="BG44" s="87">
        <f>SUMIF('TB Apr 24'!$D$13:$D$103,'MIS Apr24'!$B44,'TB Apr 24'!AH$13:AH$103)</f>
        <v>22396</v>
      </c>
      <c r="BH44" s="546">
        <f t="shared" si="29"/>
        <v>1.217159560483161E-2</v>
      </c>
      <c r="BI44" s="87">
        <f>SUMIF('TB Apr 24'!$D$13:$D$103,'MIS Apr24'!$B44,'TB Apr 24'!AI$13:AI$103)</f>
        <v>3714</v>
      </c>
      <c r="BJ44" s="546">
        <f t="shared" si="30"/>
        <v>1.976274391721699E-3</v>
      </c>
      <c r="BK44" s="87">
        <f>SUMIF('TB Apr 24'!$D$13:$D$103,'MIS Apr24'!$B44,'TB Apr 24'!AJ$13:AJ$103)</f>
        <v>2504</v>
      </c>
      <c r="BL44" s="546">
        <f t="shared" si="31"/>
        <v>1.0901167644092465E-3</v>
      </c>
      <c r="BM44" s="87">
        <f>SUMIF('TB Apr 24'!$D$13:$D$103,'MIS Apr24'!$B44,'TB Apr 24'!AK$13:AK$103)</f>
        <v>0</v>
      </c>
      <c r="BN44" s="546">
        <f t="shared" si="32"/>
        <v>0</v>
      </c>
      <c r="BO44" s="87">
        <f>SUMIF('TB Apr 24'!$D$13:$D$103,'MIS Apr24'!$B44,'TB Apr 24'!AL$13:AL$103)</f>
        <v>0</v>
      </c>
      <c r="BP44" s="546">
        <f t="shared" si="33"/>
        <v>0</v>
      </c>
      <c r="BQ44" s="87">
        <f>SUMIF('TB Apr 24'!$D$13:$D$103,'MIS Apr24'!$B44,'TB Apr 24'!AM$13:AM$103)</f>
        <v>0</v>
      </c>
      <c r="BR44" s="546">
        <f t="shared" si="34"/>
        <v>0</v>
      </c>
      <c r="BS44" s="87">
        <f>SUMIF('TB Apr 24'!$D$13:$D$103,'MIS Apr24'!$B44,'TB Apr 24'!AN$13:AN$103)</f>
        <v>0</v>
      </c>
      <c r="BT44" s="546">
        <f t="shared" si="35"/>
        <v>0</v>
      </c>
      <c r="BU44" s="87">
        <f>SUMIF('TB Apr 24'!$D$13:$D$103,'MIS Apr24'!$B44,'TB Apr 24'!AO$13:AO$103)</f>
        <v>9064</v>
      </c>
      <c r="BV44" s="546">
        <f t="shared" si="36"/>
        <v>1.8290733593264838E-3</v>
      </c>
      <c r="BW44" s="87">
        <f>SUMIF('TB Apr 24'!$D$13:$D$103,'MIS Apr24'!$B44,'TB Apr 24'!AP$13:AP$103)</f>
        <v>704</v>
      </c>
      <c r="BX44" s="546">
        <f t="shared" si="37"/>
        <v>2.9374825274032907E-3</v>
      </c>
      <c r="BY44" s="87">
        <f>SUMIF('TB Apr 24'!$D$13:$D$103,'MIS Apr24'!$B44,'TB Apr 24'!AQ$13:AQ$103)</f>
        <v>0</v>
      </c>
      <c r="BZ44" s="546">
        <f t="shared" si="38"/>
        <v>0</v>
      </c>
      <c r="CA44" s="87">
        <f>SUMIF('TB Apr 24'!$D$13:$D$103,'MIS Apr24'!$B44,'TB Apr 24'!AR$13:AR$103)</f>
        <v>7824</v>
      </c>
      <c r="CB44" s="546">
        <f t="shared" si="39"/>
        <v>1.3775989309730875E-3</v>
      </c>
      <c r="CC44" s="87">
        <f>SUMIF('TB Apr 24'!$D$13:$D$103,'MIS Apr24'!$B44,'TB Apr 24'!AS$13:AS$103)</f>
        <v>22793</v>
      </c>
      <c r="CD44" s="546">
        <f t="shared" si="40"/>
        <v>1.0571152525416221E-2</v>
      </c>
      <c r="CE44" s="87">
        <f>SUMIF('TB Apr 24'!$D$13:$D$103,'MIS Apr24'!$B44,'TB Apr 24'!AT$13:AT$103)</f>
        <v>45010</v>
      </c>
      <c r="CF44" s="546">
        <f t="shared" si="41"/>
        <v>2.7892365417992129E-2</v>
      </c>
      <c r="CG44" s="87">
        <f>SUMIF('TB Apr 24'!$D$13:$D$103,'MIS Apr24'!$B44,'TB Apr 24'!AU$13:AU$103)</f>
        <v>0</v>
      </c>
      <c r="CH44" s="546">
        <f t="shared" si="42"/>
        <v>0</v>
      </c>
      <c r="CI44" s="87">
        <f>SUMIF('TB Apr 24'!$D$13:$D$103,'MIS Apr24'!$B44,'TB Apr 24'!AV$13:AV$103)</f>
        <v>39830</v>
      </c>
      <c r="CJ44" s="546">
        <f t="shared" si="43"/>
        <v>1.8895838334072906E-2</v>
      </c>
      <c r="CK44" s="87">
        <f>SUMIF('TB Apr 24'!$D$13:$D$103,'MIS Apr24'!$B44,'TB Apr 24'!AW$13:AW$103)</f>
        <v>40259</v>
      </c>
      <c r="CL44" s="546">
        <f t="shared" si="44"/>
        <v>1.9326371935022183E-2</v>
      </c>
      <c r="CM44" s="87">
        <f>SUMIF('TB Apr 24'!$D$13:$D$103,'MIS Apr24'!$B44,'TB Apr 24'!AX$13:AX$103)</f>
        <v>0</v>
      </c>
      <c r="CN44" s="546">
        <f t="shared" si="45"/>
        <v>0</v>
      </c>
      <c r="CO44" s="87">
        <f>SUMIF('TB Apr 24'!$D$13:$D$103,'MIS Apr24'!$B44,'TB Apr 24'!AY$13:AY$103)</f>
        <v>0</v>
      </c>
      <c r="CP44" s="546">
        <f t="shared" si="46"/>
        <v>0</v>
      </c>
      <c r="CQ44" s="87">
        <f>SUMIF('TB Apr 24'!$D$13:$D$103,'MIS Apr24'!$B44,'TB Apr 24'!AZ$13:AZ$103)</f>
        <v>0</v>
      </c>
      <c r="CR44" s="546">
        <f t="shared" si="47"/>
        <v>0</v>
      </c>
      <c r="CS44" s="87">
        <f>SUMIF('TB Apr 24'!$D$13:$D$103,'MIS Apr24'!$B44,'TB Apr 24'!BA$13:BA$103)</f>
        <v>2069</v>
      </c>
      <c r="CT44" s="546">
        <f t="shared" si="48"/>
        <v>7.714686872569834E-4</v>
      </c>
      <c r="CU44" s="87">
        <f>SUMIF('TB Apr 24'!$D$13:$D$103,'MIS Apr24'!$B44,'TB Apr 24'!BB$13:BB$103)</f>
        <v>919</v>
      </c>
      <c r="CV44" s="546">
        <f t="shared" si="49"/>
        <v>7.3810687864385156E-4</v>
      </c>
      <c r="CW44" s="87">
        <f>SUMIF('TB Apr 24'!$D$13:$D$103,'MIS Apr24'!$B44,'TB Apr 24'!BC$13:BC$103)</f>
        <v>4470</v>
      </c>
      <c r="CX44" s="546">
        <f t="shared" si="50"/>
        <v>1.1232146406230999E-3</v>
      </c>
      <c r="CY44" s="87">
        <f>SUMIF('TB Apr 24'!$D$13:$D$103,'MIS Apr24'!$B44,'TB Apr 24'!BD$13:BD$103)</f>
        <v>800</v>
      </c>
      <c r="CZ44" s="546">
        <f t="shared" si="51"/>
        <v>1.2982040149094711E-3</v>
      </c>
      <c r="DA44" s="87">
        <f>SUMIF('TB Apr 24'!$D$13:$D$103,'MIS Apr24'!$B44,'TB Apr 24'!O$13:O$103)</f>
        <v>0</v>
      </c>
      <c r="DB44" s="546">
        <f t="shared" si="52"/>
        <v>0</v>
      </c>
      <c r="DC44" s="87">
        <f t="shared" si="60"/>
        <v>1023798</v>
      </c>
      <c r="DD44" s="546">
        <f t="shared" si="53"/>
        <v>1.2347750206842397E-2</v>
      </c>
      <c r="DE44" s="87"/>
      <c r="DF44" s="546">
        <f t="shared" si="54"/>
        <v>0</v>
      </c>
      <c r="DG44" s="87">
        <f t="shared" si="61"/>
        <v>-1023798</v>
      </c>
      <c r="DH44" s="546">
        <f t="shared" si="55"/>
        <v>1.2347750206842397E-2</v>
      </c>
    </row>
    <row r="45" spans="2:113" outlineLevel="1" x14ac:dyDescent="0.35">
      <c r="B45" s="17" t="s">
        <v>320</v>
      </c>
      <c r="C45" s="87">
        <f>SUMIF('TB Apr 24'!$D$13:$D$103,'MIS Apr24'!$B45,'TB Apr 24'!E$13:E$103)</f>
        <v>1800</v>
      </c>
      <c r="D45" s="546">
        <f t="shared" si="56"/>
        <v>1.4911664418360462E-3</v>
      </c>
      <c r="E45" s="87">
        <f>SUMIF('TB Apr 24'!$D$13:$D$103,'MIS Apr24'!$B45,'TB Apr 24'!F$13:F$103)</f>
        <v>45720</v>
      </c>
      <c r="F45" s="546">
        <f t="shared" si="56"/>
        <v>2.7770119837214474E-2</v>
      </c>
      <c r="G45" s="87">
        <f>SUMIF('TB Apr 24'!$D$13:$D$103,'MIS Apr24'!$B45,'TB Apr 24'!G$13:G$103)</f>
        <v>0</v>
      </c>
      <c r="H45" s="546">
        <f t="shared" si="3"/>
        <v>0</v>
      </c>
      <c r="I45" s="87">
        <f>SUMIF('TB Apr 24'!$D$13:$D$103,'MIS Apr24'!$B45,'TB Apr 24'!H$13:H$103)</f>
        <v>24410</v>
      </c>
      <c r="J45" s="546">
        <f t="shared" si="4"/>
        <v>7.9971574413473835E-3</v>
      </c>
      <c r="K45" s="87">
        <f>SUMIF('TB Apr 24'!$D$13:$D$103,'MIS Apr24'!$B45,'TB Apr 24'!I$13:I$103)</f>
        <v>1140</v>
      </c>
      <c r="L45" s="546">
        <f t="shared" si="5"/>
        <v>1.1849631678989936E-3</v>
      </c>
      <c r="M45" s="87">
        <f>SUMIF('TB Apr 24'!$D$13:$D$103,'MIS Apr24'!$B45,'TB Apr 24'!J$13:J$103)</f>
        <v>3156.25</v>
      </c>
      <c r="N45" s="546">
        <f t="shared" si="6"/>
        <v>1.358903903173363E-3</v>
      </c>
      <c r="O45" s="87">
        <f>SUMIF('TB Apr 24'!$D$13:$D$103,'MIS Apr24'!$B45,'TB Apr 24'!K$13:K$103)</f>
        <v>7456.25</v>
      </c>
      <c r="P45" s="546">
        <f t="shared" si="7"/>
        <v>2.2147098353722662E-3</v>
      </c>
      <c r="Q45" s="87">
        <f>SUMIF('TB Apr 24'!$D$13:$D$103,'MIS Apr24'!$B45,'TB Apr 24'!L$13:L$103)</f>
        <v>0</v>
      </c>
      <c r="R45" s="546">
        <f t="shared" si="8"/>
        <v>0</v>
      </c>
      <c r="S45" s="87">
        <f>SUMIF('TB Apr 24'!$D$13:$D$103,'MIS Apr24'!$B45,'TB Apr 24'!M$13:M$103)</f>
        <v>4056.25</v>
      </c>
      <c r="T45" s="546">
        <f t="shared" si="9"/>
        <v>1.078746929364651E-3</v>
      </c>
      <c r="U45" s="87">
        <f>SUMIF('TB Apr 24'!$D$13:$D$103,'MIS Apr24'!$B45,'TB Apr 24'!N$13:N$103)</f>
        <v>13209.25</v>
      </c>
      <c r="V45" s="546">
        <f t="shared" si="10"/>
        <v>4.6880024533677801E-3</v>
      </c>
      <c r="W45" s="87">
        <f>SUMIF('TB Apr 24'!$D$13:$D$103,'MIS Apr24'!$B45,'TB Apr 24'!P$13:P$103)</f>
        <v>0</v>
      </c>
      <c r="X45" s="546">
        <f t="shared" si="11"/>
        <v>0</v>
      </c>
      <c r="Y45" s="87">
        <f>SUMIF('TB Apr 24'!$D$13:$D$103,'MIS Apr24'!$B45,'TB Apr 24'!Q$13:Q$103)</f>
        <v>0</v>
      </c>
      <c r="Z45" s="546">
        <f t="shared" si="12"/>
        <v>0</v>
      </c>
      <c r="AA45" s="87">
        <f>SUMIF('TB Apr 24'!$D$13:$D$103,'MIS Apr24'!$B45,'TB Apr 24'!R$13:R$103)</f>
        <v>500</v>
      </c>
      <c r="AB45" s="546">
        <f t="shared" si="13"/>
        <v>1.5891744940187681E-4</v>
      </c>
      <c r="AC45" s="87">
        <f>SUMIF('TB Apr 24'!$D$13:$D$103,'MIS Apr24'!$B45,'TB Apr 24'!S$13:S$103)</f>
        <v>88623</v>
      </c>
      <c r="AD45" s="546">
        <f t="shared" si="14"/>
        <v>3.90310140019745E-2</v>
      </c>
      <c r="AE45" s="87">
        <f>SUMIF('TB Apr 24'!$D$13:$D$103,'MIS Apr24'!$B45,'TB Apr 24'!T$13:T$103)</f>
        <v>0</v>
      </c>
      <c r="AF45" s="546">
        <f t="shared" si="15"/>
        <v>0</v>
      </c>
      <c r="AG45" s="87">
        <f>SUMIF('TB Apr 24'!$D$13:$D$103,'MIS Apr24'!$B45,'TB Apr 24'!U$13:U$103)</f>
        <v>29206</v>
      </c>
      <c r="AH45" s="546">
        <f t="shared" si="16"/>
        <v>7.857927115105981E-3</v>
      </c>
      <c r="AI45" s="87">
        <f>SUMIF('TB Apr 24'!$D$13:$D$103,'MIS Apr24'!$B45,'TB Apr 24'!V$13:V$103)</f>
        <v>0</v>
      </c>
      <c r="AJ45" s="546">
        <f t="shared" si="17"/>
        <v>0</v>
      </c>
      <c r="AK45" s="87">
        <f>SUMIF('TB Apr 24'!$D$13:$D$103,'MIS Apr24'!$B45,'TB Apr 24'!W$13:W$103)</f>
        <v>11581.333333333332</v>
      </c>
      <c r="AL45" s="546">
        <f t="shared" si="18"/>
        <v>1.0699438630843614E-2</v>
      </c>
      <c r="AM45" s="87">
        <f>SUMIF('TB Apr 24'!$D$13:$D$103,'MIS Apr24'!$B45,'TB Apr 24'!X$13:X$103)</f>
        <v>10377.333333333332</v>
      </c>
      <c r="AN45" s="546">
        <f t="shared" si="19"/>
        <v>5.0720444412781585E-3</v>
      </c>
      <c r="AO45" s="87">
        <f>SUMIF('TB Apr 24'!$D$13:$D$103,'MIS Apr24'!$B45,'TB Apr 24'!Y$13:Y$103)</f>
        <v>6642.333333333333</v>
      </c>
      <c r="AP45" s="546">
        <f t="shared" si="20"/>
        <v>3.7695593792611204E-3</v>
      </c>
      <c r="AQ45" s="87">
        <f>SUMIF('TB Apr 24'!$D$13:$D$103,'MIS Apr24'!$B45,'TB Apr 24'!Z$13:Z$103)</f>
        <v>25527</v>
      </c>
      <c r="AR45" s="546">
        <f t="shared" si="21"/>
        <v>1.7290111193628284E-2</v>
      </c>
      <c r="AS45" s="87">
        <f>SUMIF('TB Apr 24'!$D$13:$D$103,'MIS Apr24'!$B45,'TB Apr 24'!AA$13:AA$103)</f>
        <v>10291</v>
      </c>
      <c r="AT45" s="546">
        <f t="shared" si="22"/>
        <v>5.5138071874798258E-3</v>
      </c>
      <c r="AU45" s="87">
        <f>SUMIF('TB Apr 24'!$D$13:$D$103,'MIS Apr24'!$B45,'TB Apr 24'!AB$13:AB$103)</f>
        <v>0</v>
      </c>
      <c r="AV45" s="546">
        <f t="shared" si="23"/>
        <v>0</v>
      </c>
      <c r="AW45" s="87">
        <f>SUMIF('TB Apr 24'!$D$13:$D$103,'MIS Apr24'!$B45,'TB Apr 24'!AC$13:AC$103)</f>
        <v>25871</v>
      </c>
      <c r="AX45" s="546">
        <f t="shared" si="24"/>
        <v>6.9817713786289072E-3</v>
      </c>
      <c r="AY45" s="87">
        <f>SUMIF('TB Apr 24'!$D$13:$D$103,'MIS Apr24'!$B45,'TB Apr 24'!AD$13:AD$103)</f>
        <v>6872</v>
      </c>
      <c r="AZ45" s="546">
        <f t="shared" si="25"/>
        <v>1.6479059686207453E-3</v>
      </c>
      <c r="BA45" s="87">
        <f>SUMIF('TB Apr 24'!$D$13:$D$103,'MIS Apr24'!$B45,'TB Apr 24'!AE$13:AE$103)</f>
        <v>3870</v>
      </c>
      <c r="BB45" s="546">
        <f t="shared" si="26"/>
        <v>1.1755784565934332E-2</v>
      </c>
      <c r="BC45" s="87">
        <f>SUMIF('TB Apr 24'!$D$13:$D$103,'MIS Apr24'!$B45,'TB Apr 24'!AF$13:AF$103)</f>
        <v>1220</v>
      </c>
      <c r="BD45" s="546">
        <f t="shared" si="27"/>
        <v>5.8548435887653455E-4</v>
      </c>
      <c r="BE45" s="87">
        <f>SUMIF('TB Apr 24'!$D$13:$D$103,'MIS Apr24'!$B45,'TB Apr 24'!AG$13:AG$103)</f>
        <v>55115</v>
      </c>
      <c r="BF45" s="546">
        <f t="shared" si="28"/>
        <v>3.434063809371761E-2</v>
      </c>
      <c r="BG45" s="87">
        <f>SUMIF('TB Apr 24'!$D$13:$D$103,'MIS Apr24'!$B45,'TB Apr 24'!AH$13:AH$103)</f>
        <v>32415</v>
      </c>
      <c r="BH45" s="546">
        <f t="shared" si="29"/>
        <v>1.761664009334777E-2</v>
      </c>
      <c r="BI45" s="87">
        <f>SUMIF('TB Apr 24'!$D$13:$D$103,'MIS Apr24'!$B45,'TB Apr 24'!AI$13:AI$103)</f>
        <v>57458.8</v>
      </c>
      <c r="BJ45" s="546">
        <f t="shared" si="30"/>
        <v>3.0574678249611947E-2</v>
      </c>
      <c r="BK45" s="87">
        <f>SUMIF('TB Apr 24'!$D$13:$D$103,'MIS Apr24'!$B45,'TB Apr 24'!AJ$13:AJ$103)</f>
        <v>5349.8</v>
      </c>
      <c r="BL45" s="546">
        <f t="shared" si="31"/>
        <v>2.3290362085609377E-3</v>
      </c>
      <c r="BM45" s="87">
        <f>SUMIF('TB Apr 24'!$D$13:$D$103,'MIS Apr24'!$B45,'TB Apr 24'!AK$13:AK$103)</f>
        <v>0</v>
      </c>
      <c r="BN45" s="546">
        <f t="shared" si="32"/>
        <v>0</v>
      </c>
      <c r="BO45" s="87">
        <f>SUMIF('TB Apr 24'!$D$13:$D$103,'MIS Apr24'!$B45,'TB Apr 24'!AL$13:AL$103)</f>
        <v>0</v>
      </c>
      <c r="BP45" s="546">
        <f t="shared" si="33"/>
        <v>0</v>
      </c>
      <c r="BQ45" s="87">
        <f>SUMIF('TB Apr 24'!$D$13:$D$103,'MIS Apr24'!$B45,'TB Apr 24'!AM$13:AM$103)</f>
        <v>0</v>
      </c>
      <c r="BR45" s="546">
        <f t="shared" si="34"/>
        <v>0</v>
      </c>
      <c r="BS45" s="87">
        <f>SUMIF('TB Apr 24'!$D$13:$D$103,'MIS Apr24'!$B45,'TB Apr 24'!AN$13:AN$103)</f>
        <v>0</v>
      </c>
      <c r="BT45" s="546">
        <f t="shared" si="35"/>
        <v>0</v>
      </c>
      <c r="BU45" s="87">
        <f>SUMIF('TB Apr 24'!$D$13:$D$103,'MIS Apr24'!$B45,'TB Apr 24'!AO$13:AO$103)</f>
        <v>24679.8</v>
      </c>
      <c r="BV45" s="546">
        <f t="shared" si="36"/>
        <v>4.9802697146409704E-3</v>
      </c>
      <c r="BW45" s="87">
        <f>SUMIF('TB Apr 24'!$D$13:$D$103,'MIS Apr24'!$B45,'TB Apr 24'!AP$13:AP$103)</f>
        <v>5489.8</v>
      </c>
      <c r="BX45" s="546">
        <f t="shared" si="37"/>
        <v>2.2906522129174125E-2</v>
      </c>
      <c r="BY45" s="87">
        <f>SUMIF('TB Apr 24'!$D$13:$D$103,'MIS Apr24'!$B45,'TB Apr 24'!AQ$13:AQ$103)</f>
        <v>0</v>
      </c>
      <c r="BZ45" s="546">
        <f t="shared" si="38"/>
        <v>0</v>
      </c>
      <c r="CA45" s="87">
        <f>SUMIF('TB Apr 24'!$D$13:$D$103,'MIS Apr24'!$B45,'TB Apr 24'!AR$13:AR$103)</f>
        <v>24309.8</v>
      </c>
      <c r="CB45" s="546">
        <f t="shared" si="39"/>
        <v>4.2803111569746375E-3</v>
      </c>
      <c r="CC45" s="87">
        <f>SUMIF('TB Apr 24'!$D$13:$D$103,'MIS Apr24'!$B45,'TB Apr 24'!AS$13:AS$103)</f>
        <v>12410</v>
      </c>
      <c r="CD45" s="546">
        <f t="shared" si="40"/>
        <v>5.755626852121937E-3</v>
      </c>
      <c r="CE45" s="87">
        <f>SUMIF('TB Apr 24'!$D$13:$D$103,'MIS Apr24'!$B45,'TB Apr 24'!AT$13:AT$103)</f>
        <v>392</v>
      </c>
      <c r="CF45" s="546">
        <f t="shared" si="41"/>
        <v>2.4291951219402168E-4</v>
      </c>
      <c r="CG45" s="87">
        <f>SUMIF('TB Apr 24'!$D$13:$D$103,'MIS Apr24'!$B45,'TB Apr 24'!AU$13:AU$103)</f>
        <v>0</v>
      </c>
      <c r="CH45" s="546">
        <f t="shared" si="42"/>
        <v>0</v>
      </c>
      <c r="CI45" s="87">
        <f>SUMIF('TB Apr 24'!$D$13:$D$103,'MIS Apr24'!$B45,'TB Apr 24'!AV$13:AV$103)</f>
        <v>1808</v>
      </c>
      <c r="CJ45" s="546">
        <f t="shared" si="43"/>
        <v>8.5773727612362084E-4</v>
      </c>
      <c r="CK45" s="87">
        <f>SUMIF('TB Apr 24'!$D$13:$D$103,'MIS Apr24'!$B45,'TB Apr 24'!AW$13:AW$103)</f>
        <v>1808</v>
      </c>
      <c r="CL45" s="546">
        <f t="shared" si="44"/>
        <v>8.6793215078665895E-4</v>
      </c>
      <c r="CM45" s="87">
        <f>SUMIF('TB Apr 24'!$D$13:$D$103,'MIS Apr24'!$B45,'TB Apr 24'!AX$13:AX$103)</f>
        <v>16284</v>
      </c>
      <c r="CN45" s="546">
        <f t="shared" si="45"/>
        <v>1.4239399772258274E-2</v>
      </c>
      <c r="CO45" s="87">
        <f>SUMIF('TB Apr 24'!$D$13:$D$103,'MIS Apr24'!$B45,'TB Apr 24'!AY$13:AY$103)</f>
        <v>0</v>
      </c>
      <c r="CP45" s="546">
        <f t="shared" si="46"/>
        <v>0</v>
      </c>
      <c r="CQ45" s="87">
        <f>SUMIF('TB Apr 24'!$D$13:$D$103,'MIS Apr24'!$B45,'TB Apr 24'!AZ$13:AZ$103)</f>
        <v>0</v>
      </c>
      <c r="CR45" s="546">
        <f t="shared" si="47"/>
        <v>0</v>
      </c>
      <c r="CS45" s="87">
        <f>SUMIF('TB Apr 24'!$D$13:$D$103,'MIS Apr24'!$B45,'TB Apr 24'!BA$13:BA$103)</f>
        <v>13159</v>
      </c>
      <c r="CT45" s="546">
        <f t="shared" si="48"/>
        <v>4.9066005102052414E-3</v>
      </c>
      <c r="CU45" s="87">
        <f>SUMIF('TB Apr 24'!$D$13:$D$103,'MIS Apr24'!$B45,'TB Apr 24'!BB$13:BB$103)</f>
        <v>7700</v>
      </c>
      <c r="CV45" s="546">
        <f t="shared" si="49"/>
        <v>6.1843557840670915E-3</v>
      </c>
      <c r="CW45" s="87">
        <f>SUMIF('TB Apr 24'!$D$13:$D$103,'MIS Apr24'!$B45,'TB Apr 24'!BC$13:BC$103)</f>
        <v>85261</v>
      </c>
      <c r="CX45" s="546">
        <f t="shared" si="50"/>
        <v>2.1424251336502487E-2</v>
      </c>
      <c r="CY45" s="87">
        <f>SUMIF('TB Apr 24'!$D$13:$D$103,'MIS Apr24'!$B45,'TB Apr 24'!BD$13:BD$103)</f>
        <v>10238</v>
      </c>
      <c r="CZ45" s="546">
        <f t="shared" si="51"/>
        <v>1.6613765880803957E-2</v>
      </c>
      <c r="DA45" s="87">
        <f>SUMIF('TB Apr 24'!$D$13:$D$103,'MIS Apr24'!$B45,'TB Apr 24'!O$13:O$103)</f>
        <v>0</v>
      </c>
      <c r="DB45" s="546">
        <f t="shared" si="52"/>
        <v>0</v>
      </c>
      <c r="DC45" s="87">
        <f t="shared" si="60"/>
        <v>675407</v>
      </c>
      <c r="DD45" s="546">
        <f t="shared" si="53"/>
        <v>8.1459007772556723E-3</v>
      </c>
      <c r="DE45" s="87"/>
      <c r="DF45" s="546">
        <f t="shared" si="54"/>
        <v>0</v>
      </c>
      <c r="DG45" s="87">
        <f t="shared" si="61"/>
        <v>-675407</v>
      </c>
      <c r="DH45" s="546">
        <f t="shared" si="55"/>
        <v>8.1459007772556723E-3</v>
      </c>
    </row>
    <row r="46" spans="2:113" outlineLevel="1" x14ac:dyDescent="0.35">
      <c r="B46" s="17" t="s">
        <v>321</v>
      </c>
      <c r="C46" s="87">
        <f>SUMIF('TB Apr 24'!$D$13:$D$103,'MIS Apr24'!$B46,'TB Apr 24'!E$13:E$103)</f>
        <v>2958</v>
      </c>
      <c r="D46" s="546">
        <f t="shared" si="56"/>
        <v>2.450483519417236E-3</v>
      </c>
      <c r="E46" s="87">
        <f>SUMIF('TB Apr 24'!$D$13:$D$103,'MIS Apr24'!$B46,'TB Apr 24'!F$13:F$103)</f>
        <v>0</v>
      </c>
      <c r="F46" s="546">
        <f t="shared" si="56"/>
        <v>0</v>
      </c>
      <c r="G46" s="87">
        <f>SUMIF('TB Apr 24'!$D$13:$D$103,'MIS Apr24'!$B46,'TB Apr 24'!G$13:G$103)</f>
        <v>0</v>
      </c>
      <c r="H46" s="546">
        <f t="shared" si="3"/>
        <v>0</v>
      </c>
      <c r="I46" s="87">
        <f>SUMIF('TB Apr 24'!$D$13:$D$103,'MIS Apr24'!$B46,'TB Apr 24'!H$13:H$103)</f>
        <v>2958</v>
      </c>
      <c r="J46" s="546">
        <f t="shared" si="4"/>
        <v>9.6909429379375494E-4</v>
      </c>
      <c r="K46" s="87">
        <f>SUMIF('TB Apr 24'!$D$13:$D$103,'MIS Apr24'!$B46,'TB Apr 24'!I$13:I$103)</f>
        <v>2958</v>
      </c>
      <c r="L46" s="546">
        <f t="shared" si="5"/>
        <v>3.0746675882852834E-3</v>
      </c>
      <c r="M46" s="87">
        <f>SUMIF('TB Apr 24'!$D$13:$D$103,'MIS Apr24'!$B46,'TB Apr 24'!J$13:J$103)</f>
        <v>3313</v>
      </c>
      <c r="N46" s="546">
        <f t="shared" si="6"/>
        <v>1.426391645532943E-3</v>
      </c>
      <c r="O46" s="87">
        <f>SUMIF('TB Apr 24'!$D$13:$D$103,'MIS Apr24'!$B46,'TB Apr 24'!K$13:K$103)</f>
        <v>3312</v>
      </c>
      <c r="P46" s="546">
        <f t="shared" si="7"/>
        <v>9.8375443081347136E-4</v>
      </c>
      <c r="Q46" s="87">
        <f>SUMIF('TB Apr 24'!$D$13:$D$103,'MIS Apr24'!$B46,'TB Apr 24'!L$13:L$103)</f>
        <v>0</v>
      </c>
      <c r="R46" s="546">
        <f t="shared" si="8"/>
        <v>0</v>
      </c>
      <c r="S46" s="87">
        <f>SUMIF('TB Apr 24'!$D$13:$D$103,'MIS Apr24'!$B46,'TB Apr 24'!M$13:M$103)</f>
        <v>3312</v>
      </c>
      <c r="T46" s="546">
        <f t="shared" si="9"/>
        <v>8.8081598275641874E-4</v>
      </c>
      <c r="U46" s="87">
        <f>SUMIF('TB Apr 24'!$D$13:$D$103,'MIS Apr24'!$B46,'TB Apr 24'!N$13:N$103)</f>
        <v>3312</v>
      </c>
      <c r="V46" s="546">
        <f t="shared" si="10"/>
        <v>1.1754387361548981E-3</v>
      </c>
      <c r="W46" s="87">
        <f>SUMIF('TB Apr 24'!$D$13:$D$103,'MIS Apr24'!$B46,'TB Apr 24'!P$13:P$103)</f>
        <v>0</v>
      </c>
      <c r="X46" s="546">
        <f t="shared" si="11"/>
        <v>0</v>
      </c>
      <c r="Y46" s="87">
        <f>SUMIF('TB Apr 24'!$D$13:$D$103,'MIS Apr24'!$B46,'TB Apr 24'!Q$13:Q$103)</f>
        <v>0</v>
      </c>
      <c r="Z46" s="546">
        <f t="shared" si="12"/>
        <v>0</v>
      </c>
      <c r="AA46" s="87">
        <f>SUMIF('TB Apr 24'!$D$13:$D$103,'MIS Apr24'!$B46,'TB Apr 24'!R$13:R$103)</f>
        <v>0</v>
      </c>
      <c r="AB46" s="546">
        <f t="shared" si="13"/>
        <v>0</v>
      </c>
      <c r="AC46" s="87">
        <f>SUMIF('TB Apr 24'!$D$13:$D$103,'MIS Apr24'!$B46,'TB Apr 24'!S$13:S$103)</f>
        <v>3540</v>
      </c>
      <c r="AD46" s="546">
        <f t="shared" si="14"/>
        <v>1.5590737118692634E-3</v>
      </c>
      <c r="AE46" s="87">
        <f>SUMIF('TB Apr 24'!$D$13:$D$103,'MIS Apr24'!$B46,'TB Apr 24'!T$13:T$103)</f>
        <v>0</v>
      </c>
      <c r="AF46" s="546">
        <f t="shared" si="15"/>
        <v>0</v>
      </c>
      <c r="AG46" s="87">
        <f>SUMIF('TB Apr 24'!$D$13:$D$103,'MIS Apr24'!$B46,'TB Apr 24'!U$13:U$103)</f>
        <v>2327</v>
      </c>
      <c r="AH46" s="546">
        <f t="shared" si="16"/>
        <v>6.2608355806517896E-4</v>
      </c>
      <c r="AI46" s="87">
        <f>SUMIF('TB Apr 24'!$D$13:$D$103,'MIS Apr24'!$B46,'TB Apr 24'!V$13:V$103)</f>
        <v>0</v>
      </c>
      <c r="AJ46" s="546">
        <f t="shared" si="17"/>
        <v>0</v>
      </c>
      <c r="AK46" s="87">
        <f>SUMIF('TB Apr 24'!$D$13:$D$103,'MIS Apr24'!$B46,'TB Apr 24'!W$13:W$103)</f>
        <v>0</v>
      </c>
      <c r="AL46" s="546">
        <f t="shared" si="18"/>
        <v>0</v>
      </c>
      <c r="AM46" s="87">
        <f>SUMIF('TB Apr 24'!$D$13:$D$103,'MIS Apr24'!$B46,'TB Apr 24'!X$13:X$103)</f>
        <v>0</v>
      </c>
      <c r="AN46" s="546">
        <f t="shared" si="19"/>
        <v>0</v>
      </c>
      <c r="AO46" s="87">
        <f>SUMIF('TB Apr 24'!$D$13:$D$103,'MIS Apr24'!$B46,'TB Apr 24'!Y$13:Y$103)</f>
        <v>0</v>
      </c>
      <c r="AP46" s="546">
        <f t="shared" si="20"/>
        <v>0</v>
      </c>
      <c r="AQ46" s="87">
        <f>SUMIF('TB Apr 24'!$D$13:$D$103,'MIS Apr24'!$B46,'TB Apr 24'!Z$13:Z$103)</f>
        <v>0</v>
      </c>
      <c r="AR46" s="546">
        <f t="shared" si="21"/>
        <v>0</v>
      </c>
      <c r="AS46" s="87">
        <f>SUMIF('TB Apr 24'!$D$13:$D$103,'MIS Apr24'!$B46,'TB Apr 24'!AA$13:AA$103)</f>
        <v>0</v>
      </c>
      <c r="AT46" s="546">
        <f t="shared" si="22"/>
        <v>0</v>
      </c>
      <c r="AU46" s="87">
        <f>SUMIF('TB Apr 24'!$D$13:$D$103,'MIS Apr24'!$B46,'TB Apr 24'!AB$13:AB$103)</f>
        <v>0</v>
      </c>
      <c r="AV46" s="546">
        <f t="shared" si="23"/>
        <v>0</v>
      </c>
      <c r="AW46" s="87">
        <f>SUMIF('TB Apr 24'!$D$13:$D$103,'MIS Apr24'!$B46,'TB Apr 24'!AC$13:AC$103)</f>
        <v>1300</v>
      </c>
      <c r="AX46" s="546">
        <f t="shared" si="24"/>
        <v>3.5082922160788448E-4</v>
      </c>
      <c r="AY46" s="87">
        <f>SUMIF('TB Apr 24'!$D$13:$D$103,'MIS Apr24'!$B46,'TB Apr 24'!AD$13:AD$103)</f>
        <v>1768</v>
      </c>
      <c r="AZ46" s="546">
        <f t="shared" si="25"/>
        <v>4.2396649483723484E-4</v>
      </c>
      <c r="BA46" s="87">
        <f>SUMIF('TB Apr 24'!$D$13:$D$103,'MIS Apr24'!$B46,'TB Apr 24'!AE$13:AE$103)</f>
        <v>1060</v>
      </c>
      <c r="BB46" s="546">
        <f t="shared" si="26"/>
        <v>3.2199306563024267E-3</v>
      </c>
      <c r="BC46" s="87">
        <f>SUMIF('TB Apr 24'!$D$13:$D$103,'MIS Apr24'!$B46,'TB Apr 24'!AF$13:AF$103)</f>
        <v>0</v>
      </c>
      <c r="BD46" s="546">
        <f t="shared" si="27"/>
        <v>0</v>
      </c>
      <c r="BE46" s="87">
        <f>SUMIF('TB Apr 24'!$D$13:$D$103,'MIS Apr24'!$B46,'TB Apr 24'!AG$13:AG$103)</f>
        <v>1063</v>
      </c>
      <c r="BF46" s="546">
        <f t="shared" si="28"/>
        <v>6.6232601458081873E-4</v>
      </c>
      <c r="BG46" s="87">
        <f>SUMIF('TB Apr 24'!$D$13:$D$103,'MIS Apr24'!$B46,'TB Apr 24'!AH$13:AH$103)</f>
        <v>1800</v>
      </c>
      <c r="BH46" s="546">
        <f t="shared" si="29"/>
        <v>9.7824933419793261E-4</v>
      </c>
      <c r="BI46" s="87">
        <f>SUMIF('TB Apr 24'!$D$13:$D$103,'MIS Apr24'!$B46,'TB Apr 24'!AI$13:AI$103)</f>
        <v>0</v>
      </c>
      <c r="BJ46" s="546">
        <f t="shared" si="30"/>
        <v>0</v>
      </c>
      <c r="BK46" s="87">
        <f>SUMIF('TB Apr 24'!$D$13:$D$103,'MIS Apr24'!$B46,'TB Apr 24'!AJ$13:AJ$103)</f>
        <v>0</v>
      </c>
      <c r="BL46" s="546">
        <f t="shared" si="31"/>
        <v>0</v>
      </c>
      <c r="BM46" s="87">
        <f>SUMIF('TB Apr 24'!$D$13:$D$103,'MIS Apr24'!$B46,'TB Apr 24'!AK$13:AK$103)</f>
        <v>0</v>
      </c>
      <c r="BN46" s="546">
        <f t="shared" si="32"/>
        <v>0</v>
      </c>
      <c r="BO46" s="87">
        <f>SUMIF('TB Apr 24'!$D$13:$D$103,'MIS Apr24'!$B46,'TB Apr 24'!AL$13:AL$103)</f>
        <v>0</v>
      </c>
      <c r="BP46" s="546">
        <f t="shared" si="33"/>
        <v>0</v>
      </c>
      <c r="BQ46" s="87">
        <f>SUMIF('TB Apr 24'!$D$13:$D$103,'MIS Apr24'!$B46,'TB Apr 24'!AM$13:AM$103)</f>
        <v>0</v>
      </c>
      <c r="BR46" s="546">
        <f t="shared" si="34"/>
        <v>0</v>
      </c>
      <c r="BS46" s="87">
        <f>SUMIF('TB Apr 24'!$D$13:$D$103,'MIS Apr24'!$B46,'TB Apr 24'!AN$13:AN$103)</f>
        <v>0</v>
      </c>
      <c r="BT46" s="546">
        <f t="shared" si="35"/>
        <v>0</v>
      </c>
      <c r="BU46" s="87">
        <f>SUMIF('TB Apr 24'!$D$13:$D$103,'MIS Apr24'!$B46,'TB Apr 24'!AO$13:AO$103)</f>
        <v>0</v>
      </c>
      <c r="BV46" s="546">
        <f t="shared" si="36"/>
        <v>0</v>
      </c>
      <c r="BW46" s="87">
        <f>SUMIF('TB Apr 24'!$D$13:$D$103,'MIS Apr24'!$B46,'TB Apr 24'!AP$13:AP$103)</f>
        <v>0</v>
      </c>
      <c r="BX46" s="546">
        <f t="shared" si="37"/>
        <v>0</v>
      </c>
      <c r="BY46" s="87">
        <f>SUMIF('TB Apr 24'!$D$13:$D$103,'MIS Apr24'!$B46,'TB Apr 24'!AQ$13:AQ$103)</f>
        <v>0</v>
      </c>
      <c r="BZ46" s="546">
        <f t="shared" si="38"/>
        <v>0</v>
      </c>
      <c r="CA46" s="87">
        <f>SUMIF('TB Apr 24'!$D$13:$D$103,'MIS Apr24'!$B46,'TB Apr 24'!AR$13:AR$103)</f>
        <v>756</v>
      </c>
      <c r="CB46" s="546">
        <f t="shared" si="39"/>
        <v>1.3311155314617255E-4</v>
      </c>
      <c r="CC46" s="87">
        <f>SUMIF('TB Apr 24'!$D$13:$D$103,'MIS Apr24'!$B46,'TB Apr 24'!AS$13:AS$103)</f>
        <v>707</v>
      </c>
      <c r="CD46" s="546">
        <f t="shared" si="40"/>
        <v>3.2789912848108052E-4</v>
      </c>
      <c r="CE46" s="87">
        <f>SUMIF('TB Apr 24'!$D$13:$D$103,'MIS Apr24'!$B46,'TB Apr 24'!AT$13:AT$103)</f>
        <v>1009</v>
      </c>
      <c r="CF46" s="546">
        <f t="shared" si="41"/>
        <v>6.2526986684634657E-4</v>
      </c>
      <c r="CG46" s="87">
        <f>SUMIF('TB Apr 24'!$D$13:$D$103,'MIS Apr24'!$B46,'TB Apr 24'!AU$13:AU$103)</f>
        <v>0</v>
      </c>
      <c r="CH46" s="546">
        <f t="shared" si="42"/>
        <v>0</v>
      </c>
      <c r="CI46" s="87">
        <f>SUMIF('TB Apr 24'!$D$13:$D$103,'MIS Apr24'!$B46,'TB Apr 24'!AV$13:AV$103)</f>
        <v>1198</v>
      </c>
      <c r="CJ46" s="546">
        <f t="shared" si="43"/>
        <v>5.6834582787394783E-4</v>
      </c>
      <c r="CK46" s="87">
        <f>SUMIF('TB Apr 24'!$D$13:$D$103,'MIS Apr24'!$B46,'TB Apr 24'!AW$13:AW$103)</f>
        <v>0</v>
      </c>
      <c r="CL46" s="546">
        <f t="shared" si="44"/>
        <v>0</v>
      </c>
      <c r="CM46" s="87">
        <f>SUMIF('TB Apr 24'!$D$13:$D$103,'MIS Apr24'!$B46,'TB Apr 24'!AX$13:AX$103)</f>
        <v>0</v>
      </c>
      <c r="CN46" s="546">
        <f t="shared" si="45"/>
        <v>0</v>
      </c>
      <c r="CO46" s="87">
        <f>SUMIF('TB Apr 24'!$D$13:$D$103,'MIS Apr24'!$B46,'TB Apr 24'!AY$13:AY$103)</f>
        <v>0</v>
      </c>
      <c r="CP46" s="546">
        <f t="shared" si="46"/>
        <v>0</v>
      </c>
      <c r="CQ46" s="87">
        <f>SUMIF('TB Apr 24'!$D$13:$D$103,'MIS Apr24'!$B46,'TB Apr 24'!AZ$13:AZ$103)</f>
        <v>0</v>
      </c>
      <c r="CR46" s="546">
        <f t="shared" si="47"/>
        <v>0</v>
      </c>
      <c r="CS46" s="87">
        <f>SUMIF('TB Apr 24'!$D$13:$D$103,'MIS Apr24'!$B46,'TB Apr 24'!BA$13:BA$103)</f>
        <v>0</v>
      </c>
      <c r="CT46" s="546">
        <f t="shared" si="48"/>
        <v>0</v>
      </c>
      <c r="CU46" s="87">
        <f>SUMIF('TB Apr 24'!$D$13:$D$103,'MIS Apr24'!$B46,'TB Apr 24'!BB$13:BB$103)</f>
        <v>0</v>
      </c>
      <c r="CV46" s="546">
        <f t="shared" si="49"/>
        <v>0</v>
      </c>
      <c r="CW46" s="87">
        <f>SUMIF('TB Apr 24'!$D$13:$D$103,'MIS Apr24'!$B46,'TB Apr 24'!BC$13:BC$103)</f>
        <v>0</v>
      </c>
      <c r="CX46" s="546">
        <f t="shared" si="50"/>
        <v>0</v>
      </c>
      <c r="CY46" s="87">
        <f>SUMIF('TB Apr 24'!$D$13:$D$103,'MIS Apr24'!$B46,'TB Apr 24'!BD$13:BD$103)</f>
        <v>0</v>
      </c>
      <c r="CZ46" s="546">
        <f t="shared" si="51"/>
        <v>0</v>
      </c>
      <c r="DA46" s="87">
        <f>SUMIF('TB Apr 24'!$D$13:$D$103,'MIS Apr24'!$B46,'TB Apr 24'!O$13:O$103)</f>
        <v>43186</v>
      </c>
      <c r="DB46" s="546">
        <f t="shared" si="52"/>
        <v>0</v>
      </c>
      <c r="DC46" s="87">
        <f t="shared" si="60"/>
        <v>81837</v>
      </c>
      <c r="DD46" s="546">
        <f t="shared" si="53"/>
        <v>9.8701387742246142E-4</v>
      </c>
      <c r="DE46" s="87"/>
      <c r="DF46" s="546">
        <f t="shared" si="54"/>
        <v>0</v>
      </c>
      <c r="DG46" s="87">
        <f t="shared" si="61"/>
        <v>-81837</v>
      </c>
      <c r="DH46" s="546">
        <f t="shared" si="55"/>
        <v>9.8701387742246142E-4</v>
      </c>
    </row>
    <row r="47" spans="2:113" outlineLevel="1" x14ac:dyDescent="0.35">
      <c r="B47" s="17" t="s">
        <v>323</v>
      </c>
      <c r="C47" s="87">
        <f>SUMIF('TB Apr 24'!$D$13:$D$103,'MIS Apr24'!$B47,'TB Apr 24'!E$13:E$103)</f>
        <v>2761</v>
      </c>
      <c r="D47" s="546">
        <f t="shared" si="56"/>
        <v>2.2872836366162907E-3</v>
      </c>
      <c r="E47" s="87">
        <f>SUMIF('TB Apr 24'!$D$13:$D$103,'MIS Apr24'!$B47,'TB Apr 24'!F$13:F$103)</f>
        <v>0</v>
      </c>
      <c r="F47" s="546">
        <f t="shared" si="56"/>
        <v>0</v>
      </c>
      <c r="G47" s="87">
        <f>SUMIF('TB Apr 24'!$D$13:$D$103,'MIS Apr24'!$B47,'TB Apr 24'!G$13:G$103)</f>
        <v>0</v>
      </c>
      <c r="H47" s="546">
        <f t="shared" si="3"/>
        <v>0</v>
      </c>
      <c r="I47" s="87">
        <f>SUMIF('TB Apr 24'!$D$13:$D$103,'MIS Apr24'!$B47,'TB Apr 24'!H$13:H$103)</f>
        <v>0</v>
      </c>
      <c r="J47" s="546">
        <f t="shared" si="4"/>
        <v>0</v>
      </c>
      <c r="K47" s="87">
        <f>SUMIF('TB Apr 24'!$D$13:$D$103,'MIS Apr24'!$B47,'TB Apr 24'!I$13:I$103)</f>
        <v>80</v>
      </c>
      <c r="L47" s="546">
        <f t="shared" si="5"/>
        <v>8.3155310027999556E-5</v>
      </c>
      <c r="M47" s="87">
        <f>SUMIF('TB Apr 24'!$D$13:$D$103,'MIS Apr24'!$B47,'TB Apr 24'!J$13:J$103)</f>
        <v>22383</v>
      </c>
      <c r="N47" s="546">
        <f t="shared" si="6"/>
        <v>9.6368621195182195E-3</v>
      </c>
      <c r="O47" s="87">
        <f>SUMIF('TB Apr 24'!$D$13:$D$103,'MIS Apr24'!$B47,'TB Apr 24'!K$13:K$103)</f>
        <v>2900</v>
      </c>
      <c r="P47" s="546">
        <f t="shared" si="7"/>
        <v>8.6137918156976661E-4</v>
      </c>
      <c r="Q47" s="87">
        <f>SUMIF('TB Apr 24'!$D$13:$D$103,'MIS Apr24'!$B47,'TB Apr 24'!L$13:L$103)</f>
        <v>0</v>
      </c>
      <c r="R47" s="546">
        <f t="shared" si="8"/>
        <v>0</v>
      </c>
      <c r="S47" s="87">
        <f>SUMIF('TB Apr 24'!$D$13:$D$103,'MIS Apr24'!$B47,'TB Apr 24'!M$13:M$103)</f>
        <v>3000</v>
      </c>
      <c r="T47" s="546">
        <f t="shared" si="9"/>
        <v>7.9784056409095902E-4</v>
      </c>
      <c r="U47" s="87">
        <f>SUMIF('TB Apr 24'!$D$13:$D$103,'MIS Apr24'!$B47,'TB Apr 24'!N$13:N$103)</f>
        <v>18470</v>
      </c>
      <c r="V47" s="546">
        <f t="shared" si="10"/>
        <v>6.5550584108638186E-3</v>
      </c>
      <c r="W47" s="87">
        <f>SUMIF('TB Apr 24'!$D$13:$D$103,'MIS Apr24'!$B47,'TB Apr 24'!P$13:P$103)</f>
        <v>0</v>
      </c>
      <c r="X47" s="546">
        <f t="shared" si="11"/>
        <v>0</v>
      </c>
      <c r="Y47" s="87">
        <f>SUMIF('TB Apr 24'!$D$13:$D$103,'MIS Apr24'!$B47,'TB Apr 24'!Q$13:Q$103)</f>
        <v>0</v>
      </c>
      <c r="Z47" s="546">
        <f t="shared" si="12"/>
        <v>0</v>
      </c>
      <c r="AA47" s="87">
        <f>SUMIF('TB Apr 24'!$D$13:$D$103,'MIS Apr24'!$B47,'TB Apr 24'!R$13:R$103)</f>
        <v>0</v>
      </c>
      <c r="AB47" s="546">
        <f t="shared" si="13"/>
        <v>0</v>
      </c>
      <c r="AC47" s="87">
        <f>SUMIF('TB Apr 24'!$D$13:$D$103,'MIS Apr24'!$B47,'TB Apr 24'!S$13:S$103)</f>
        <v>4885</v>
      </c>
      <c r="AD47" s="546">
        <f t="shared" si="14"/>
        <v>2.1514336391190258E-3</v>
      </c>
      <c r="AE47" s="87">
        <f>SUMIF('TB Apr 24'!$D$13:$D$103,'MIS Apr24'!$B47,'TB Apr 24'!T$13:T$103)</f>
        <v>0</v>
      </c>
      <c r="AF47" s="546">
        <f t="shared" si="15"/>
        <v>0</v>
      </c>
      <c r="AG47" s="87">
        <f>SUMIF('TB Apr 24'!$D$13:$D$103,'MIS Apr24'!$B47,'TB Apr 24'!U$13:U$103)</f>
        <v>154528</v>
      </c>
      <c r="AH47" s="546">
        <f t="shared" si="16"/>
        <v>4.1576037843015029E-2</v>
      </c>
      <c r="AI47" s="87">
        <f>SUMIF('TB Apr 24'!$D$13:$D$103,'MIS Apr24'!$B47,'TB Apr 24'!V$13:V$103)</f>
        <v>0</v>
      </c>
      <c r="AJ47" s="546">
        <f t="shared" si="17"/>
        <v>0</v>
      </c>
      <c r="AK47" s="87">
        <f>SUMIF('TB Apr 24'!$D$13:$D$103,'MIS Apr24'!$B47,'TB Apr 24'!W$13:W$103)</f>
        <v>7725</v>
      </c>
      <c r="AL47" s="546">
        <f t="shared" si="18"/>
        <v>7.1367571456884861E-3</v>
      </c>
      <c r="AM47" s="87">
        <f>SUMIF('TB Apr 24'!$D$13:$D$103,'MIS Apr24'!$B47,'TB Apr 24'!X$13:X$103)</f>
        <v>2000</v>
      </c>
      <c r="AN47" s="546">
        <f t="shared" si="19"/>
        <v>9.7752366207339556E-4</v>
      </c>
      <c r="AO47" s="87">
        <f>SUMIF('TB Apr 24'!$D$13:$D$103,'MIS Apr24'!$B47,'TB Apr 24'!Y$13:Y$103)</f>
        <v>1250</v>
      </c>
      <c r="AP47" s="546">
        <f t="shared" si="20"/>
        <v>7.0938162654836162E-4</v>
      </c>
      <c r="AQ47" s="87">
        <f>SUMIF('TB Apr 24'!$D$13:$D$103,'MIS Apr24'!$B47,'TB Apr 24'!Z$13:Z$103)</f>
        <v>0</v>
      </c>
      <c r="AR47" s="546">
        <f t="shared" si="21"/>
        <v>0</v>
      </c>
      <c r="AS47" s="87">
        <f>SUMIF('TB Apr 24'!$D$13:$D$103,'MIS Apr24'!$B47,'TB Apr 24'!AA$13:AA$103)</f>
        <v>0</v>
      </c>
      <c r="AT47" s="546">
        <f t="shared" si="22"/>
        <v>0</v>
      </c>
      <c r="AU47" s="87">
        <f>SUMIF('TB Apr 24'!$D$13:$D$103,'MIS Apr24'!$B47,'TB Apr 24'!AB$13:AB$103)</f>
        <v>0</v>
      </c>
      <c r="AV47" s="546">
        <f t="shared" si="23"/>
        <v>0</v>
      </c>
      <c r="AW47" s="87">
        <f>SUMIF('TB Apr 24'!$D$13:$D$103,'MIS Apr24'!$B47,'TB Apr 24'!AC$13:AC$103)</f>
        <v>1595</v>
      </c>
      <c r="AX47" s="546">
        <f t="shared" si="24"/>
        <v>4.3044046804967365E-4</v>
      </c>
      <c r="AY47" s="87">
        <f>SUMIF('TB Apr 24'!$D$13:$D$103,'MIS Apr24'!$B47,'TB Apr 24'!AD$13:AD$103)</f>
        <v>0</v>
      </c>
      <c r="AZ47" s="546">
        <f t="shared" si="25"/>
        <v>0</v>
      </c>
      <c r="BA47" s="87">
        <f>SUMIF('TB Apr 24'!$D$13:$D$103,'MIS Apr24'!$B47,'TB Apr 24'!AE$13:AE$103)</f>
        <v>0</v>
      </c>
      <c r="BB47" s="546">
        <f t="shared" si="26"/>
        <v>0</v>
      </c>
      <c r="BC47" s="87">
        <f>SUMIF('TB Apr 24'!$D$13:$D$103,'MIS Apr24'!$B47,'TB Apr 24'!AF$13:AF$103)</f>
        <v>150846</v>
      </c>
      <c r="BD47" s="546">
        <f t="shared" si="27"/>
        <v>7.2391781638598149E-2</v>
      </c>
      <c r="BE47" s="87">
        <f>SUMIF('TB Apr 24'!$D$13:$D$103,'MIS Apr24'!$B47,'TB Apr 24'!AG$13:AG$103)</f>
        <v>0</v>
      </c>
      <c r="BF47" s="546">
        <f t="shared" si="28"/>
        <v>0</v>
      </c>
      <c r="BG47" s="87">
        <f>SUMIF('TB Apr 24'!$D$13:$D$103,'MIS Apr24'!$B47,'TB Apr 24'!AH$13:AH$103)</f>
        <v>0</v>
      </c>
      <c r="BH47" s="546">
        <f t="shared" si="29"/>
        <v>0</v>
      </c>
      <c r="BI47" s="87">
        <f>SUMIF('TB Apr 24'!$D$13:$D$103,'MIS Apr24'!$B47,'TB Apr 24'!AI$13:AI$103)</f>
        <v>3400</v>
      </c>
      <c r="BJ47" s="546">
        <f t="shared" si="30"/>
        <v>1.8091903424485129E-3</v>
      </c>
      <c r="BK47" s="87">
        <f>SUMIF('TB Apr 24'!$D$13:$D$103,'MIS Apr24'!$B47,'TB Apr 24'!AJ$13:AJ$103)</f>
        <v>3400</v>
      </c>
      <c r="BL47" s="546">
        <f t="shared" si="31"/>
        <v>1.4801904948048875E-3</v>
      </c>
      <c r="BM47" s="87">
        <f>SUMIF('TB Apr 24'!$D$13:$D$103,'MIS Apr24'!$B47,'TB Apr 24'!AK$13:AK$103)</f>
        <v>0</v>
      </c>
      <c r="BN47" s="546">
        <f t="shared" si="32"/>
        <v>0</v>
      </c>
      <c r="BO47" s="87">
        <f>SUMIF('TB Apr 24'!$D$13:$D$103,'MIS Apr24'!$B47,'TB Apr 24'!AL$13:AL$103)</f>
        <v>0</v>
      </c>
      <c r="BP47" s="546">
        <f t="shared" si="33"/>
        <v>0</v>
      </c>
      <c r="BQ47" s="87">
        <f>SUMIF('TB Apr 24'!$D$13:$D$103,'MIS Apr24'!$B47,'TB Apr 24'!AM$13:AM$103)</f>
        <v>0</v>
      </c>
      <c r="BR47" s="546">
        <f t="shared" si="34"/>
        <v>0</v>
      </c>
      <c r="BS47" s="87">
        <f>SUMIF('TB Apr 24'!$D$13:$D$103,'MIS Apr24'!$B47,'TB Apr 24'!AN$13:AN$103)</f>
        <v>0</v>
      </c>
      <c r="BT47" s="546">
        <f t="shared" si="35"/>
        <v>0</v>
      </c>
      <c r="BU47" s="87">
        <f>SUMIF('TB Apr 24'!$D$13:$D$103,'MIS Apr24'!$B47,'TB Apr 24'!AO$13:AO$103)</f>
        <v>3400</v>
      </c>
      <c r="BV47" s="546">
        <f t="shared" si="36"/>
        <v>6.8610430513129359E-4</v>
      </c>
      <c r="BW47" s="87">
        <f>SUMIF('TB Apr 24'!$D$13:$D$103,'MIS Apr24'!$B47,'TB Apr 24'!AP$13:AP$103)</f>
        <v>3400</v>
      </c>
      <c r="BX47" s="546">
        <f t="shared" si="37"/>
        <v>1.4186705388027255E-2</v>
      </c>
      <c r="BY47" s="87">
        <f>SUMIF('TB Apr 24'!$D$13:$D$103,'MIS Apr24'!$B47,'TB Apr 24'!AQ$13:AQ$103)</f>
        <v>0</v>
      </c>
      <c r="BZ47" s="546">
        <f t="shared" si="38"/>
        <v>0</v>
      </c>
      <c r="CA47" s="87">
        <f>SUMIF('TB Apr 24'!$D$13:$D$103,'MIS Apr24'!$B47,'TB Apr 24'!AR$13:AR$103)</f>
        <v>3400</v>
      </c>
      <c r="CB47" s="546">
        <f t="shared" si="39"/>
        <v>5.9864984219178141E-4</v>
      </c>
      <c r="CC47" s="87">
        <f>SUMIF('TB Apr 24'!$D$13:$D$103,'MIS Apr24'!$B47,'TB Apr 24'!AS$13:AS$103)</f>
        <v>0</v>
      </c>
      <c r="CD47" s="546">
        <f t="shared" si="40"/>
        <v>0</v>
      </c>
      <c r="CE47" s="87">
        <f>SUMIF('TB Apr 24'!$D$13:$D$103,'MIS Apr24'!$B47,'TB Apr 24'!AT$13:AT$103)</f>
        <v>0</v>
      </c>
      <c r="CF47" s="546">
        <f t="shared" si="41"/>
        <v>0</v>
      </c>
      <c r="CG47" s="87">
        <f>SUMIF('TB Apr 24'!$D$13:$D$103,'MIS Apr24'!$B47,'TB Apr 24'!AU$13:AU$103)</f>
        <v>0</v>
      </c>
      <c r="CH47" s="546">
        <f t="shared" si="42"/>
        <v>0</v>
      </c>
      <c r="CI47" s="87">
        <f>SUMIF('TB Apr 24'!$D$13:$D$103,'MIS Apr24'!$B47,'TB Apr 24'!AV$13:AV$103)</f>
        <v>0</v>
      </c>
      <c r="CJ47" s="546">
        <f t="shared" si="43"/>
        <v>0</v>
      </c>
      <c r="CK47" s="87">
        <f>SUMIF('TB Apr 24'!$D$13:$D$103,'MIS Apr24'!$B47,'TB Apr 24'!AW$13:AW$103)</f>
        <v>0</v>
      </c>
      <c r="CL47" s="546">
        <f t="shared" si="44"/>
        <v>0</v>
      </c>
      <c r="CM47" s="87">
        <f>SUMIF('TB Apr 24'!$D$13:$D$103,'MIS Apr24'!$B47,'TB Apr 24'!AX$13:AX$103)</f>
        <v>0</v>
      </c>
      <c r="CN47" s="546">
        <f t="shared" si="45"/>
        <v>0</v>
      </c>
      <c r="CO47" s="87">
        <f>SUMIF('TB Apr 24'!$D$13:$D$103,'MIS Apr24'!$B47,'TB Apr 24'!AY$13:AY$103)</f>
        <v>0</v>
      </c>
      <c r="CP47" s="546">
        <f t="shared" si="46"/>
        <v>0</v>
      </c>
      <c r="CQ47" s="87">
        <f>SUMIF('TB Apr 24'!$D$13:$D$103,'MIS Apr24'!$B47,'TB Apr 24'!AZ$13:AZ$103)</f>
        <v>0</v>
      </c>
      <c r="CR47" s="546">
        <f t="shared" si="47"/>
        <v>0</v>
      </c>
      <c r="CS47" s="87">
        <f>SUMIF('TB Apr 24'!$D$13:$D$103,'MIS Apr24'!$B47,'TB Apr 24'!BA$13:BA$103)</f>
        <v>0</v>
      </c>
      <c r="CT47" s="546">
        <f t="shared" si="48"/>
        <v>0</v>
      </c>
      <c r="CU47" s="87">
        <f>SUMIF('TB Apr 24'!$D$13:$D$103,'MIS Apr24'!$B47,'TB Apr 24'!BB$13:BB$103)</f>
        <v>8700</v>
      </c>
      <c r="CV47" s="546">
        <f t="shared" si="49"/>
        <v>6.9875188729069731E-3</v>
      </c>
      <c r="CW47" s="87">
        <f>SUMIF('TB Apr 24'!$D$13:$D$103,'MIS Apr24'!$B47,'TB Apr 24'!BC$13:BC$103)</f>
        <v>24310</v>
      </c>
      <c r="CX47" s="546">
        <f t="shared" si="50"/>
        <v>6.1085789515766343E-3</v>
      </c>
      <c r="CY47" s="87">
        <f>SUMIF('TB Apr 24'!$D$13:$D$103,'MIS Apr24'!$B47,'TB Apr 24'!BD$13:BD$103)</f>
        <v>0</v>
      </c>
      <c r="CZ47" s="546">
        <f t="shared" si="51"/>
        <v>0</v>
      </c>
      <c r="DA47" s="87">
        <f>SUMIF('TB Apr 24'!$D$13:$D$103,'MIS Apr24'!$B47,'TB Apr 24'!O$13:O$103)</f>
        <v>0</v>
      </c>
      <c r="DB47" s="546">
        <f t="shared" si="52"/>
        <v>0</v>
      </c>
      <c r="DC47" s="87">
        <f t="shared" si="60"/>
        <v>422433</v>
      </c>
      <c r="DD47" s="546">
        <f t="shared" si="53"/>
        <v>5.0948499246209252E-3</v>
      </c>
      <c r="DE47" s="87"/>
      <c r="DF47" s="546">
        <f t="shared" si="54"/>
        <v>0</v>
      </c>
      <c r="DG47" s="87">
        <f t="shared" si="61"/>
        <v>-422433</v>
      </c>
      <c r="DH47" s="546">
        <f t="shared" si="55"/>
        <v>5.0948499246209252E-3</v>
      </c>
    </row>
    <row r="48" spans="2:113" outlineLevel="1" x14ac:dyDescent="0.35">
      <c r="B48" s="17" t="s">
        <v>322</v>
      </c>
      <c r="C48" s="87">
        <f>SUMIF('TB Apr 24'!$D$13:$D$103,'MIS Apr24'!$B48,'TB Apr 24'!E$13:E$103)</f>
        <v>14851</v>
      </c>
      <c r="D48" s="546">
        <f t="shared" si="56"/>
        <v>1.2302951570948401E-2</v>
      </c>
      <c r="E48" s="87">
        <f>SUMIF('TB Apr 24'!$D$13:$D$103,'MIS Apr24'!$B48,'TB Apr 24'!F$13:F$103)</f>
        <v>55189</v>
      </c>
      <c r="F48" s="546">
        <f t="shared" si="56"/>
        <v>3.3521547324935029E-2</v>
      </c>
      <c r="G48" s="87">
        <f>SUMIF('TB Apr 24'!$D$13:$D$103,'MIS Apr24'!$B48,'TB Apr 24'!G$13:G$103)</f>
        <v>0</v>
      </c>
      <c r="H48" s="546">
        <f t="shared" si="3"/>
        <v>0</v>
      </c>
      <c r="I48" s="87">
        <f>SUMIF('TB Apr 24'!$D$13:$D$103,'MIS Apr24'!$B48,'TB Apr 24'!H$13:H$103)</f>
        <v>22184</v>
      </c>
      <c r="J48" s="546">
        <f t="shared" si="4"/>
        <v>7.267879585368715E-3</v>
      </c>
      <c r="K48" s="87">
        <f>SUMIF('TB Apr 24'!$D$13:$D$103,'MIS Apr24'!$B48,'TB Apr 24'!I$13:I$103)</f>
        <v>35841</v>
      </c>
      <c r="L48" s="546">
        <f t="shared" si="5"/>
        <v>3.7254618333919153E-2</v>
      </c>
      <c r="M48" s="87">
        <f>SUMIF('TB Apr 24'!$D$13:$D$103,'MIS Apr24'!$B48,'TB Apr 24'!J$13:J$103)</f>
        <v>20990.5</v>
      </c>
      <c r="N48" s="546">
        <f t="shared" si="6"/>
        <v>9.0373298628310412E-3</v>
      </c>
      <c r="O48" s="87">
        <f>SUMIF('TB Apr 24'!$D$13:$D$103,'MIS Apr24'!$B48,'TB Apr 24'!K$13:K$103)</f>
        <v>20465.5</v>
      </c>
      <c r="P48" s="546">
        <f t="shared" si="7"/>
        <v>6.0788122897986411E-3</v>
      </c>
      <c r="Q48" s="87">
        <f>SUMIF('TB Apr 24'!$D$13:$D$103,'MIS Apr24'!$B48,'TB Apr 24'!L$13:L$103)</f>
        <v>0</v>
      </c>
      <c r="R48" s="546">
        <f t="shared" si="8"/>
        <v>0</v>
      </c>
      <c r="S48" s="87">
        <f>SUMIF('TB Apr 24'!$D$13:$D$103,'MIS Apr24'!$B48,'TB Apr 24'!M$13:M$103)</f>
        <v>23018.5</v>
      </c>
      <c r="T48" s="546">
        <f t="shared" si="9"/>
        <v>6.12169767484258E-3</v>
      </c>
      <c r="U48" s="87">
        <f>SUMIF('TB Apr 24'!$D$13:$D$103,'MIS Apr24'!$B48,'TB Apr 24'!N$13:N$103)</f>
        <v>22038.5</v>
      </c>
      <c r="V48" s="546">
        <f t="shared" si="10"/>
        <v>7.8215297665307128E-3</v>
      </c>
      <c r="W48" s="87">
        <f>SUMIF('TB Apr 24'!$D$13:$D$103,'MIS Apr24'!$B48,'TB Apr 24'!P$13:P$103)</f>
        <v>0</v>
      </c>
      <c r="X48" s="546">
        <f t="shared" si="11"/>
        <v>0</v>
      </c>
      <c r="Y48" s="87">
        <f>SUMIF('TB Apr 24'!$D$13:$D$103,'MIS Apr24'!$B48,'TB Apr 24'!Q$13:Q$103)</f>
        <v>0</v>
      </c>
      <c r="Z48" s="546">
        <f t="shared" si="12"/>
        <v>0</v>
      </c>
      <c r="AA48" s="87">
        <f>SUMIF('TB Apr 24'!$D$13:$D$103,'MIS Apr24'!$B48,'TB Apr 24'!R$13:R$103)</f>
        <v>42768</v>
      </c>
      <c r="AB48" s="546">
        <f t="shared" si="13"/>
        <v>1.3593162952038934E-2</v>
      </c>
      <c r="AC48" s="87">
        <f>SUMIF('TB Apr 24'!$D$13:$D$103,'MIS Apr24'!$B48,'TB Apr 24'!S$13:S$103)</f>
        <v>37809</v>
      </c>
      <c r="AD48" s="546">
        <f t="shared" si="14"/>
        <v>1.6651699992108752E-2</v>
      </c>
      <c r="AE48" s="87">
        <f>SUMIF('TB Apr 24'!$D$13:$D$103,'MIS Apr24'!$B48,'TB Apr 24'!T$13:T$103)</f>
        <v>0</v>
      </c>
      <c r="AF48" s="546">
        <f t="shared" si="15"/>
        <v>0</v>
      </c>
      <c r="AG48" s="87">
        <f>SUMIF('TB Apr 24'!$D$13:$D$103,'MIS Apr24'!$B48,'TB Apr 24'!U$13:U$103)</f>
        <v>76817</v>
      </c>
      <c r="AH48" s="546">
        <f t="shared" si="16"/>
        <v>2.0667752763168394E-2</v>
      </c>
      <c r="AI48" s="87">
        <f>SUMIF('TB Apr 24'!$D$13:$D$103,'MIS Apr24'!$B48,'TB Apr 24'!V$13:V$103)</f>
        <v>0</v>
      </c>
      <c r="AJ48" s="546">
        <f t="shared" si="17"/>
        <v>0</v>
      </c>
      <c r="AK48" s="87">
        <f>SUMIF('TB Apr 24'!$D$13:$D$103,'MIS Apr24'!$B48,'TB Apr 24'!W$13:W$103)</f>
        <v>24230.666666666668</v>
      </c>
      <c r="AL48" s="546">
        <f t="shared" si="18"/>
        <v>2.2385551259304744E-2</v>
      </c>
      <c r="AM48" s="87">
        <f>SUMIF('TB Apr 24'!$D$13:$D$103,'MIS Apr24'!$B48,'TB Apr 24'!X$13:X$103)</f>
        <v>25462.666666666668</v>
      </c>
      <c r="AN48" s="546">
        <f t="shared" si="19"/>
        <v>1.2445179583077091E-2</v>
      </c>
      <c r="AO48" s="87">
        <f>SUMIF('TB Apr 24'!$D$13:$D$103,'MIS Apr24'!$B48,'TB Apr 24'!Y$13:Y$103)</f>
        <v>25601.666666666668</v>
      </c>
      <c r="AP48" s="546">
        <f t="shared" si="20"/>
        <v>1.4529081553879178E-2</v>
      </c>
      <c r="AQ48" s="87">
        <f>SUMIF('TB Apr 24'!$D$13:$D$103,'MIS Apr24'!$B48,'TB Apr 24'!Z$13:Z$103)</f>
        <v>16992.875</v>
      </c>
      <c r="AR48" s="546">
        <f t="shared" si="21"/>
        <v>1.1509722969774209E-2</v>
      </c>
      <c r="AS48" s="87">
        <f>SUMIF('TB Apr 24'!$D$13:$D$103,'MIS Apr24'!$B48,'TB Apr 24'!AA$13:AA$103)</f>
        <v>23511.875</v>
      </c>
      <c r="AT48" s="546">
        <f t="shared" si="22"/>
        <v>1.2597409908281726E-2</v>
      </c>
      <c r="AU48" s="87">
        <f>SUMIF('TB Apr 24'!$D$13:$D$103,'MIS Apr24'!$B48,'TB Apr 24'!AB$13:AB$103)</f>
        <v>0</v>
      </c>
      <c r="AV48" s="546">
        <f t="shared" si="23"/>
        <v>0</v>
      </c>
      <c r="AW48" s="87">
        <f>SUMIF('TB Apr 24'!$D$13:$D$103,'MIS Apr24'!$B48,'TB Apr 24'!AC$13:AC$103)</f>
        <v>22341.875</v>
      </c>
      <c r="AX48" s="546">
        <f t="shared" si="24"/>
        <v>6.0293712427005033E-3</v>
      </c>
      <c r="AY48" s="87">
        <f>SUMIF('TB Apr 24'!$D$13:$D$103,'MIS Apr24'!$B48,'TB Apr 24'!AD$13:AD$103)</f>
        <v>82976.875</v>
      </c>
      <c r="AZ48" s="546">
        <f t="shared" si="25"/>
        <v>1.9897859075960055E-2</v>
      </c>
      <c r="BA48" s="87">
        <f>SUMIF('TB Apr 24'!$D$13:$D$103,'MIS Apr24'!$B48,'TB Apr 24'!AE$13:AE$103)</f>
        <v>12314.875</v>
      </c>
      <c r="BB48" s="546">
        <f t="shared" si="26"/>
        <v>3.7408531642483346E-2</v>
      </c>
      <c r="BC48" s="87">
        <f>SUMIF('TB Apr 24'!$D$13:$D$103,'MIS Apr24'!$B48,'TB Apr 24'!AF$13:AF$103)</f>
        <v>33426.875</v>
      </c>
      <c r="BD48" s="546">
        <f t="shared" si="27"/>
        <v>1.6041731539853329E-2</v>
      </c>
      <c r="BE48" s="87">
        <f>SUMIF('TB Apr 24'!$D$13:$D$103,'MIS Apr24'!$B48,'TB Apr 24'!AG$13:AG$103)</f>
        <v>30914.875</v>
      </c>
      <c r="BF48" s="546">
        <f t="shared" si="28"/>
        <v>1.9262206914406572E-2</v>
      </c>
      <c r="BG48" s="87">
        <f>SUMIF('TB Apr 24'!$D$13:$D$103,'MIS Apr24'!$B48,'TB Apr 24'!AH$13:AH$103)</f>
        <v>10996.875</v>
      </c>
      <c r="BH48" s="546">
        <f t="shared" si="29"/>
        <v>5.9764920261154942E-3</v>
      </c>
      <c r="BI48" s="87">
        <f>SUMIF('TB Apr 24'!$D$13:$D$103,'MIS Apr24'!$B48,'TB Apr 24'!AI$13:AI$103)</f>
        <v>42863.5</v>
      </c>
      <c r="BJ48" s="546">
        <f t="shared" si="30"/>
        <v>2.2808303012806421E-2</v>
      </c>
      <c r="BK48" s="87">
        <f>SUMIF('TB Apr 24'!$D$13:$D$103,'MIS Apr24'!$B48,'TB Apr 24'!AJ$13:AJ$103)</f>
        <v>30833.5</v>
      </c>
      <c r="BL48" s="546">
        <f t="shared" si="31"/>
        <v>1.3423368712225442E-2</v>
      </c>
      <c r="BM48" s="87">
        <f>SUMIF('TB Apr 24'!$D$13:$D$103,'MIS Apr24'!$B48,'TB Apr 24'!AK$13:AK$103)</f>
        <v>0</v>
      </c>
      <c r="BN48" s="546">
        <f t="shared" si="32"/>
        <v>0</v>
      </c>
      <c r="BO48" s="87">
        <f>SUMIF('TB Apr 24'!$D$13:$D$103,'MIS Apr24'!$B48,'TB Apr 24'!AL$13:AL$103)</f>
        <v>0</v>
      </c>
      <c r="BP48" s="546">
        <f t="shared" si="33"/>
        <v>0</v>
      </c>
      <c r="BQ48" s="87">
        <f>SUMIF('TB Apr 24'!$D$13:$D$103,'MIS Apr24'!$B48,'TB Apr 24'!AM$13:AM$103)</f>
        <v>0</v>
      </c>
      <c r="BR48" s="546">
        <f t="shared" si="34"/>
        <v>0</v>
      </c>
      <c r="BS48" s="87">
        <f>SUMIF('TB Apr 24'!$D$13:$D$103,'MIS Apr24'!$B48,'TB Apr 24'!AN$13:AN$103)</f>
        <v>0</v>
      </c>
      <c r="BT48" s="546">
        <f t="shared" si="35"/>
        <v>0</v>
      </c>
      <c r="BU48" s="87">
        <f>SUMIF('TB Apr 24'!$D$13:$D$103,'MIS Apr24'!$B48,'TB Apr 24'!AO$13:AO$103)</f>
        <v>33250</v>
      </c>
      <c r="BV48" s="546">
        <f t="shared" si="36"/>
        <v>6.7096965134163262E-3</v>
      </c>
      <c r="BW48" s="87">
        <f>SUMIF('TB Apr 24'!$D$13:$D$103,'MIS Apr24'!$B48,'TB Apr 24'!AP$13:AP$103)</f>
        <v>26375.5</v>
      </c>
      <c r="BX48" s="546">
        <f t="shared" si="37"/>
        <v>0.11005336704762143</v>
      </c>
      <c r="BY48" s="87">
        <f>SUMIF('TB Apr 24'!$D$13:$D$103,'MIS Apr24'!$B48,'TB Apr 24'!AQ$13:AQ$103)</f>
        <v>0</v>
      </c>
      <c r="BZ48" s="546">
        <f t="shared" si="38"/>
        <v>0</v>
      </c>
      <c r="CA48" s="87">
        <f>SUMIF('TB Apr 24'!$D$13:$D$103,'MIS Apr24'!$B48,'TB Apr 24'!AR$13:AR$103)</f>
        <v>49847.5</v>
      </c>
      <c r="CB48" s="546">
        <f t="shared" si="39"/>
        <v>8.7768229437220069E-3</v>
      </c>
      <c r="CC48" s="87">
        <f>SUMIF('TB Apr 24'!$D$13:$D$103,'MIS Apr24'!$B48,'TB Apr 24'!AS$13:AS$103)</f>
        <v>26126</v>
      </c>
      <c r="CD48" s="546">
        <f t="shared" si="40"/>
        <v>1.2116962702541315E-2</v>
      </c>
      <c r="CE48" s="87">
        <f>SUMIF('TB Apr 24'!$D$13:$D$103,'MIS Apr24'!$B48,'TB Apr 24'!AT$13:AT$103)</f>
        <v>13222</v>
      </c>
      <c r="CF48" s="546">
        <f t="shared" si="41"/>
        <v>8.1935759954830465E-3</v>
      </c>
      <c r="CG48" s="87">
        <f>SUMIF('TB Apr 24'!$D$13:$D$103,'MIS Apr24'!$B48,'TB Apr 24'!AU$13:AU$103)</f>
        <v>0</v>
      </c>
      <c r="CH48" s="546">
        <f t="shared" si="42"/>
        <v>0</v>
      </c>
      <c r="CI48" s="87">
        <f>SUMIF('TB Apr 24'!$D$13:$D$103,'MIS Apr24'!$B48,'TB Apr 24'!AV$13:AV$103)</f>
        <v>50628.5</v>
      </c>
      <c r="CJ48" s="546">
        <f t="shared" si="43"/>
        <v>2.4018778586407486E-2</v>
      </c>
      <c r="CK48" s="87">
        <f>SUMIF('TB Apr 24'!$D$13:$D$103,'MIS Apr24'!$B48,'TB Apr 24'!AW$13:AW$103)</f>
        <v>53130.5</v>
      </c>
      <c r="CL48" s="546">
        <f t="shared" si="44"/>
        <v>2.5505347974209395E-2</v>
      </c>
      <c r="CM48" s="87">
        <f>SUMIF('TB Apr 24'!$D$13:$D$103,'MIS Apr24'!$B48,'TB Apr 24'!AX$13:AX$103)</f>
        <v>32480</v>
      </c>
      <c r="CN48" s="546">
        <f t="shared" si="45"/>
        <v>2.8401848722853642E-2</v>
      </c>
      <c r="CO48" s="87">
        <f>SUMIF('TB Apr 24'!$D$13:$D$103,'MIS Apr24'!$B48,'TB Apr 24'!AY$13:AY$103)</f>
        <v>0</v>
      </c>
      <c r="CP48" s="546">
        <f t="shared" si="46"/>
        <v>0</v>
      </c>
      <c r="CQ48" s="87">
        <f>SUMIF('TB Apr 24'!$D$13:$D$103,'MIS Apr24'!$B48,'TB Apr 24'!AZ$13:AZ$103)</f>
        <v>0</v>
      </c>
      <c r="CR48" s="546">
        <f t="shared" si="47"/>
        <v>0</v>
      </c>
      <c r="CS48" s="87">
        <f>SUMIF('TB Apr 24'!$D$13:$D$103,'MIS Apr24'!$B48,'TB Apr 24'!BA$13:BA$103)</f>
        <v>72431</v>
      </c>
      <c r="CT48" s="546">
        <f t="shared" si="48"/>
        <v>2.7007369979077121E-2</v>
      </c>
      <c r="CU48" s="87">
        <f>SUMIF('TB Apr 24'!$D$13:$D$103,'MIS Apr24'!$B48,'TB Apr 24'!BB$13:BB$103)</f>
        <v>26342</v>
      </c>
      <c r="CV48" s="546">
        <f t="shared" si="49"/>
        <v>2.1156922086220172E-2</v>
      </c>
      <c r="CW48" s="87">
        <f>SUMIF('TB Apr 24'!$D$13:$D$103,'MIS Apr24'!$B48,'TB Apr 24'!BC$13:BC$103)</f>
        <v>41286</v>
      </c>
      <c r="CX48" s="546">
        <f t="shared" si="50"/>
        <v>1.037428180151349E-2</v>
      </c>
      <c r="CY48" s="87">
        <f>SUMIF('TB Apr 24'!$D$13:$D$103,'MIS Apr24'!$B48,'TB Apr 24'!BD$13:BD$103)</f>
        <v>9273</v>
      </c>
      <c r="CZ48" s="546">
        <f t="shared" si="51"/>
        <v>1.5047807287819405E-2</v>
      </c>
      <c r="DA48" s="87">
        <f>SUMIF('TB Apr 24'!$D$13:$D$103,'MIS Apr24'!$B48,'TB Apr 24'!O$13:O$103)</f>
        <v>68269.8</v>
      </c>
      <c r="DB48" s="546">
        <f t="shared" si="52"/>
        <v>0</v>
      </c>
      <c r="DC48" s="87">
        <f t="shared" si="60"/>
        <v>1257102.8</v>
      </c>
      <c r="DD48" s="546">
        <f t="shared" si="53"/>
        <v>1.516157616905108E-2</v>
      </c>
      <c r="DE48" s="87"/>
      <c r="DF48" s="546">
        <f t="shared" si="54"/>
        <v>0</v>
      </c>
      <c r="DG48" s="87">
        <f t="shared" si="61"/>
        <v>-1257102.8</v>
      </c>
      <c r="DH48" s="546">
        <f t="shared" si="55"/>
        <v>1.516157616905108E-2</v>
      </c>
    </row>
    <row r="49" spans="2:114" outlineLevel="1" x14ac:dyDescent="0.35">
      <c r="B49" s="41" t="s">
        <v>1059</v>
      </c>
      <c r="C49" s="87">
        <f>SUMIF('TB Apr 24'!$D$13:$D$103,'MIS Apr24'!$B49,'TB Apr 24'!E$13:E$103)</f>
        <v>42970</v>
      </c>
      <c r="D49" s="87"/>
      <c r="E49" s="87">
        <f>SUMIF('TB Apr 24'!$D$13:$D$103,'MIS Apr24'!$B49,'TB Apr 24'!F$13:F$103)</f>
        <v>54661</v>
      </c>
      <c r="F49" s="87"/>
      <c r="G49" s="87">
        <f>SUMIF('TB Apr 24'!$D$13:$D$103,'MIS Apr24'!$B49,'TB Apr 24'!G$13:G$103)</f>
        <v>0</v>
      </c>
      <c r="H49" s="87"/>
      <c r="I49" s="87">
        <f>SUMIF('TB Apr 24'!$D$13:$D$103,'MIS Apr24'!$B49,'TB Apr 24'!H$13:H$103)</f>
        <v>39539</v>
      </c>
      <c r="J49" s="87"/>
      <c r="K49" s="87">
        <f>SUMIF('TB Apr 24'!$D$13:$D$103,'MIS Apr24'!$B49,'TB Apr 24'!I$13:I$103)</f>
        <v>43992</v>
      </c>
      <c r="L49" s="87"/>
      <c r="M49" s="87">
        <f>SUMIF('TB Apr 24'!$D$13:$D$103,'MIS Apr24'!$B49,'TB Apr 24'!J$13:J$103)</f>
        <v>23836.5</v>
      </c>
      <c r="N49" s="87"/>
      <c r="O49" s="87">
        <f>SUMIF('TB Apr 24'!$D$13:$D$103,'MIS Apr24'!$B49,'TB Apr 24'!K$13:K$103)</f>
        <v>9487.5</v>
      </c>
      <c r="P49" s="87"/>
      <c r="Q49" s="87">
        <f>SUMIF('TB Apr 24'!$D$13:$D$103,'MIS Apr24'!$B49,'TB Apr 24'!L$13:L$103)</f>
        <v>0</v>
      </c>
      <c r="R49" s="87"/>
      <c r="S49" s="87">
        <f>SUMIF('TB Apr 24'!$D$13:$D$103,'MIS Apr24'!$B49,'TB Apr 24'!M$13:M$103)</f>
        <v>9387.5</v>
      </c>
      <c r="T49" s="87"/>
      <c r="U49" s="87">
        <f>SUMIF('TB Apr 24'!$D$13:$D$103,'MIS Apr24'!$B49,'TB Apr 24'!N$13:N$103)</f>
        <v>14473.5</v>
      </c>
      <c r="V49" s="87"/>
      <c r="W49" s="87">
        <f>SUMIF('TB Apr 24'!$D$13:$D$103,'MIS Apr24'!$B49,'TB Apr 24'!P$13:P$103)</f>
        <v>0</v>
      </c>
      <c r="X49" s="87"/>
      <c r="Y49" s="87">
        <f>SUMIF('TB Apr 24'!$D$13:$D$103,'MIS Apr24'!$B49,'TB Apr 24'!Q$13:Q$103)</f>
        <v>0</v>
      </c>
      <c r="Z49" s="87"/>
      <c r="AA49" s="87">
        <f>SUMIF('TB Apr 24'!$D$13:$D$103,'MIS Apr24'!$B49,'TB Apr 24'!R$13:R$103)</f>
        <v>12939</v>
      </c>
      <c r="AB49" s="87"/>
      <c r="AC49" s="87">
        <f>SUMIF('TB Apr 24'!$D$13:$D$103,'MIS Apr24'!$B49,'TB Apr 24'!S$13:S$103)</f>
        <v>29654</v>
      </c>
      <c r="AD49" s="87"/>
      <c r="AE49" s="87">
        <f>SUMIF('TB Apr 24'!$D$13:$D$103,'MIS Apr24'!$B49,'TB Apr 24'!T$13:T$103)</f>
        <v>0</v>
      </c>
      <c r="AF49" s="87"/>
      <c r="AG49" s="87">
        <f>SUMIF('TB Apr 24'!$D$13:$D$103,'MIS Apr24'!$B49,'TB Apr 24'!U$13:U$103)</f>
        <v>9055</v>
      </c>
      <c r="AH49" s="87"/>
      <c r="AI49" s="87">
        <f>SUMIF('TB Apr 24'!$D$13:$D$103,'MIS Apr24'!$B49,'TB Apr 24'!V$13:V$103)</f>
        <v>0</v>
      </c>
      <c r="AJ49" s="87"/>
      <c r="AK49" s="87">
        <f>SUMIF('TB Apr 24'!$D$13:$D$103,'MIS Apr24'!$B49,'TB Apr 24'!W$13:W$103)</f>
        <v>35401.666666666664</v>
      </c>
      <c r="AL49" s="87"/>
      <c r="AM49" s="87">
        <f>SUMIF('TB Apr 24'!$D$13:$D$103,'MIS Apr24'!$B49,'TB Apr 24'!X$13:X$103)</f>
        <v>32998.666666666664</v>
      </c>
      <c r="AN49" s="87"/>
      <c r="AO49" s="87">
        <f>SUMIF('TB Apr 24'!$D$13:$D$103,'MIS Apr24'!$B49,'TB Apr 24'!Y$13:Y$103)</f>
        <v>33498.666666666664</v>
      </c>
      <c r="AP49" s="87"/>
      <c r="AQ49" s="87">
        <f>SUMIF('TB Apr 24'!$D$13:$D$103,'MIS Apr24'!$B49,'TB Apr 24'!Z$13:Z$103)</f>
        <v>15413</v>
      </c>
      <c r="AR49" s="87"/>
      <c r="AS49" s="87">
        <f>SUMIF('TB Apr 24'!$D$13:$D$103,'MIS Apr24'!$B49,'TB Apr 24'!AA$13:AA$103)</f>
        <v>19897</v>
      </c>
      <c r="AT49" s="87"/>
      <c r="AU49" s="87">
        <f>SUMIF('TB Apr 24'!$D$13:$D$103,'MIS Apr24'!$B49,'TB Apr 24'!AB$13:AB$103)</f>
        <v>0</v>
      </c>
      <c r="AV49" s="87"/>
      <c r="AW49" s="87">
        <f>SUMIF('TB Apr 24'!$D$13:$D$103,'MIS Apr24'!$B49,'TB Apr 24'!AC$13:AC$103)</f>
        <v>10650</v>
      </c>
      <c r="AX49" s="87"/>
      <c r="AY49" s="87">
        <f>SUMIF('TB Apr 24'!$D$13:$D$103,'MIS Apr24'!$B49,'TB Apr 24'!AD$13:AD$103)</f>
        <v>80864</v>
      </c>
      <c r="AZ49" s="87"/>
      <c r="BA49" s="87">
        <f>SUMIF('TB Apr 24'!$D$13:$D$103,'MIS Apr24'!$B49,'TB Apr 24'!AE$13:AE$103)</f>
        <v>48899</v>
      </c>
      <c r="BB49" s="87"/>
      <c r="BC49" s="87">
        <f>SUMIF('TB Apr 24'!$D$13:$D$103,'MIS Apr24'!$B49,'TB Apr 24'!AF$13:AF$103)</f>
        <v>19385</v>
      </c>
      <c r="BD49" s="87"/>
      <c r="BE49" s="87">
        <f>SUMIF('TB Apr 24'!$D$13:$D$103,'MIS Apr24'!$B49,'TB Apr 24'!AG$13:AG$103)</f>
        <v>25343</v>
      </c>
      <c r="BF49" s="87"/>
      <c r="BG49" s="87">
        <f>SUMIF('TB Apr 24'!$D$13:$D$103,'MIS Apr24'!$B49,'TB Apr 24'!AH$13:AH$103)</f>
        <v>123982</v>
      </c>
      <c r="BH49" s="87"/>
      <c r="BI49" s="87">
        <f>SUMIF('TB Apr 24'!$D$13:$D$103,'MIS Apr24'!$B49,'TB Apr 24'!AI$13:AI$103)</f>
        <v>202981</v>
      </c>
      <c r="BJ49" s="87"/>
      <c r="BK49" s="87">
        <f>SUMIF('TB Apr 24'!$D$13:$D$103,'MIS Apr24'!$B49,'TB Apr 24'!AJ$13:AJ$103)</f>
        <v>153640</v>
      </c>
      <c r="BL49" s="87"/>
      <c r="BM49" s="87">
        <f>SUMIF('TB Apr 24'!$D$13:$D$103,'MIS Apr24'!$B49,'TB Apr 24'!AK$13:AK$103)</f>
        <v>0</v>
      </c>
      <c r="BN49" s="87"/>
      <c r="BO49" s="87">
        <f>SUMIF('TB Apr 24'!$D$13:$D$103,'MIS Apr24'!$B49,'TB Apr 24'!AL$13:AL$103)</f>
        <v>0</v>
      </c>
      <c r="BP49" s="87"/>
      <c r="BQ49" s="87">
        <f>SUMIF('TB Apr 24'!$D$13:$D$103,'MIS Apr24'!$B49,'TB Apr 24'!AM$13:AM$103)</f>
        <v>0</v>
      </c>
      <c r="BR49" s="87"/>
      <c r="BS49" s="87">
        <f>SUMIF('TB Apr 24'!$D$13:$D$103,'MIS Apr24'!$B49,'TB Apr 24'!AN$13:AN$103)</f>
        <v>0</v>
      </c>
      <c r="BT49" s="87"/>
      <c r="BU49" s="87">
        <f>SUMIF('TB Apr 24'!$D$13:$D$103,'MIS Apr24'!$B49,'TB Apr 24'!AO$13:AO$103)</f>
        <v>185234</v>
      </c>
      <c r="BV49" s="87"/>
      <c r="BW49" s="87">
        <f>SUMIF('TB Apr 24'!$D$13:$D$103,'MIS Apr24'!$B49,'TB Apr 24'!AP$13:AP$103)</f>
        <v>152660</v>
      </c>
      <c r="BX49" s="87"/>
      <c r="BY49" s="87">
        <f>SUMIF('TB Apr 24'!$D$13:$D$103,'MIS Apr24'!$B49,'TB Apr 24'!AQ$13:AQ$103)</f>
        <v>0</v>
      </c>
      <c r="BZ49" s="87"/>
      <c r="CA49" s="87">
        <f>SUMIF('TB Apr 24'!$D$13:$D$103,'MIS Apr24'!$B49,'TB Apr 24'!AR$13:AR$103)</f>
        <v>270425</v>
      </c>
      <c r="CB49" s="87"/>
      <c r="CC49" s="87">
        <f>SUMIF('TB Apr 24'!$D$13:$D$103,'MIS Apr24'!$B49,'TB Apr 24'!AS$13:AS$103)</f>
        <v>26743</v>
      </c>
      <c r="CD49" s="87"/>
      <c r="CE49" s="87">
        <f>SUMIF('TB Apr 24'!$D$13:$D$103,'MIS Apr24'!$B49,'TB Apr 24'!AT$13:AT$103)</f>
        <v>50803</v>
      </c>
      <c r="CF49" s="87"/>
      <c r="CG49" s="87">
        <f>SUMIF('TB Apr 24'!$D$13:$D$103,'MIS Apr24'!$B49,'TB Apr 24'!AU$13:AU$103)</f>
        <v>0</v>
      </c>
      <c r="CH49" s="87"/>
      <c r="CI49" s="87">
        <f>SUMIF('TB Apr 24'!$D$13:$D$103,'MIS Apr24'!$B49,'TB Apr 24'!AV$13:AV$103)</f>
        <v>23561</v>
      </c>
      <c r="CJ49" s="87"/>
      <c r="CK49" s="87">
        <f>SUMIF('TB Apr 24'!$D$13:$D$103,'MIS Apr24'!$B49,'TB Apr 24'!AW$13:AW$103)</f>
        <v>23561</v>
      </c>
      <c r="CL49" s="87"/>
      <c r="CM49" s="87">
        <f>SUMIF('TB Apr 24'!$D$13:$D$103,'MIS Apr24'!$B49,'TB Apr 24'!AX$13:AX$103)</f>
        <v>134433</v>
      </c>
      <c r="CN49" s="87"/>
      <c r="CO49" s="87">
        <f>SUMIF('TB Apr 24'!$D$13:$D$103,'MIS Apr24'!$B49,'TB Apr 24'!AY$13:AY$103)</f>
        <v>0</v>
      </c>
      <c r="CP49" s="87"/>
      <c r="CQ49" s="87">
        <f>SUMIF('TB Apr 24'!$D$13:$D$103,'MIS Apr24'!$B49,'TB Apr 24'!AZ$13:AZ$103)</f>
        <v>0</v>
      </c>
      <c r="CR49" s="87"/>
      <c r="CS49" s="87">
        <f>SUMIF('TB Apr 24'!$D$13:$D$103,'MIS Apr24'!$B49,'TB Apr 24'!BA$13:BA$103)</f>
        <v>212802</v>
      </c>
      <c r="CT49" s="87"/>
      <c r="CU49" s="87">
        <f>SUMIF('TB Apr 24'!$D$13:$D$103,'MIS Apr24'!$B49,'TB Apr 24'!BB$13:BB$103)</f>
        <v>285446</v>
      </c>
      <c r="CV49" s="87"/>
      <c r="CW49" s="87">
        <f>SUMIF('TB Apr 24'!$D$13:$D$103,'MIS Apr24'!$B49,'TB Apr 24'!BC$13:BC$103)</f>
        <v>217979</v>
      </c>
      <c r="CX49" s="87"/>
      <c r="CY49" s="87">
        <f>SUMIF('TB Apr 24'!$D$13:$D$103,'MIS Apr24'!$B49,'TB Apr 24'!BD$13:BD$103)</f>
        <v>187629</v>
      </c>
      <c r="CZ49" s="87"/>
      <c r="DA49" s="87">
        <f>SUMIF('TB Apr 24'!$D$13:$D$103,'MIS Apr24'!$B49,'TB Apr 24'!O$13:O$103)</f>
        <v>27602</v>
      </c>
      <c r="DB49" s="87"/>
      <c r="DC49" s="87">
        <f>SUM(C49,E49,I49,K49,M49,O49,S49,U49,AA49,AC49,AG49,AK49,AM49,AO49,AQ49,AS49,AW49,AY49,BA49,BC49,BE49,BG49,BI49,BK49,BU49,BW49,CA49,CC49,CE49,CI49,CK49,CM49,CS49,CU49,CW49,CY49,DA49)</f>
        <v>2891826</v>
      </c>
      <c r="DD49" s="87"/>
      <c r="DE49" s="87"/>
      <c r="DF49" s="87"/>
      <c r="DG49" s="87">
        <f>DE49-DC49</f>
        <v>-2891826</v>
      </c>
      <c r="DH49" s="87"/>
    </row>
    <row r="50" spans="2:114" outlineLevel="1" x14ac:dyDescent="0.35">
      <c r="B50" s="17" t="s">
        <v>303</v>
      </c>
      <c r="C50" s="87">
        <f>SUMIF('TB Apr 24'!$D$13:$D$103,'MIS Apr24'!$B50,'TB Apr 24'!E$13:E$103)</f>
        <v>0</v>
      </c>
      <c r="D50" s="546">
        <f t="shared" si="56"/>
        <v>0</v>
      </c>
      <c r="E50" s="87">
        <f>SUMIF('TB Apr 24'!$D$13:$D$103,'MIS Apr24'!$B50,'TB Apr 24'!F$13:F$103)</f>
        <v>0</v>
      </c>
      <c r="F50" s="546">
        <f t="shared" si="56"/>
        <v>0</v>
      </c>
      <c r="G50" s="87">
        <f>SUMIF('TB Apr 24'!$D$13:$D$103,'MIS Apr24'!$B50,'TB Apr 24'!G$13:G$103)</f>
        <v>0</v>
      </c>
      <c r="H50" s="546">
        <f t="shared" si="3"/>
        <v>0</v>
      </c>
      <c r="I50" s="87">
        <f>SUMIF('TB Apr 24'!$D$13:$D$103,'MIS Apr24'!$B50,'TB Apr 24'!H$13:H$103)</f>
        <v>0</v>
      </c>
      <c r="J50" s="546">
        <f t="shared" si="4"/>
        <v>0</v>
      </c>
      <c r="K50" s="87">
        <f>SUMIF('TB Apr 24'!$D$13:$D$103,'MIS Apr24'!$B50,'TB Apr 24'!I$13:I$103)</f>
        <v>0</v>
      </c>
      <c r="L50" s="546">
        <f t="shared" si="5"/>
        <v>0</v>
      </c>
      <c r="M50" s="87">
        <f>SUMIF('TB Apr 24'!$D$13:$D$103,'MIS Apr24'!$B50,'TB Apr 24'!J$13:J$103)</f>
        <v>66361</v>
      </c>
      <c r="N50" s="546">
        <f t="shared" si="6"/>
        <v>2.8571317835560408E-2</v>
      </c>
      <c r="O50" s="87">
        <f>SUMIF('TB Apr 24'!$D$13:$D$103,'MIS Apr24'!$B50,'TB Apr 24'!K$13:K$103)</f>
        <v>92447</v>
      </c>
      <c r="P50" s="546">
        <f t="shared" si="7"/>
        <v>2.7459283171924212E-2</v>
      </c>
      <c r="Q50" s="87">
        <f>SUMIF('TB Apr 24'!$D$13:$D$103,'MIS Apr24'!$B50,'TB Apr 24'!L$13:L$103)</f>
        <v>0</v>
      </c>
      <c r="R50" s="546">
        <f t="shared" si="8"/>
        <v>0</v>
      </c>
      <c r="S50" s="87">
        <f>SUMIF('TB Apr 24'!$D$13:$D$103,'MIS Apr24'!$B50,'TB Apr 24'!M$13:M$103)</f>
        <v>117197</v>
      </c>
      <c r="T50" s="546">
        <f t="shared" si="9"/>
        <v>3.116817352992271E-2</v>
      </c>
      <c r="U50" s="87">
        <f>SUMIF('TB Apr 24'!$D$13:$D$103,'MIS Apr24'!$B50,'TB Apr 24'!N$13:N$103)</f>
        <v>0</v>
      </c>
      <c r="V50" s="546">
        <f t="shared" si="10"/>
        <v>0</v>
      </c>
      <c r="W50" s="87">
        <f>SUMIF('TB Apr 24'!$D$13:$D$103,'MIS Apr24'!$B50,'TB Apr 24'!P$13:P$103)</f>
        <v>0</v>
      </c>
      <c r="X50" s="546">
        <f t="shared" si="11"/>
        <v>0</v>
      </c>
      <c r="Y50" s="87">
        <f>SUMIF('TB Apr 24'!$D$13:$D$103,'MIS Apr24'!$B50,'TB Apr 24'!Q$13:Q$103)</f>
        <v>0</v>
      </c>
      <c r="Z50" s="546">
        <f t="shared" si="12"/>
        <v>0</v>
      </c>
      <c r="AA50" s="87">
        <f>SUMIF('TB Apr 24'!$D$13:$D$103,'MIS Apr24'!$B50,'TB Apr 24'!R$13:R$103)</f>
        <v>0</v>
      </c>
      <c r="AB50" s="546">
        <f t="shared" si="13"/>
        <v>0</v>
      </c>
      <c r="AC50" s="87">
        <f>SUMIF('TB Apr 24'!$D$13:$D$103,'MIS Apr24'!$B50,'TB Apr 24'!S$13:S$103)</f>
        <v>0</v>
      </c>
      <c r="AD50" s="546">
        <f t="shared" si="14"/>
        <v>0</v>
      </c>
      <c r="AE50" s="87">
        <f>SUMIF('TB Apr 24'!$D$13:$D$103,'MIS Apr24'!$B50,'TB Apr 24'!T$13:T$103)</f>
        <v>0</v>
      </c>
      <c r="AF50" s="546">
        <f t="shared" si="15"/>
        <v>0</v>
      </c>
      <c r="AG50" s="87">
        <f>SUMIF('TB Apr 24'!$D$13:$D$103,'MIS Apr24'!$B50,'TB Apr 24'!U$13:U$103)</f>
        <v>0</v>
      </c>
      <c r="AH50" s="546">
        <f t="shared" si="16"/>
        <v>0</v>
      </c>
      <c r="AI50" s="87">
        <f>SUMIF('TB Apr 24'!$D$13:$D$103,'MIS Apr24'!$B50,'TB Apr 24'!V$13:V$103)</f>
        <v>0</v>
      </c>
      <c r="AJ50" s="546">
        <f t="shared" si="17"/>
        <v>0</v>
      </c>
      <c r="AK50" s="87">
        <f>SUMIF('TB Apr 24'!$D$13:$D$103,'MIS Apr24'!$B50,'TB Apr 24'!W$13:W$103)</f>
        <v>0</v>
      </c>
      <c r="AL50" s="546">
        <f t="shared" si="18"/>
        <v>0</v>
      </c>
      <c r="AM50" s="87">
        <f>SUMIF('TB Apr 24'!$D$13:$D$103,'MIS Apr24'!$B50,'TB Apr 24'!X$13:X$103)</f>
        <v>0</v>
      </c>
      <c r="AN50" s="546">
        <f t="shared" si="19"/>
        <v>0</v>
      </c>
      <c r="AO50" s="87">
        <f>SUMIF('TB Apr 24'!$D$13:$D$103,'MIS Apr24'!$B50,'TB Apr 24'!Y$13:Y$103)</f>
        <v>0</v>
      </c>
      <c r="AP50" s="546">
        <f t="shared" si="20"/>
        <v>0</v>
      </c>
      <c r="AQ50" s="87">
        <f>SUMIF('TB Apr 24'!$D$13:$D$103,'MIS Apr24'!$B50,'TB Apr 24'!Z$13:Z$103)</f>
        <v>0</v>
      </c>
      <c r="AR50" s="546">
        <f t="shared" si="21"/>
        <v>0</v>
      </c>
      <c r="AS50" s="87">
        <f>SUMIF('TB Apr 24'!$D$13:$D$103,'MIS Apr24'!$B50,'TB Apr 24'!AA$13:AA$103)</f>
        <v>0</v>
      </c>
      <c r="AT50" s="546">
        <f t="shared" si="22"/>
        <v>0</v>
      </c>
      <c r="AU50" s="87">
        <f>SUMIF('TB Apr 24'!$D$13:$D$103,'MIS Apr24'!$B50,'TB Apr 24'!AB$13:AB$103)</f>
        <v>0</v>
      </c>
      <c r="AV50" s="546">
        <f t="shared" si="23"/>
        <v>0</v>
      </c>
      <c r="AW50" s="87">
        <f>SUMIF('TB Apr 24'!$D$13:$D$103,'MIS Apr24'!$B50,'TB Apr 24'!AC$13:AC$103)</f>
        <v>0</v>
      </c>
      <c r="AX50" s="546">
        <f t="shared" si="24"/>
        <v>0</v>
      </c>
      <c r="AY50" s="87">
        <f>SUMIF('TB Apr 24'!$D$13:$D$103,'MIS Apr24'!$B50,'TB Apr 24'!AD$13:AD$103)</f>
        <v>0</v>
      </c>
      <c r="AZ50" s="546">
        <f t="shared" si="25"/>
        <v>0</v>
      </c>
      <c r="BA50" s="87">
        <f>SUMIF('TB Apr 24'!$D$13:$D$103,'MIS Apr24'!$B50,'TB Apr 24'!AE$13:AE$103)</f>
        <v>0</v>
      </c>
      <c r="BB50" s="546">
        <f t="shared" si="26"/>
        <v>0</v>
      </c>
      <c r="BC50" s="87">
        <f>SUMIF('TB Apr 24'!$D$13:$D$103,'MIS Apr24'!$B50,'TB Apr 24'!AF$13:AF$103)</f>
        <v>0</v>
      </c>
      <c r="BD50" s="546">
        <f t="shared" si="27"/>
        <v>0</v>
      </c>
      <c r="BE50" s="87">
        <f>SUMIF('TB Apr 24'!$D$13:$D$103,'MIS Apr24'!$B50,'TB Apr 24'!AG$13:AG$103)</f>
        <v>0</v>
      </c>
      <c r="BF50" s="546">
        <f t="shared" si="28"/>
        <v>0</v>
      </c>
      <c r="BG50" s="87">
        <f>SUMIF('TB Apr 24'!$D$13:$D$103,'MIS Apr24'!$B50,'TB Apr 24'!AH$13:AH$103)</f>
        <v>0</v>
      </c>
      <c r="BH50" s="546">
        <f t="shared" si="29"/>
        <v>0</v>
      </c>
      <c r="BI50" s="87">
        <f>SUMIF('TB Apr 24'!$D$13:$D$103,'MIS Apr24'!$B50,'TB Apr 24'!AI$13:AI$103)</f>
        <v>0</v>
      </c>
      <c r="BJ50" s="546">
        <f t="shared" si="30"/>
        <v>0</v>
      </c>
      <c r="BK50" s="87">
        <f>SUMIF('TB Apr 24'!$D$13:$D$103,'MIS Apr24'!$B50,'TB Apr 24'!AJ$13:AJ$103)</f>
        <v>0</v>
      </c>
      <c r="BL50" s="546">
        <f t="shared" si="31"/>
        <v>0</v>
      </c>
      <c r="BM50" s="87">
        <f>SUMIF('TB Apr 24'!$D$13:$D$103,'MIS Apr24'!$B50,'TB Apr 24'!AK$13:AK$103)</f>
        <v>0</v>
      </c>
      <c r="BN50" s="546">
        <f t="shared" si="32"/>
        <v>0</v>
      </c>
      <c r="BO50" s="87">
        <f>SUMIF('TB Apr 24'!$D$13:$D$103,'MIS Apr24'!$B50,'TB Apr 24'!AL$13:AL$103)</f>
        <v>0</v>
      </c>
      <c r="BP50" s="546">
        <f t="shared" si="33"/>
        <v>0</v>
      </c>
      <c r="BQ50" s="87">
        <f>SUMIF('TB Apr 24'!$D$13:$D$103,'MIS Apr24'!$B50,'TB Apr 24'!AM$13:AM$103)</f>
        <v>0</v>
      </c>
      <c r="BR50" s="546">
        <f t="shared" si="34"/>
        <v>0</v>
      </c>
      <c r="BS50" s="87">
        <f>SUMIF('TB Apr 24'!$D$13:$D$103,'MIS Apr24'!$B50,'TB Apr 24'!AN$13:AN$103)</f>
        <v>0</v>
      </c>
      <c r="BT50" s="546">
        <f t="shared" si="35"/>
        <v>0</v>
      </c>
      <c r="BU50" s="87">
        <f>SUMIF('TB Apr 24'!$D$13:$D$103,'MIS Apr24'!$B50,'TB Apr 24'!AO$13:AO$103)</f>
        <v>0</v>
      </c>
      <c r="BV50" s="546">
        <f t="shared" si="36"/>
        <v>0</v>
      </c>
      <c r="BW50" s="87">
        <f>SUMIF('TB Apr 24'!$D$13:$D$103,'MIS Apr24'!$B50,'TB Apr 24'!AP$13:AP$103)</f>
        <v>0</v>
      </c>
      <c r="BX50" s="546">
        <f t="shared" si="37"/>
        <v>0</v>
      </c>
      <c r="BY50" s="87">
        <f>SUMIF('TB Apr 24'!$D$13:$D$103,'MIS Apr24'!$B50,'TB Apr 24'!AQ$13:AQ$103)</f>
        <v>0</v>
      </c>
      <c r="BZ50" s="546">
        <f t="shared" si="38"/>
        <v>0</v>
      </c>
      <c r="CA50" s="87">
        <f>SUMIF('TB Apr 24'!$D$13:$D$103,'MIS Apr24'!$B50,'TB Apr 24'!AR$13:AR$103)</f>
        <v>0</v>
      </c>
      <c r="CB50" s="546">
        <f t="shared" si="39"/>
        <v>0</v>
      </c>
      <c r="CC50" s="87">
        <f>SUMIF('TB Apr 24'!$D$13:$D$103,'MIS Apr24'!$B50,'TB Apr 24'!AS$13:AS$103)</f>
        <v>0</v>
      </c>
      <c r="CD50" s="546">
        <f t="shared" si="40"/>
        <v>0</v>
      </c>
      <c r="CE50" s="87">
        <f>SUMIF('TB Apr 24'!$D$13:$D$103,'MIS Apr24'!$B50,'TB Apr 24'!AT$13:AT$103)</f>
        <v>0</v>
      </c>
      <c r="CF50" s="546">
        <f t="shared" si="41"/>
        <v>0</v>
      </c>
      <c r="CG50" s="87">
        <f>SUMIF('TB Apr 24'!$D$13:$D$103,'MIS Apr24'!$B50,'TB Apr 24'!AU$13:AU$103)</f>
        <v>0</v>
      </c>
      <c r="CH50" s="546">
        <f t="shared" si="42"/>
        <v>0</v>
      </c>
      <c r="CI50" s="87">
        <f>SUMIF('TB Apr 24'!$D$13:$D$103,'MIS Apr24'!$B50,'TB Apr 24'!AV$13:AV$103)</f>
        <v>0</v>
      </c>
      <c r="CJ50" s="546">
        <f t="shared" si="43"/>
        <v>0</v>
      </c>
      <c r="CK50" s="87">
        <f>SUMIF('TB Apr 24'!$D$13:$D$103,'MIS Apr24'!$B50,'TB Apr 24'!AW$13:AW$103)</f>
        <v>0</v>
      </c>
      <c r="CL50" s="546">
        <f t="shared" si="44"/>
        <v>0</v>
      </c>
      <c r="CM50" s="87">
        <f>SUMIF('TB Apr 24'!$D$13:$D$103,'MIS Apr24'!$B50,'TB Apr 24'!AX$13:AX$103)</f>
        <v>0</v>
      </c>
      <c r="CN50" s="546">
        <f t="shared" si="45"/>
        <v>0</v>
      </c>
      <c r="CO50" s="87">
        <f>SUMIF('TB Apr 24'!$D$13:$D$103,'MIS Apr24'!$B50,'TB Apr 24'!AY$13:AY$103)</f>
        <v>0</v>
      </c>
      <c r="CP50" s="546">
        <f t="shared" si="46"/>
        <v>0</v>
      </c>
      <c r="CQ50" s="87">
        <f>SUMIF('TB Apr 24'!$D$13:$D$103,'MIS Apr24'!$B50,'TB Apr 24'!AZ$13:AZ$103)</f>
        <v>0</v>
      </c>
      <c r="CR50" s="546">
        <f t="shared" si="47"/>
        <v>0</v>
      </c>
      <c r="CS50" s="87">
        <f>SUMIF('TB Apr 24'!$D$13:$D$103,'MIS Apr24'!$B50,'TB Apr 24'!BA$13:BA$103)</f>
        <v>0</v>
      </c>
      <c r="CT50" s="546">
        <f t="shared" si="48"/>
        <v>0</v>
      </c>
      <c r="CU50" s="87">
        <f>SUMIF('TB Apr 24'!$D$13:$D$103,'MIS Apr24'!$B50,'TB Apr 24'!BB$13:BB$103)</f>
        <v>0</v>
      </c>
      <c r="CV50" s="546">
        <f t="shared" si="49"/>
        <v>0</v>
      </c>
      <c r="CW50" s="87">
        <f>SUMIF('TB Apr 24'!$D$13:$D$103,'MIS Apr24'!$B50,'TB Apr 24'!BC$13:BC$103)</f>
        <v>0</v>
      </c>
      <c r="CX50" s="546">
        <f t="shared" si="50"/>
        <v>0</v>
      </c>
      <c r="CY50" s="87">
        <f>SUMIF('TB Apr 24'!$D$13:$D$103,'MIS Apr24'!$B50,'TB Apr 24'!BD$13:BD$103)</f>
        <v>0</v>
      </c>
      <c r="CZ50" s="546">
        <f t="shared" si="51"/>
        <v>0</v>
      </c>
      <c r="DA50" s="87">
        <f>SUMIF('TB Apr 24'!$D$13:$D$103,'MIS Apr24'!$B50,'TB Apr 24'!O$13:O$103)</f>
        <v>0</v>
      </c>
      <c r="DB50" s="546">
        <f t="shared" si="52"/>
        <v>0</v>
      </c>
      <c r="DC50" s="87">
        <f t="shared" si="60"/>
        <v>276005</v>
      </c>
      <c r="DD50" s="546">
        <f t="shared" si="53"/>
        <v>3.328821501741101E-3</v>
      </c>
      <c r="DE50" s="87"/>
      <c r="DF50" s="546">
        <f t="shared" si="54"/>
        <v>0</v>
      </c>
      <c r="DG50" s="87">
        <f t="shared" si="61"/>
        <v>-276005</v>
      </c>
      <c r="DH50" s="546">
        <f t="shared" si="55"/>
        <v>3.328821501741101E-3</v>
      </c>
    </row>
    <row r="51" spans="2:114" x14ac:dyDescent="0.35">
      <c r="B51" s="1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>
        <f>DE51-DC51</f>
        <v>0</v>
      </c>
    </row>
    <row r="52" spans="2:114" x14ac:dyDescent="0.35">
      <c r="B52" s="535" t="s">
        <v>241</v>
      </c>
      <c r="C52" s="537">
        <f>C22+C27+C34+C39</f>
        <v>1244440.5863704111</v>
      </c>
      <c r="D52" s="537"/>
      <c r="E52" s="537">
        <f>E22+E27+E34+E39</f>
        <v>1530098.3080608267</v>
      </c>
      <c r="F52" s="537"/>
      <c r="G52" s="537">
        <f>G22+G27+G34+G39</f>
        <v>0</v>
      </c>
      <c r="H52" s="537"/>
      <c r="I52" s="537">
        <f>I22+I27+I34+I39</f>
        <v>1791827.5820337927</v>
      </c>
      <c r="J52" s="537"/>
      <c r="K52" s="537">
        <f>K22+K27+K34+K39</f>
        <v>1063030.7464146914</v>
      </c>
      <c r="L52" s="537"/>
      <c r="M52" s="537">
        <f>M22+M27+M34+M39</f>
        <v>1589497.6411658418</v>
      </c>
      <c r="N52" s="537"/>
      <c r="O52" s="537">
        <f>O22+O27+O34+O39</f>
        <v>2002357.8339966014</v>
      </c>
      <c r="P52" s="537"/>
      <c r="Q52" s="537">
        <f>Q22+Q27+Q34+Q39</f>
        <v>0</v>
      </c>
      <c r="R52" s="537"/>
      <c r="S52" s="537">
        <f>S22+S27+S34+S39</f>
        <v>2135511.4610680682</v>
      </c>
      <c r="T52" s="537"/>
      <c r="U52" s="537">
        <f>U22+U27+U34+U39</f>
        <v>1861253.4612646473</v>
      </c>
      <c r="V52" s="537"/>
      <c r="W52" s="537">
        <f>W22+W27+W34+W39</f>
        <v>0</v>
      </c>
      <c r="X52" s="537"/>
      <c r="Y52" s="537">
        <f>Y22+Y27+Y34+Y39</f>
        <v>0</v>
      </c>
      <c r="Z52" s="537"/>
      <c r="AA52" s="537">
        <f>AA22+AA27+AA34+AA39</f>
        <v>1963330.2563708767</v>
      </c>
      <c r="AB52" s="537"/>
      <c r="AC52" s="537">
        <f>AC22+AC27+AC34+AC39</f>
        <v>2128095.4342873557</v>
      </c>
      <c r="AD52" s="537"/>
      <c r="AE52" s="537">
        <f>AE22+AE27+AE34+AE39</f>
        <v>0</v>
      </c>
      <c r="AF52" s="537"/>
      <c r="AG52" s="537">
        <f>AG22+AG27+AG34+AG39</f>
        <v>2647805.6109075709</v>
      </c>
      <c r="AH52" s="537"/>
      <c r="AI52" s="537">
        <f>AI22+AI27+AI34+AI39</f>
        <v>0</v>
      </c>
      <c r="AJ52" s="537"/>
      <c r="AK52" s="537">
        <f>AK22+AK27+AK34+AK39</f>
        <v>1709166.4727576305</v>
      </c>
      <c r="AL52" s="537"/>
      <c r="AM52" s="537">
        <f>AM22+AM27+AM34+AM39</f>
        <v>2118457.9257511273</v>
      </c>
      <c r="AN52" s="537"/>
      <c r="AO52" s="537">
        <f>AO22+AO27+AO34+AO39</f>
        <v>1741425.4530645458</v>
      </c>
      <c r="AP52" s="537"/>
      <c r="AQ52" s="537">
        <f>AQ22+AQ27+AQ34+AQ39</f>
        <v>1341486.7739118279</v>
      </c>
      <c r="AR52" s="537"/>
      <c r="AS52" s="537">
        <f>AS22+AS27+AS34+AS39</f>
        <v>1357051.6976709694</v>
      </c>
      <c r="AT52" s="537"/>
      <c r="AU52" s="537">
        <f>AU22+AU27+AU34+AU39</f>
        <v>1016</v>
      </c>
      <c r="AV52" s="537"/>
      <c r="AW52" s="537">
        <f>AW22+AW27+AW34+AW39</f>
        <v>2299892.2761505945</v>
      </c>
      <c r="AX52" s="537"/>
      <c r="AY52" s="537">
        <f>AY22+AY27+AY34+AY39</f>
        <v>2828340.0504235486</v>
      </c>
      <c r="AZ52" s="537"/>
      <c r="BA52" s="537">
        <f>BA22+BA27+BA34+BA39</f>
        <v>968623.08053651452</v>
      </c>
      <c r="BB52" s="537"/>
      <c r="BC52" s="537">
        <f>BC22+BC27+BC34+BC39</f>
        <v>2210140.4556897688</v>
      </c>
      <c r="BD52" s="537"/>
      <c r="BE52" s="537">
        <f>BE22+BE27+BE34+BE39</f>
        <v>1207120.8735304023</v>
      </c>
      <c r="BF52" s="537"/>
      <c r="BG52" s="537">
        <f>BG22+BG27+BG34+BG39</f>
        <v>1626267.2775392467</v>
      </c>
      <c r="BH52" s="537"/>
      <c r="BI52" s="537">
        <f>BI22+BI27+BI34+BI39</f>
        <v>1831497.4215102857</v>
      </c>
      <c r="BJ52" s="537"/>
      <c r="BK52" s="537">
        <f>BK22+BK27+BK34+BK39</f>
        <v>2266405.7296946463</v>
      </c>
      <c r="BL52" s="537"/>
      <c r="BM52" s="537">
        <f>BM22+BM27+BM34+BM39</f>
        <v>0</v>
      </c>
      <c r="BN52" s="537"/>
      <c r="BO52" s="537">
        <f>BO22+BO27+BO34+BO39</f>
        <v>0</v>
      </c>
      <c r="BP52" s="537"/>
      <c r="BQ52" s="537">
        <f>BQ22+BQ27+BQ34+BQ39</f>
        <v>0</v>
      </c>
      <c r="BR52" s="537"/>
      <c r="BS52" s="537">
        <f>BS22+BS27+BS34+BS39</f>
        <v>0</v>
      </c>
      <c r="BT52" s="537"/>
      <c r="BU52" s="537">
        <f>BU22+BU27+BU34+BU39</f>
        <v>3868103.8012742307</v>
      </c>
      <c r="BV52" s="537"/>
      <c r="BW52" s="537">
        <f>BW22+BW27+BW34+BW39</f>
        <v>1357432.7997521099</v>
      </c>
      <c r="BX52" s="537"/>
      <c r="BY52" s="537">
        <f>BY22+BY27+BY34+BY39</f>
        <v>0</v>
      </c>
      <c r="BZ52" s="537"/>
      <c r="CA52" s="537">
        <f>CA22+CA27+CA34+CA39</f>
        <v>3503242.3458621642</v>
      </c>
      <c r="CB52" s="537"/>
      <c r="CC52" s="537">
        <f>CC22+CC27+CC34+CC39</f>
        <v>1805094.6719842087</v>
      </c>
      <c r="CD52" s="537"/>
      <c r="CE52" s="537">
        <f>CE22+CE27+CE34+CE39</f>
        <v>1796178.2211791063</v>
      </c>
      <c r="CF52" s="537"/>
      <c r="CG52" s="537">
        <f>CG22+CG27+CG34+CG39</f>
        <v>2031</v>
      </c>
      <c r="CH52" s="537"/>
      <c r="CI52" s="537">
        <f>CI22+CI27+CI34+CI39</f>
        <v>1740756.4094625011</v>
      </c>
      <c r="CJ52" s="537"/>
      <c r="CK52" s="537">
        <f>CK22+CK27+CK34+CK39</f>
        <v>1450926.7359851231</v>
      </c>
      <c r="CL52" s="537"/>
      <c r="CM52" s="537">
        <f>CM22+CM27+CM34+CM39</f>
        <v>1383272.3349191688</v>
      </c>
      <c r="CN52" s="537"/>
      <c r="CO52" s="537">
        <f>CO22+CO27+CO34+CO39</f>
        <v>2100</v>
      </c>
      <c r="CP52" s="537"/>
      <c r="CQ52" s="537">
        <f>CQ22+CQ27+CQ34+CQ39</f>
        <v>0</v>
      </c>
      <c r="CR52" s="537"/>
      <c r="CS52" s="537">
        <f>CS22+CS27+CS34+CS39</f>
        <v>2434973.7068186197</v>
      </c>
      <c r="CT52" s="537"/>
      <c r="CU52" s="537">
        <f>CU22+CU27+CU34+CU39</f>
        <v>1457278.1122121427</v>
      </c>
      <c r="CV52" s="537"/>
      <c r="CW52" s="537">
        <f>CW22+CW27+CW34+CW39</f>
        <v>3047537.4838395403</v>
      </c>
      <c r="CX52" s="537"/>
      <c r="CY52" s="537">
        <f>CY22+CY27+CY34+CY39</f>
        <v>1473797.9930346492</v>
      </c>
      <c r="CZ52" s="537"/>
      <c r="DA52" s="537">
        <f>DA22+DA27+DA34+DA39</f>
        <v>7189067.1715440517</v>
      </c>
      <c r="DB52" s="537"/>
      <c r="DC52" s="537">
        <f>DC22+DC27+DC34+DC39</f>
        <v>75970786.198039412</v>
      </c>
      <c r="DD52" s="537"/>
      <c r="DE52" s="537">
        <f>DE22+DE27+DE34+DE39</f>
        <v>0</v>
      </c>
      <c r="DF52" s="537"/>
      <c r="DG52" s="537">
        <f>DG22+DG27+DG34+DG39</f>
        <v>-72461208.798039407</v>
      </c>
      <c r="DH52" s="537">
        <f>DE52-DC52</f>
        <v>-75970786.198039412</v>
      </c>
    </row>
    <row r="53" spans="2:114" x14ac:dyDescent="0.35">
      <c r="B53" s="535" t="s">
        <v>565</v>
      </c>
      <c r="C53" s="536">
        <f>IFERROR(C52/C8,0)</f>
        <v>1.0309266895857383</v>
      </c>
      <c r="D53" s="536"/>
      <c r="E53" s="536">
        <f>IFERROR(E52/E8,0)</f>
        <v>0.92937474579108192</v>
      </c>
      <c r="F53" s="536"/>
      <c r="G53" s="536">
        <f>IFERROR(G52/G8,0)</f>
        <v>0</v>
      </c>
      <c r="H53" s="536"/>
      <c r="I53" s="536">
        <f>IFERROR(I52/I8,0)</f>
        <v>0.58703512008492564</v>
      </c>
      <c r="J53" s="536"/>
      <c r="K53" s="536">
        <f>IFERROR(K52/K8,0)</f>
        <v>1.1049581410926179</v>
      </c>
      <c r="L53" s="536"/>
      <c r="M53" s="536">
        <f>IFERROR(M52/M8,0)</f>
        <v>0.6843483718542942</v>
      </c>
      <c r="N53" s="536"/>
      <c r="O53" s="536">
        <f>IFERROR(O52/O8,0)</f>
        <v>0.59475494905441484</v>
      </c>
      <c r="P53" s="536"/>
      <c r="Q53" s="536">
        <f>IFERROR(Q52/Q8,0)</f>
        <v>0</v>
      </c>
      <c r="R53" s="536"/>
      <c r="S53" s="536">
        <f>IFERROR(S52/S8,0)</f>
        <v>0.5679325562404185</v>
      </c>
      <c r="T53" s="536"/>
      <c r="U53" s="536">
        <f>IFERROR(U52/U8,0)</f>
        <v>0.6605644372502556</v>
      </c>
      <c r="V53" s="536"/>
      <c r="W53" s="536">
        <f>IFERROR(W52/W8,0)</f>
        <v>0</v>
      </c>
      <c r="X53" s="536"/>
      <c r="Y53" s="536">
        <f>IFERROR(Y52/Y8,0)</f>
        <v>0</v>
      </c>
      <c r="Z53" s="536"/>
      <c r="AA53" s="536">
        <f>IFERROR(AA52/AA8,0)</f>
        <v>0.62401487335198524</v>
      </c>
      <c r="AB53" s="536"/>
      <c r="AC53" s="536">
        <f>IFERROR(AC52/AC8,0)</f>
        <v>0.9372479231487062</v>
      </c>
      <c r="AD53" s="536"/>
      <c r="AE53" s="536">
        <f>IFERROR(AE52/AE8,0)</f>
        <v>0</v>
      </c>
      <c r="AF53" s="536"/>
      <c r="AG53" s="536">
        <f>IFERROR(AG52/AG8,0)</f>
        <v>0.71239688781347521</v>
      </c>
      <c r="AH53" s="536"/>
      <c r="AI53" s="536">
        <f>IFERROR(AI52/AI8,0)</f>
        <v>0</v>
      </c>
      <c r="AJ53" s="536"/>
      <c r="AK53" s="536">
        <f>IFERROR(AK52/AK8,0)</f>
        <v>1.5790169627992499</v>
      </c>
      <c r="AL53" s="536"/>
      <c r="AM53" s="536">
        <f>IFERROR(AM52/AM8,0)</f>
        <v>1.0354213747643257</v>
      </c>
      <c r="AN53" s="536"/>
      <c r="AO53" s="536">
        <f>IFERROR(AO52/AO8,0)</f>
        <v>0.98826817632611597</v>
      </c>
      <c r="AP53" s="536"/>
      <c r="AQ53" s="536">
        <f>IFERROR(AQ52/AQ8,0)</f>
        <v>0.90862441672414274</v>
      </c>
      <c r="AR53" s="536"/>
      <c r="AS53" s="536">
        <f>IFERROR(AS52/AS8,0)</f>
        <v>0.72709371338061324</v>
      </c>
      <c r="AT53" s="536"/>
      <c r="AU53" s="536">
        <f>IFERROR(AU52/AU8,0)</f>
        <v>0</v>
      </c>
      <c r="AV53" s="536"/>
      <c r="AW53" s="536">
        <f>IFERROR(AW52/AW8,0)</f>
        <v>0.62066878232607592</v>
      </c>
      <c r="AX53" s="536"/>
      <c r="AY53" s="536">
        <f>IFERROR(AY52/AY8,0)</f>
        <v>0.67823609580647048</v>
      </c>
      <c r="AZ53" s="536"/>
      <c r="BA53" s="536">
        <f>IFERROR(BA52/BA8,0)</f>
        <v>2.942357690020394</v>
      </c>
      <c r="BB53" s="536"/>
      <c r="BC53" s="536">
        <f>IFERROR(BC52/BC8,0)</f>
        <v>1.060657924366079</v>
      </c>
      <c r="BD53" s="536"/>
      <c r="BE53" s="536">
        <f>IFERROR(BE52/BE8,0)</f>
        <v>0.75212376037884088</v>
      </c>
      <c r="BF53" s="536"/>
      <c r="BG53" s="536">
        <f>IFERROR(BG52/BG8,0)</f>
        <v>0.8838304897114736</v>
      </c>
      <c r="BH53" s="536"/>
      <c r="BI53" s="536">
        <f>IFERROR(BI52/BI8,0)</f>
        <v>0.97456689623993009</v>
      </c>
      <c r="BJ53" s="536"/>
      <c r="BK53" s="536">
        <f>IFERROR(BK52/BK8,0)</f>
        <v>0.98668006425451493</v>
      </c>
      <c r="BL53" s="536"/>
      <c r="BM53" s="536">
        <f>IFERROR(BM52/BM8,0)</f>
        <v>0</v>
      </c>
      <c r="BN53" s="536"/>
      <c r="BO53" s="536">
        <f>IFERROR(BO52/BO8,0)</f>
        <v>0</v>
      </c>
      <c r="BP53" s="536"/>
      <c r="BQ53" s="536">
        <f>IFERROR(BQ52/BQ8,0)</f>
        <v>0</v>
      </c>
      <c r="BR53" s="536"/>
      <c r="BS53" s="536">
        <f>IFERROR(BS52/BS8,0)</f>
        <v>0</v>
      </c>
      <c r="BT53" s="536"/>
      <c r="BU53" s="536">
        <f>IFERROR(BU52/BU8,0)</f>
        <v>0.78056549139675624</v>
      </c>
      <c r="BV53" s="536"/>
      <c r="BW53" s="536">
        <f>IFERROR(BW52/BW8,0)</f>
        <v>5.6639703570965239</v>
      </c>
      <c r="BX53" s="536"/>
      <c r="BY53" s="536">
        <f>IFERROR(BY52/BY8,0)</f>
        <v>0</v>
      </c>
      <c r="BZ53" s="536"/>
      <c r="CA53" s="536">
        <f>IFERROR(CA52/CA8,0)</f>
        <v>0.61682808162057368</v>
      </c>
      <c r="CB53" s="536"/>
      <c r="CC53" s="536">
        <f>IFERROR(CC52/CC8,0)</f>
        <v>0.83718383277151909</v>
      </c>
      <c r="CD53" s="536"/>
      <c r="CE53" s="536">
        <f>IFERROR(CE52/CE8,0)</f>
        <v>1.1130784114855972</v>
      </c>
      <c r="CF53" s="536"/>
      <c r="CG53" s="536">
        <f>IFERROR(CG52/CG8,0)</f>
        <v>0</v>
      </c>
      <c r="CH53" s="536"/>
      <c r="CI53" s="536">
        <f>IFERROR(CI52/CI8,0)</f>
        <v>0.82583609571189165</v>
      </c>
      <c r="CJ53" s="536"/>
      <c r="CK53" s="536">
        <f>IFERROR(CK52/CK8,0)</f>
        <v>0.69651878462247496</v>
      </c>
      <c r="CL53" s="536"/>
      <c r="CM53" s="536">
        <f>IFERROR(CM52/CM8,0)</f>
        <v>1.2095902585862923</v>
      </c>
      <c r="CN53" s="536"/>
      <c r="CO53" s="536">
        <f>IFERROR(CO52/CO8,0)</f>
        <v>0</v>
      </c>
      <c r="CP53" s="536"/>
      <c r="CQ53" s="536">
        <f>IFERROR(CQ52/CQ8,0)</f>
        <v>0</v>
      </c>
      <c r="CR53" s="536"/>
      <c r="CS53" s="536">
        <f>IFERROR(CS52/CS8,0)</f>
        <v>0.9079294195769122</v>
      </c>
      <c r="CT53" s="536"/>
      <c r="CU53" s="536">
        <f>IFERROR(CU52/CU8,0)</f>
        <v>1.1704319899030566</v>
      </c>
      <c r="CV53" s="536"/>
      <c r="CW53" s="536">
        <f>IFERROR(CW52/CW8,0)</f>
        <v>0.76578047420497874</v>
      </c>
      <c r="CX53" s="536"/>
      <c r="CY53" s="536">
        <f>IFERROR(CY52/CY8,0)</f>
        <v>2.3916130896538776</v>
      </c>
      <c r="CZ53" s="536"/>
      <c r="DA53" s="536">
        <f>IFERROR(DA52/DA8,0)</f>
        <v>0</v>
      </c>
      <c r="DB53" s="536"/>
      <c r="DC53" s="536">
        <f>IFERROR(DC52/DC8,0)</f>
        <v>0.91626306262643675</v>
      </c>
      <c r="DD53" s="536"/>
      <c r="DE53" s="537"/>
      <c r="DF53" s="537"/>
      <c r="DG53" s="537"/>
      <c r="DH53" s="537"/>
    </row>
    <row r="54" spans="2:114" x14ac:dyDescent="0.35">
      <c r="B54" s="535" t="s">
        <v>263</v>
      </c>
      <c r="C54" s="537">
        <f>C19-C52</f>
        <v>-354901.61637041089</v>
      </c>
      <c r="D54" s="537"/>
      <c r="E54" s="537">
        <f>E19-E52</f>
        <v>-489589.58606082667</v>
      </c>
      <c r="F54" s="537"/>
      <c r="G54" s="537">
        <f ca="1">G19-G52</f>
        <v>0</v>
      </c>
      <c r="H54" s="537"/>
      <c r="I54" s="537">
        <f>I19-I52</f>
        <v>463051.99296620698</v>
      </c>
      <c r="J54" s="537"/>
      <c r="K54" s="537">
        <f>K19-K52</f>
        <v>-489144.77741469152</v>
      </c>
      <c r="L54" s="537"/>
      <c r="M54" s="537">
        <f>M19-M52</f>
        <v>-51816.11372186942</v>
      </c>
      <c r="N54" s="537"/>
      <c r="O54" s="537">
        <f>O19-O52</f>
        <v>346492.19867107039</v>
      </c>
      <c r="P54" s="537"/>
      <c r="Q54" s="537">
        <f ca="1">Q19-Q52</f>
        <v>0</v>
      </c>
      <c r="R54" s="537"/>
      <c r="S54" s="537">
        <f>S19-S52</f>
        <v>408523.99230062449</v>
      </c>
      <c r="T54" s="537"/>
      <c r="U54" s="537">
        <f>U19-U52</f>
        <v>-95190.051330388291</v>
      </c>
      <c r="V54" s="537"/>
      <c r="W54" s="537">
        <f ca="1">W19-W52</f>
        <v>0</v>
      </c>
      <c r="X54" s="537"/>
      <c r="Y54" s="537">
        <f ca="1">Y19-Y52</f>
        <v>0</v>
      </c>
      <c r="Z54" s="537"/>
      <c r="AA54" s="537">
        <f>AA19-AA52</f>
        <v>448289.34062912292</v>
      </c>
      <c r="AB54" s="537"/>
      <c r="AC54" s="537">
        <f>AC19-AC52</f>
        <v>-480127.03769516479</v>
      </c>
      <c r="AD54" s="537"/>
      <c r="AE54" s="537">
        <f ca="1">AE19-AE52</f>
        <v>0</v>
      </c>
      <c r="AF54" s="537"/>
      <c r="AG54" s="537">
        <f>AG19-AG52</f>
        <v>161376.67509242939</v>
      </c>
      <c r="AH54" s="537"/>
      <c r="AI54" s="537">
        <f ca="1">AI19-AI52</f>
        <v>0</v>
      </c>
      <c r="AJ54" s="537"/>
      <c r="AK54" s="537">
        <f>AK19-AK52</f>
        <v>-1007822.1327576307</v>
      </c>
      <c r="AL54" s="537"/>
      <c r="AM54" s="537">
        <f>AM19-AM52</f>
        <v>-757579.80675112735</v>
      </c>
      <c r="AN54" s="537"/>
      <c r="AO54" s="537">
        <f>AO19-AO52</f>
        <v>-458674.09606454591</v>
      </c>
      <c r="AP54" s="537"/>
      <c r="AQ54" s="537">
        <f>AQ19-AQ52</f>
        <v>-287716.55874286266</v>
      </c>
      <c r="AR54" s="537"/>
      <c r="AS54" s="537">
        <f>AS19-AS52</f>
        <v>84.519874839810655</v>
      </c>
      <c r="AT54" s="537"/>
      <c r="AU54" s="537">
        <f ca="1">AU19-AU52</f>
        <v>-1016</v>
      </c>
      <c r="AV54" s="537"/>
      <c r="AW54" s="537">
        <f>AW19-AW52</f>
        <v>409630.98159949202</v>
      </c>
      <c r="AX54" s="537"/>
      <c r="AY54" s="537">
        <f>AY19-AY52</f>
        <v>154015.35860899556</v>
      </c>
      <c r="AZ54" s="537"/>
      <c r="BA54" s="537">
        <f>BA19-BA52</f>
        <v>-822648.69158347533</v>
      </c>
      <c r="BB54" s="537"/>
      <c r="BC54" s="537">
        <f>BC19-BC52</f>
        <v>-826009.7712678907</v>
      </c>
      <c r="BD54" s="537"/>
      <c r="BE54" s="537">
        <f>BE19-BE52</f>
        <v>-100861.41053040233</v>
      </c>
      <c r="BF54" s="537"/>
      <c r="BG54" s="537">
        <f>BG19-BG52</f>
        <v>-599894.2137399338</v>
      </c>
      <c r="BH54" s="537"/>
      <c r="BI54" s="537">
        <f>BI19-BI52</f>
        <v>-472699.88217695267</v>
      </c>
      <c r="BJ54" s="537"/>
      <c r="BK54" s="537">
        <f>BK19-BK52</f>
        <v>-819902.1516151051</v>
      </c>
      <c r="BL54" s="537"/>
      <c r="BM54" s="537">
        <f ca="1">BM19-BM52</f>
        <v>0</v>
      </c>
      <c r="BN54" s="537"/>
      <c r="BO54" s="537">
        <f ca="1">BO19-BO52</f>
        <v>0</v>
      </c>
      <c r="BP54" s="537"/>
      <c r="BQ54" s="537">
        <f ca="1">BQ19-BQ52</f>
        <v>0</v>
      </c>
      <c r="BR54" s="537"/>
      <c r="BS54" s="537">
        <f ca="1">BS19-BS52</f>
        <v>0</v>
      </c>
      <c r="BT54" s="537"/>
      <c r="BU54" s="537">
        <f>BU19-BU52</f>
        <v>-379310.52793016518</v>
      </c>
      <c r="BV54" s="537"/>
      <c r="BW54" s="537">
        <f>BW19-BW52</f>
        <v>-1864892.71475211</v>
      </c>
      <c r="BX54" s="537"/>
      <c r="BY54" s="537">
        <f ca="1">BY19-BY52</f>
        <v>0</v>
      </c>
      <c r="BZ54" s="537"/>
      <c r="CA54" s="537">
        <f>CA19-CA52</f>
        <v>852964.06527395919</v>
      </c>
      <c r="CB54" s="537"/>
      <c r="CC54" s="537">
        <f>CC19-CC52</f>
        <v>-171129.77498420887</v>
      </c>
      <c r="CD54" s="537"/>
      <c r="CE54" s="537">
        <f>CE19-CE52</f>
        <v>-650699.99717910658</v>
      </c>
      <c r="CF54" s="537"/>
      <c r="CG54" s="537">
        <f ca="1">CG19-CG52</f>
        <v>-2031</v>
      </c>
      <c r="CH54" s="537"/>
      <c r="CI54" s="537">
        <f>CI19-CI52</f>
        <v>-401552.86146250111</v>
      </c>
      <c r="CJ54" s="537"/>
      <c r="CK54" s="537">
        <f>CK19-CK52</f>
        <v>87805.404014877044</v>
      </c>
      <c r="CL54" s="537"/>
      <c r="CM54" s="537">
        <f>CM19-CM52</f>
        <v>-531165.6790122278</v>
      </c>
      <c r="CN54" s="537"/>
      <c r="CO54" s="537">
        <f ca="1">CO19-CO52</f>
        <v>-2100</v>
      </c>
      <c r="CP54" s="537"/>
      <c r="CQ54" s="537">
        <f ca="1">CQ19-CQ52</f>
        <v>0</v>
      </c>
      <c r="CR54" s="537"/>
      <c r="CS54" s="537">
        <f>CS19-CS52</f>
        <v>-1071564.0898887769</v>
      </c>
      <c r="CT54" s="537"/>
      <c r="CU54" s="537">
        <f>CU19-CU52</f>
        <v>-558172.55721214251</v>
      </c>
      <c r="CV54" s="537"/>
      <c r="CW54" s="537">
        <f>CW19-CW52</f>
        <v>-189114.36160084466</v>
      </c>
      <c r="CX54" s="537"/>
      <c r="CY54" s="537">
        <f>CY19-CY52</f>
        <v>-1032721.9079753269</v>
      </c>
      <c r="CZ54" s="537"/>
      <c r="DA54" s="537">
        <f>DA19-DA52</f>
        <v>-7189067.1715440517</v>
      </c>
      <c r="DB54" s="537"/>
      <c r="DC54" s="537">
        <f>DC19-DC52</f>
        <v>-18821735.012333125</v>
      </c>
      <c r="DD54" s="537"/>
      <c r="DE54" s="537">
        <f ca="1">DE19-DE52</f>
        <v>0</v>
      </c>
      <c r="DF54" s="537"/>
      <c r="DG54" s="537">
        <f ca="1">DG19-DG52</f>
        <v>14840824.112333119</v>
      </c>
      <c r="DH54" s="537">
        <f ca="1">DE54-DC54</f>
        <v>18350401.512333125</v>
      </c>
      <c r="DJ54" s="345"/>
    </row>
    <row r="55" spans="2:114" x14ac:dyDescent="0.35">
      <c r="B55" s="535" t="s">
        <v>566</v>
      </c>
      <c r="C55" s="536">
        <f>IFERROR(C54/C8,0)</f>
        <v>-0.29400965582495947</v>
      </c>
      <c r="D55" s="536"/>
      <c r="E55" s="536">
        <f>IFERROR(E54/E8,0)</f>
        <v>-0.29737448547597078</v>
      </c>
      <c r="F55" s="536"/>
      <c r="G55" s="536">
        <f ca="1">IFERROR(G54/G8,0)</f>
        <v>0</v>
      </c>
      <c r="H55" s="536"/>
      <c r="I55" s="536">
        <f>IFERROR(I54/I8,0)</f>
        <v>0.15170420693488071</v>
      </c>
      <c r="J55" s="536"/>
      <c r="K55" s="536">
        <f>IFERROR(K54/K8,0)</f>
        <v>-0.50843732018119381</v>
      </c>
      <c r="L55" s="536"/>
      <c r="M55" s="536">
        <f>IFERROR(M54/M8,0)</f>
        <v>-2.2309107068173687E-2</v>
      </c>
      <c r="N55" s="536"/>
      <c r="O55" s="536">
        <f>IFERROR(O54/O8,0)</f>
        <v>0.10291764362468814</v>
      </c>
      <c r="P55" s="536"/>
      <c r="Q55" s="536">
        <f ca="1">IFERROR(Q54/Q8,0)</f>
        <v>0</v>
      </c>
      <c r="R55" s="536"/>
      <c r="S55" s="536">
        <f>IFERROR(S54/S8,0)</f>
        <v>0.10864567082060696</v>
      </c>
      <c r="T55" s="536"/>
      <c r="U55" s="536">
        <f>IFERROR(U54/U8,0)</f>
        <v>-3.3783234791760715E-2</v>
      </c>
      <c r="V55" s="536"/>
      <c r="W55" s="536">
        <f ca="1">IFERROR(W54/W8,0)</f>
        <v>0</v>
      </c>
      <c r="X55" s="536"/>
      <c r="Y55" s="536">
        <f ca="1">IFERROR(Y54/Y8,0)</f>
        <v>0</v>
      </c>
      <c r="Z55" s="536"/>
      <c r="AA55" s="536">
        <f>IFERROR(AA54/AA8,0)</f>
        <v>0.14248199721365873</v>
      </c>
      <c r="AB55" s="536"/>
      <c r="AC55" s="536">
        <f>IFERROR(AC54/AC8,0)</f>
        <v>-0.2114557748102244</v>
      </c>
      <c r="AD55" s="536"/>
      <c r="AE55" s="536">
        <f ca="1">IFERROR(AE54/AE8,0)</f>
        <v>0</v>
      </c>
      <c r="AF55" s="536"/>
      <c r="AG55" s="536">
        <f>IFERROR(AG54/AG8,0)</f>
        <v>4.3418686261536971E-2</v>
      </c>
      <c r="AH55" s="536"/>
      <c r="AI55" s="536">
        <f ca="1">IFERROR(AI54/AI8,0)</f>
        <v>0</v>
      </c>
      <c r="AJ55" s="536"/>
      <c r="AK55" s="536">
        <f>IFERROR(AK54/AK8,0)</f>
        <v>-0.93107855113799753</v>
      </c>
      <c r="AL55" s="536"/>
      <c r="AM55" s="536">
        <f>IFERROR(AM54/AM8,0)</f>
        <v>-0.37027609350410867</v>
      </c>
      <c r="AN55" s="536"/>
      <c r="AO55" s="536">
        <f>IFERROR(AO54/AO8,0)</f>
        <v>-0.26029998105749363</v>
      </c>
      <c r="AP55" s="536"/>
      <c r="AQ55" s="536">
        <f>IFERROR(AQ54/AQ8,0)</f>
        <v>-0.19487802299181961</v>
      </c>
      <c r="AR55" s="536"/>
      <c r="AS55" s="536">
        <f>IFERROR(AS54/AS8,0)</f>
        <v>4.5284840479704919E-5</v>
      </c>
      <c r="AT55" s="536"/>
      <c r="AU55" s="536">
        <f ca="1">IFERROR(AU54/AU8,0)</f>
        <v>0</v>
      </c>
      <c r="AV55" s="536"/>
      <c r="AW55" s="536">
        <f>IFERROR(AW54/AW8,0)</f>
        <v>0.11054655263155649</v>
      </c>
      <c r="AX55" s="536"/>
      <c r="AY55" s="536">
        <f>IFERROR(AY54/AY8,0)</f>
        <v>3.6932891255970351E-2</v>
      </c>
      <c r="AZ55" s="536"/>
      <c r="BA55" s="536">
        <f>IFERROR(BA54/BA8,0)</f>
        <v>-2.4989356050912379</v>
      </c>
      <c r="BB55" s="536"/>
      <c r="BC55" s="536">
        <f>IFERROR(BC54/BC8,0)</f>
        <v>-0.39640639455453602</v>
      </c>
      <c r="BD55" s="536"/>
      <c r="BE55" s="536">
        <f>IFERROR(BE54/BE8,0)</f>
        <v>-6.2843966191534512E-2</v>
      </c>
      <c r="BF55" s="536"/>
      <c r="BG55" s="536">
        <f>IFERROR(BG54/BG8,0)</f>
        <v>-0.32602561954460141</v>
      </c>
      <c r="BH55" s="536"/>
      <c r="BI55" s="536">
        <f>IFERROR(BI54/BI8,0)</f>
        <v>-0.25153060638561547</v>
      </c>
      <c r="BJ55" s="536"/>
      <c r="BK55" s="536">
        <f>IFERROR(BK54/BK8,0)</f>
        <v>-0.35694452102669244</v>
      </c>
      <c r="BL55" s="536"/>
      <c r="BM55" s="536">
        <f ca="1">IFERROR(BM54/BM8,0)</f>
        <v>0</v>
      </c>
      <c r="BN55" s="536"/>
      <c r="BO55" s="536">
        <f ca="1">IFERROR(BO54/BO8,0)</f>
        <v>0</v>
      </c>
      <c r="BP55" s="536"/>
      <c r="BQ55" s="536">
        <f ca="1">IFERROR(BQ54/BQ8,0)</f>
        <v>0</v>
      </c>
      <c r="BR55" s="536"/>
      <c r="BS55" s="536">
        <f ca="1">IFERROR(BS54/BS8,0)</f>
        <v>0</v>
      </c>
      <c r="BT55" s="536"/>
      <c r="BU55" s="536">
        <f>IFERROR(BU54/BU8,0)</f>
        <v>-7.6543113586620609E-2</v>
      </c>
      <c r="BV55" s="536"/>
      <c r="BW55" s="536">
        <f>IFERROR(BW54/BW8,0)</f>
        <v>-7.7813775071960389</v>
      </c>
      <c r="BX55" s="536"/>
      <c r="BY55" s="536">
        <f ca="1">IFERROR(BY54/BY8,0)</f>
        <v>0</v>
      </c>
      <c r="BZ55" s="536"/>
      <c r="CA55" s="536">
        <f>IFERROR(CA54/CA8,0)</f>
        <v>0.15018435384456352</v>
      </c>
      <c r="CB55" s="536"/>
      <c r="CC55" s="536">
        <f>IFERROR(CC54/CC8,0)</f>
        <v>-7.9368181152030412E-2</v>
      </c>
      <c r="CD55" s="536"/>
      <c r="CE55" s="536">
        <f>IFERROR(CE54/CE8,0)</f>
        <v>-0.40323399464132614</v>
      </c>
      <c r="CF55" s="536"/>
      <c r="CG55" s="536">
        <f ca="1">IFERROR(CG54/CG8,0)</f>
        <v>0</v>
      </c>
      <c r="CH55" s="536"/>
      <c r="CI55" s="536">
        <f>IFERROR(CI54/CI8,0)</f>
        <v>-0.19050158053677621</v>
      </c>
      <c r="CJ55" s="536"/>
      <c r="CK55" s="536">
        <f>IFERROR(CK54/CK8,0)</f>
        <v>4.2151069224183504E-2</v>
      </c>
      <c r="CL55" s="536"/>
      <c r="CM55" s="536">
        <f>IFERROR(CM54/CM8,0)</f>
        <v>-0.46447312999005946</v>
      </c>
      <c r="CN55" s="536"/>
      <c r="CO55" s="536">
        <f ca="1">IFERROR(CO54/CO8,0)</f>
        <v>0</v>
      </c>
      <c r="CP55" s="536"/>
      <c r="CQ55" s="536">
        <f ca="1">IFERROR(CQ54/CQ8,0)</f>
        <v>0</v>
      </c>
      <c r="CR55" s="536"/>
      <c r="CS55" s="536">
        <f>IFERROR(CS54/CS8,0)</f>
        <v>-0.39955444259942913</v>
      </c>
      <c r="CT55" s="536"/>
      <c r="CU55" s="536">
        <f>IFERROR(CU54/CU8,0)</f>
        <v>-0.44830359515616008</v>
      </c>
      <c r="CV55" s="536"/>
      <c r="CW55" s="536">
        <f>IFERROR(CW54/CW8,0)</f>
        <v>-4.7520362349476437E-2</v>
      </c>
      <c r="CX55" s="536"/>
      <c r="CY55" s="536">
        <f>IFERROR(CY54/CY8,0)</f>
        <v>-1.6758546590231733</v>
      </c>
      <c r="CZ55" s="536"/>
      <c r="DA55" s="536">
        <f>IFERROR(DA54/DA8,0)</f>
        <v>0</v>
      </c>
      <c r="DB55" s="536"/>
      <c r="DC55" s="536">
        <f>IFERROR(DC54/DC8,0)</f>
        <v>-0.22700384489095421</v>
      </c>
      <c r="DD55" s="536"/>
      <c r="DE55" s="537"/>
      <c r="DF55" s="537"/>
      <c r="DG55" s="537"/>
      <c r="DH55" s="537"/>
      <c r="DJ55" s="345"/>
    </row>
    <row r="56" spans="2:114" ht="29" hidden="1" x14ac:dyDescent="0.35">
      <c r="B56" s="18" t="s">
        <v>265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541"/>
      <c r="DF56" s="541"/>
      <c r="DG56" s="541"/>
      <c r="DH56" s="541"/>
    </row>
    <row r="57" spans="2:114" ht="28.5" hidden="1" customHeight="1" x14ac:dyDescent="0.35">
      <c r="B57" s="18" t="s">
        <v>266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541"/>
      <c r="DF57" s="541"/>
      <c r="DG57" s="541"/>
      <c r="DH57" s="541"/>
    </row>
    <row r="58" spans="2:114" ht="29" hidden="1" x14ac:dyDescent="0.35">
      <c r="B58" s="19" t="s">
        <v>264</v>
      </c>
      <c r="C58" s="37">
        <f>SUM(C59:C61)</f>
        <v>0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>
        <f>SUM(Q59:Q61)</f>
        <v>0</v>
      </c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542"/>
      <c r="DF58" s="542"/>
      <c r="DG58" s="542"/>
      <c r="DH58" s="542"/>
    </row>
    <row r="59" spans="2:114" hidden="1" x14ac:dyDescent="0.35">
      <c r="B59" s="20" t="s">
        <v>242</v>
      </c>
      <c r="C59" s="38">
        <f>SUMIF('TB Apr 24'!$D$13:$D$103,MIS!E54,'TB Apr 24'!$E$13:$E$103)</f>
        <v>0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>
        <f>Budget!C44</f>
        <v>0</v>
      </c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543"/>
      <c r="DF59" s="543"/>
      <c r="DG59" s="543"/>
      <c r="DH59" s="543"/>
    </row>
    <row r="60" spans="2:114" hidden="1" x14ac:dyDescent="0.35">
      <c r="B60" s="20" t="s">
        <v>243</v>
      </c>
      <c r="C60" s="38">
        <f>SUMIF('TB Apr 24'!$D$13:$D$103,MIS!E55,'TB Apr 24'!$E$13:$E$103)</f>
        <v>0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>
        <f>Budget!C45</f>
        <v>0</v>
      </c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543"/>
      <c r="DF60" s="543"/>
      <c r="DG60" s="543"/>
      <c r="DH60" s="543"/>
    </row>
    <row r="61" spans="2:114" ht="29" hidden="1" x14ac:dyDescent="0.35">
      <c r="B61" s="20" t="s">
        <v>244</v>
      </c>
      <c r="C61" s="38">
        <f>SUMIF('TB Apr 24'!$D$13:$D$103,MIS!E56,'TB Apr 24'!$E$13:$E$103)</f>
        <v>0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>
        <f>Budget!C46</f>
        <v>0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543"/>
      <c r="DF61" s="543"/>
      <c r="DG61" s="543"/>
      <c r="DH61" s="543"/>
    </row>
    <row r="62" spans="2:114" hidden="1" x14ac:dyDescent="0.35">
      <c r="B62" s="21" t="s">
        <v>245</v>
      </c>
      <c r="C62" s="39">
        <f>C54-C58</f>
        <v>-354901.61637041089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>
        <f ca="1">Q54-Q58</f>
        <v>0</v>
      </c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544"/>
      <c r="DF62" s="544"/>
      <c r="DG62" s="544"/>
      <c r="DH62" s="544"/>
    </row>
    <row r="63" spans="2:114" hidden="1" x14ac:dyDescent="0.35">
      <c r="B63" s="21" t="s">
        <v>246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544"/>
      <c r="DF63" s="544"/>
      <c r="DG63" s="544"/>
      <c r="DH63" s="544"/>
    </row>
    <row r="64" spans="2:114" ht="0.5" customHeight="1" thickBot="1" x14ac:dyDescent="0.4">
      <c r="B64" s="22" t="s">
        <v>247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545"/>
      <c r="DF64" s="545"/>
      <c r="DG64" s="545"/>
      <c r="DH64" s="545"/>
    </row>
    <row r="66" spans="103:108" x14ac:dyDescent="0.35">
      <c r="DC66" s="116"/>
      <c r="DD66" s="116"/>
    </row>
    <row r="67" spans="103:108" x14ac:dyDescent="0.35">
      <c r="DC67" s="116"/>
      <c r="DD67" s="116"/>
    </row>
    <row r="68" spans="103:108" x14ac:dyDescent="0.35">
      <c r="CY68" s="155"/>
      <c r="CZ68" s="155"/>
      <c r="DC68" s="116"/>
      <c r="DD68" s="116"/>
    </row>
    <row r="69" spans="103:108" x14ac:dyDescent="0.35">
      <c r="CY69" s="155"/>
      <c r="CZ69" s="155"/>
      <c r="DC69" s="116"/>
      <c r="DD69" s="116"/>
    </row>
    <row r="70" spans="103:108" x14ac:dyDescent="0.35">
      <c r="CY70" s="155"/>
      <c r="CZ70" s="155"/>
      <c r="DC70" s="116"/>
      <c r="DD70" s="116"/>
    </row>
    <row r="71" spans="103:108" x14ac:dyDescent="0.35">
      <c r="CY71" s="155"/>
      <c r="CZ71" s="155"/>
      <c r="DC71" s="116"/>
      <c r="DD71" s="116"/>
    </row>
    <row r="72" spans="103:108" x14ac:dyDescent="0.35">
      <c r="DC72" s="498"/>
      <c r="DD72" s="498"/>
    </row>
  </sheetData>
  <mergeCells count="110">
    <mergeCell ref="DE5:DF5"/>
    <mergeCell ref="DG5:DH5"/>
    <mergeCell ref="CQ5:CR5"/>
    <mergeCell ref="CS5:CT5"/>
    <mergeCell ref="CU5:CV5"/>
    <mergeCell ref="CW5:CX5"/>
    <mergeCell ref="CY5:CZ5"/>
    <mergeCell ref="DC5:DD5"/>
    <mergeCell ref="CE5:CF5"/>
    <mergeCell ref="CG5:CH5"/>
    <mergeCell ref="CI5:CJ5"/>
    <mergeCell ref="CK5:CL5"/>
    <mergeCell ref="CM5:CN5"/>
    <mergeCell ref="CO5:CP5"/>
    <mergeCell ref="DA5:DB5"/>
    <mergeCell ref="BS5:BT5"/>
    <mergeCell ref="BU5:BV5"/>
    <mergeCell ref="BW5:BX5"/>
    <mergeCell ref="BY5:BZ5"/>
    <mergeCell ref="BE5:BF5"/>
    <mergeCell ref="CA5:CB5"/>
    <mergeCell ref="CC5:CD5"/>
    <mergeCell ref="BG5:BH5"/>
    <mergeCell ref="BI5:BJ5"/>
    <mergeCell ref="BK5:BL5"/>
    <mergeCell ref="BM5:BN5"/>
    <mergeCell ref="BO5:BP5"/>
    <mergeCell ref="BQ5:BR5"/>
    <mergeCell ref="DC4:DD4"/>
    <mergeCell ref="DE4:DF4"/>
    <mergeCell ref="DG4:DH4"/>
    <mergeCell ref="CA4:CB4"/>
    <mergeCell ref="BE4:BF4"/>
    <mergeCell ref="BG4:BH4"/>
    <mergeCell ref="BI4:BJ4"/>
    <mergeCell ref="BK4:BL4"/>
    <mergeCell ref="BM4:BN4"/>
    <mergeCell ref="BO4:BP4"/>
    <mergeCell ref="CI4:CJ4"/>
    <mergeCell ref="CK4:CL4"/>
    <mergeCell ref="CM4:CN4"/>
    <mergeCell ref="DA4:DB4"/>
    <mergeCell ref="BQ4:BR4"/>
    <mergeCell ref="BS4:BT4"/>
    <mergeCell ref="BU4:BV4"/>
    <mergeCell ref="BW4:BX4"/>
    <mergeCell ref="BY4:BZ4"/>
    <mergeCell ref="CO4:CP4"/>
    <mergeCell ref="CQ4:CR4"/>
    <mergeCell ref="CS4:CT4"/>
    <mergeCell ref="CU4:CV4"/>
    <mergeCell ref="CW4:CX4"/>
    <mergeCell ref="CY4:CZ4"/>
    <mergeCell ref="CC4:CD4"/>
    <mergeCell ref="CE4:CF4"/>
    <mergeCell ref="CG4:CH4"/>
    <mergeCell ref="W5:X5"/>
    <mergeCell ref="Y5:Z5"/>
    <mergeCell ref="AA5:AB5"/>
    <mergeCell ref="AC5:AD5"/>
    <mergeCell ref="AE5:AF5"/>
    <mergeCell ref="AG5:AH5"/>
    <mergeCell ref="AS4:AT4"/>
    <mergeCell ref="AU4:AV4"/>
    <mergeCell ref="AW4:AX4"/>
    <mergeCell ref="W4:X4"/>
    <mergeCell ref="Y4:Z4"/>
    <mergeCell ref="AA4:AB4"/>
    <mergeCell ref="AC4:AD4"/>
    <mergeCell ref="AE4:AF4"/>
    <mergeCell ref="AK5:AL5"/>
    <mergeCell ref="AM5:AN5"/>
    <mergeCell ref="AO5:AP5"/>
    <mergeCell ref="AQ5:AR5"/>
    <mergeCell ref="AS5:AT5"/>
    <mergeCell ref="AU5:AV5"/>
    <mergeCell ref="AY4:AZ4"/>
    <mergeCell ref="BA4:BB4"/>
    <mergeCell ref="BC4:BD4"/>
    <mergeCell ref="AG4:AH4"/>
    <mergeCell ref="AI4:AJ4"/>
    <mergeCell ref="AY5:AZ5"/>
    <mergeCell ref="BA5:BB5"/>
    <mergeCell ref="BC5:BD5"/>
    <mergeCell ref="AI5:AJ5"/>
    <mergeCell ref="AK4:AL4"/>
    <mergeCell ref="AM4:AN4"/>
    <mergeCell ref="AO4:AP4"/>
    <mergeCell ref="AQ4:AR4"/>
    <mergeCell ref="AW5:AX5"/>
    <mergeCell ref="M5:N5"/>
    <mergeCell ref="O5:P5"/>
    <mergeCell ref="Q5:R5"/>
    <mergeCell ref="S5:T5"/>
    <mergeCell ref="U5:V5"/>
    <mergeCell ref="C5:D5"/>
    <mergeCell ref="C4:D4"/>
    <mergeCell ref="E4:F4"/>
    <mergeCell ref="E5:F5"/>
    <mergeCell ref="G4:H4"/>
    <mergeCell ref="I4:J4"/>
    <mergeCell ref="G5:H5"/>
    <mergeCell ref="I5:J5"/>
    <mergeCell ref="K5:L5"/>
    <mergeCell ref="K4:L4"/>
    <mergeCell ref="M4:N4"/>
    <mergeCell ref="O4:P4"/>
    <mergeCell ref="Q4:R4"/>
    <mergeCell ref="S4:T4"/>
    <mergeCell ref="U4:V4"/>
  </mergeCells>
  <conditionalFormatting sqref="C53:D53">
    <cfRule type="expression" dxfId="2" priority="55">
      <formula>($C$53:$DC$53)&lt;0</formula>
    </cfRule>
  </conditionalFormatting>
  <conditionalFormatting sqref="C20:DD20">
    <cfRule type="expression" dxfId="1" priority="45">
      <formula>($C$20:$DC$20)&lt;0</formula>
    </cfRule>
  </conditionalFormatting>
  <conditionalFormatting sqref="DF20 DH20">
    <cfRule type="expression" dxfId="0" priority="56">
      <formula>($C$20:$DC$20)&lt;0</formula>
    </cfRule>
  </conditionalFormatting>
  <pageMargins left="0.7" right="0.7" top="0.32" bottom="0.17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BO116"/>
  <sheetViews>
    <sheetView topLeftCell="A6" workbookViewId="0">
      <pane xSplit="4" ySplit="5" topLeftCell="Q78" activePane="bottomRight" state="frozen"/>
      <selection activeCell="D70" sqref="D70"/>
      <selection pane="topRight" activeCell="D70" sqref="D70"/>
      <selection pane="bottomLeft" activeCell="D70" sqref="D70"/>
      <selection pane="bottomRight" activeCell="R78" sqref="R78"/>
    </sheetView>
  </sheetViews>
  <sheetFormatPr defaultColWidth="9.1796875" defaultRowHeight="14.5" outlineLevelCol="1" x14ac:dyDescent="0.35"/>
  <cols>
    <col min="1" max="1" width="11.453125" customWidth="1"/>
    <col min="2" max="2" width="28.81640625" customWidth="1"/>
    <col min="3" max="3" width="5.90625" bestFit="1" customWidth="1"/>
    <col min="4" max="4" width="29.1796875" customWidth="1"/>
    <col min="5" max="8" width="12.81640625" customWidth="1" outlineLevel="1"/>
    <col min="9" max="9" width="12.81640625" customWidth="1"/>
    <col min="10" max="10" width="12.81640625" customWidth="1" outlineLevel="1" collapsed="1"/>
    <col min="11" max="13" width="12.81640625" customWidth="1" outlineLevel="1"/>
    <col min="14" max="15" width="12.81640625" customWidth="1"/>
    <col min="16" max="20" width="12.81640625" customWidth="1" outlineLevel="1"/>
    <col min="21" max="21" width="12.81640625" customWidth="1"/>
    <col min="22" max="24" width="12.81640625" customWidth="1" outlineLevel="1"/>
    <col min="25" max="25" width="12.81640625" customWidth="1"/>
    <col min="26" max="33" width="12.81640625" customWidth="1" outlineLevel="1"/>
    <col min="34" max="34" width="12.81640625" customWidth="1"/>
    <col min="35" max="43" width="12.81640625" customWidth="1" outlineLevel="1"/>
    <col min="44" max="44" width="12.81640625" customWidth="1"/>
    <col min="45" max="48" width="12.81640625" customWidth="1" outlineLevel="1"/>
    <col min="49" max="49" width="12.81640625" customWidth="1"/>
    <col min="50" max="55" width="12.81640625" customWidth="1" outlineLevel="1"/>
    <col min="56" max="57" width="12.81640625" customWidth="1"/>
    <col min="58" max="59" width="12.81640625" hidden="1" customWidth="1"/>
    <col min="60" max="60" width="16.81640625" hidden="1" customWidth="1"/>
    <col min="61" max="61" width="11.90625" hidden="1" customWidth="1"/>
    <col min="62" max="65" width="0" hidden="1" customWidth="1"/>
  </cols>
  <sheetData>
    <row r="1" spans="1:61" ht="15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</row>
    <row r="2" spans="1:61" ht="15" customHeight="1" x14ac:dyDescent="0.3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</row>
    <row r="3" spans="1:61" ht="15.75" customHeight="1" x14ac:dyDescent="0.3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</row>
    <row r="4" spans="1:61" ht="15" customHeight="1" x14ac:dyDescent="0.35">
      <c r="A4" s="10" t="s">
        <v>306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61" ht="15" customHeight="1" x14ac:dyDescent="0.35">
      <c r="A5" s="10" t="s">
        <v>3</v>
      </c>
      <c r="B5" s="10"/>
      <c r="C5" s="10"/>
      <c r="D5" s="10"/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0">
        <v>12</v>
      </c>
      <c r="N5" s="10">
        <v>13</v>
      </c>
      <c r="O5" s="10">
        <v>14</v>
      </c>
      <c r="P5" s="10">
        <v>15</v>
      </c>
      <c r="Q5" s="10">
        <v>16</v>
      </c>
      <c r="R5" s="10">
        <v>17</v>
      </c>
      <c r="S5" s="10">
        <v>18</v>
      </c>
      <c r="T5" s="10">
        <v>19</v>
      </c>
      <c r="U5" s="10">
        <v>20</v>
      </c>
      <c r="V5" s="10">
        <v>21</v>
      </c>
      <c r="W5" s="10">
        <v>22</v>
      </c>
      <c r="X5" s="10">
        <v>23</v>
      </c>
      <c r="Y5" s="10">
        <v>24</v>
      </c>
      <c r="Z5" s="10">
        <v>25</v>
      </c>
      <c r="AA5" s="10">
        <v>26</v>
      </c>
      <c r="AB5" s="10">
        <v>27</v>
      </c>
      <c r="AC5" s="10">
        <v>28</v>
      </c>
      <c r="AD5" s="10">
        <v>29</v>
      </c>
      <c r="AE5" s="10">
        <v>30</v>
      </c>
      <c r="AF5" s="10">
        <v>31</v>
      </c>
      <c r="AG5" s="10">
        <v>32</v>
      </c>
      <c r="AH5" s="10">
        <v>33</v>
      </c>
      <c r="AI5" s="10">
        <v>34</v>
      </c>
      <c r="AJ5" s="10">
        <v>35</v>
      </c>
      <c r="AK5" s="10">
        <v>36</v>
      </c>
      <c r="AL5" s="10">
        <v>37</v>
      </c>
      <c r="AM5" s="10">
        <v>38</v>
      </c>
      <c r="AN5" s="10">
        <v>39</v>
      </c>
      <c r="AO5" s="10">
        <v>40</v>
      </c>
      <c r="AP5" s="10">
        <v>41</v>
      </c>
      <c r="AQ5" s="10">
        <v>42</v>
      </c>
      <c r="AR5" s="10">
        <v>43</v>
      </c>
      <c r="AS5" s="10">
        <v>44</v>
      </c>
      <c r="AT5" s="10">
        <v>45</v>
      </c>
      <c r="AU5" s="10">
        <v>46</v>
      </c>
      <c r="AV5" s="10">
        <v>47</v>
      </c>
      <c r="AW5" s="10">
        <v>48</v>
      </c>
      <c r="AX5" s="10">
        <v>49</v>
      </c>
      <c r="AY5" s="10">
        <v>50</v>
      </c>
      <c r="AZ5" s="10">
        <v>51</v>
      </c>
      <c r="BA5" s="10">
        <v>52</v>
      </c>
      <c r="BB5" s="10">
        <v>53</v>
      </c>
      <c r="BC5" s="10">
        <v>54</v>
      </c>
      <c r="BD5" s="10">
        <v>55</v>
      </c>
      <c r="BE5" s="10"/>
      <c r="BF5" s="10"/>
      <c r="BG5" s="10"/>
    </row>
    <row r="6" spans="1:61" ht="15" customHeight="1" x14ac:dyDescent="0.35">
      <c r="A6" s="10"/>
      <c r="B6" s="10"/>
      <c r="C6" s="10"/>
      <c r="D6" s="10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10"/>
      <c r="AF6" s="10"/>
      <c r="AG6" s="10"/>
      <c r="AH6" s="10"/>
      <c r="AI6" s="10"/>
      <c r="AJ6" s="10"/>
      <c r="AK6" s="314"/>
      <c r="AL6" s="314"/>
      <c r="AM6" s="314"/>
      <c r="AN6" s="314"/>
      <c r="AO6" s="314"/>
      <c r="AP6" s="314"/>
      <c r="AQ6" s="314"/>
      <c r="AR6" s="314"/>
      <c r="AS6" s="314"/>
      <c r="AT6" s="314"/>
      <c r="AU6" s="314"/>
      <c r="AV6" s="314"/>
      <c r="AW6" s="314"/>
      <c r="AX6" s="314"/>
      <c r="AY6" s="10"/>
      <c r="AZ6" s="10"/>
      <c r="BA6" s="10"/>
      <c r="BB6" s="10"/>
      <c r="BC6" s="10"/>
      <c r="BD6" s="10"/>
      <c r="BE6" s="10"/>
      <c r="BF6" s="10"/>
      <c r="BG6" s="10"/>
    </row>
    <row r="7" spans="1:61" ht="15" customHeight="1" x14ac:dyDescent="0.35">
      <c r="A7" s="1" t="s">
        <v>315</v>
      </c>
      <c r="B7" s="2" t="s">
        <v>237</v>
      </c>
      <c r="C7" s="2" t="s">
        <v>313</v>
      </c>
      <c r="D7" s="2" t="s">
        <v>267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23</v>
      </c>
      <c r="Y7" s="1" t="s">
        <v>24</v>
      </c>
      <c r="Z7" s="1" t="s">
        <v>25</v>
      </c>
      <c r="AA7" s="1" t="s">
        <v>26</v>
      </c>
      <c r="AB7" s="1" t="s">
        <v>27</v>
      </c>
      <c r="AC7" s="1" t="s">
        <v>28</v>
      </c>
      <c r="AD7" s="1" t="s">
        <v>29</v>
      </c>
      <c r="AE7" s="1" t="s">
        <v>30</v>
      </c>
      <c r="AF7" s="1" t="s">
        <v>31</v>
      </c>
      <c r="AG7" s="1" t="s">
        <v>32</v>
      </c>
      <c r="AH7" s="1" t="s">
        <v>33</v>
      </c>
      <c r="AI7" s="1" t="s">
        <v>34</v>
      </c>
      <c r="AJ7" s="1" t="s">
        <v>35</v>
      </c>
      <c r="AK7" s="1" t="s">
        <v>36</v>
      </c>
      <c r="AL7" s="1" t="s">
        <v>37</v>
      </c>
      <c r="AM7" s="1" t="s">
        <v>38</v>
      </c>
      <c r="AN7" s="1" t="s">
        <v>39</v>
      </c>
      <c r="AO7" s="1" t="s">
        <v>40</v>
      </c>
      <c r="AP7" s="1" t="s">
        <v>41</v>
      </c>
      <c r="AQ7" s="1" t="s">
        <v>42</v>
      </c>
      <c r="AR7" s="1" t="s">
        <v>43</v>
      </c>
      <c r="AS7" s="1" t="s">
        <v>44</v>
      </c>
      <c r="AT7" s="1" t="s">
        <v>45</v>
      </c>
      <c r="AU7" s="1" t="s">
        <v>46</v>
      </c>
      <c r="AV7" s="1" t="s">
        <v>47</v>
      </c>
      <c r="AW7" s="1" t="s">
        <v>48</v>
      </c>
      <c r="AX7" s="1" t="s">
        <v>49</v>
      </c>
      <c r="AY7" s="1" t="s">
        <v>50</v>
      </c>
      <c r="AZ7" s="1" t="s">
        <v>51</v>
      </c>
      <c r="BA7" s="1" t="s">
        <v>52</v>
      </c>
      <c r="BB7" s="1" t="s">
        <v>53</v>
      </c>
      <c r="BC7" s="1" t="s">
        <v>54</v>
      </c>
      <c r="BD7" s="1" t="s">
        <v>55</v>
      </c>
      <c r="BE7" s="1" t="s">
        <v>498</v>
      </c>
      <c r="BF7" s="237" t="s">
        <v>496</v>
      </c>
      <c r="BG7" s="237" t="s">
        <v>497</v>
      </c>
      <c r="BH7" s="503" t="s">
        <v>966</v>
      </c>
      <c r="BI7" s="503" t="s">
        <v>447</v>
      </c>
    </row>
    <row r="8" spans="1:61" ht="15" hidden="1" customHeight="1" x14ac:dyDescent="0.35">
      <c r="A8" s="12"/>
      <c r="B8" s="13" t="s">
        <v>207</v>
      </c>
      <c r="C8" s="13"/>
      <c r="D8" s="13"/>
      <c r="E8" s="12" t="s">
        <v>208</v>
      </c>
      <c r="F8" s="12" t="s">
        <v>208</v>
      </c>
      <c r="G8" s="12" t="s">
        <v>208</v>
      </c>
      <c r="H8" s="12" t="s">
        <v>208</v>
      </c>
      <c r="I8" s="12" t="s">
        <v>208</v>
      </c>
      <c r="J8" s="12" t="s">
        <v>209</v>
      </c>
      <c r="K8" s="12" t="s">
        <v>209</v>
      </c>
      <c r="L8" s="12" t="s">
        <v>209</v>
      </c>
      <c r="M8" s="12" t="s">
        <v>209</v>
      </c>
      <c r="N8" s="12" t="s">
        <v>209</v>
      </c>
      <c r="O8" s="12" t="s">
        <v>229</v>
      </c>
      <c r="P8" s="12" t="s">
        <v>229</v>
      </c>
      <c r="Q8" s="12" t="s">
        <v>229</v>
      </c>
      <c r="R8" s="12" t="s">
        <v>229</v>
      </c>
      <c r="S8" s="12" t="s">
        <v>229</v>
      </c>
      <c r="T8" s="12" t="s">
        <v>229</v>
      </c>
      <c r="U8" s="12" t="s">
        <v>229</v>
      </c>
      <c r="V8" s="12" t="s">
        <v>212</v>
      </c>
      <c r="W8" s="12" t="s">
        <v>212</v>
      </c>
      <c r="X8" s="12" t="s">
        <v>212</v>
      </c>
      <c r="Y8" s="12" t="s">
        <v>212</v>
      </c>
      <c r="Z8" s="12" t="s">
        <v>229</v>
      </c>
      <c r="AA8" s="12" t="s">
        <v>229</v>
      </c>
      <c r="AB8" s="12" t="s">
        <v>229</v>
      </c>
      <c r="AC8" s="12" t="s">
        <v>229</v>
      </c>
      <c r="AD8" s="12" t="s">
        <v>229</v>
      </c>
      <c r="AE8" s="12" t="s">
        <v>229</v>
      </c>
      <c r="AF8" s="12" t="s">
        <v>229</v>
      </c>
      <c r="AG8" s="12" t="s">
        <v>229</v>
      </c>
      <c r="AH8" s="12" t="s">
        <v>229</v>
      </c>
      <c r="AI8" s="12" t="s">
        <v>209</v>
      </c>
      <c r="AJ8" s="12" t="s">
        <v>209</v>
      </c>
      <c r="AK8" s="12" t="s">
        <v>209</v>
      </c>
      <c r="AL8" s="12" t="s">
        <v>209</v>
      </c>
      <c r="AM8" s="12" t="s">
        <v>209</v>
      </c>
      <c r="AN8" s="12" t="s">
        <v>209</v>
      </c>
      <c r="AO8" s="12" t="s">
        <v>209</v>
      </c>
      <c r="AP8" s="12" t="s">
        <v>209</v>
      </c>
      <c r="AQ8" s="12" t="s">
        <v>209</v>
      </c>
      <c r="AR8" s="12" t="s">
        <v>209</v>
      </c>
      <c r="AS8" s="12" t="s">
        <v>234</v>
      </c>
      <c r="AT8" s="12" t="s">
        <v>234</v>
      </c>
      <c r="AU8" s="12" t="s">
        <v>234</v>
      </c>
      <c r="AV8" s="12" t="s">
        <v>234</v>
      </c>
      <c r="AW8" s="12" t="s">
        <v>234</v>
      </c>
      <c r="AX8" s="12" t="s">
        <v>234</v>
      </c>
      <c r="AY8" s="12" t="s">
        <v>234</v>
      </c>
      <c r="AZ8" s="12" t="s">
        <v>234</v>
      </c>
      <c r="BA8" s="12" t="s">
        <v>234</v>
      </c>
      <c r="BB8" s="12" t="s">
        <v>234</v>
      </c>
      <c r="BC8" s="12" t="s">
        <v>234</v>
      </c>
      <c r="BD8" s="12" t="s">
        <v>234</v>
      </c>
      <c r="BE8" s="12"/>
      <c r="BF8" s="12"/>
      <c r="BG8" s="12"/>
    </row>
    <row r="9" spans="1:61" ht="15" hidden="1" customHeight="1" x14ac:dyDescent="0.35">
      <c r="A9" s="12"/>
      <c r="B9" s="13" t="s">
        <v>316</v>
      </c>
      <c r="C9" s="13"/>
      <c r="D9" s="13"/>
      <c r="E9" s="12" t="s">
        <v>214</v>
      </c>
      <c r="F9" s="12" t="s">
        <v>214</v>
      </c>
      <c r="G9" s="12" t="s">
        <v>214</v>
      </c>
      <c r="H9" s="12" t="s">
        <v>214</v>
      </c>
      <c r="I9" s="12" t="s">
        <v>214</v>
      </c>
      <c r="J9" s="12" t="s">
        <v>215</v>
      </c>
      <c r="K9" s="12" t="s">
        <v>215</v>
      </c>
      <c r="L9" s="12" t="s">
        <v>215</v>
      </c>
      <c r="M9" s="12" t="s">
        <v>215</v>
      </c>
      <c r="N9" s="12" t="s">
        <v>215</v>
      </c>
      <c r="O9" s="12" t="s">
        <v>210</v>
      </c>
      <c r="P9" s="12" t="s">
        <v>226</v>
      </c>
      <c r="Q9" s="12" t="s">
        <v>226</v>
      </c>
      <c r="R9" s="12" t="s">
        <v>226</v>
      </c>
      <c r="S9" s="12" t="s">
        <v>226</v>
      </c>
      <c r="T9" s="12" t="s">
        <v>226</v>
      </c>
      <c r="U9" s="12" t="s">
        <v>226</v>
      </c>
      <c r="V9" s="12" t="s">
        <v>228</v>
      </c>
      <c r="W9" s="12" t="s">
        <v>228</v>
      </c>
      <c r="X9" s="12" t="s">
        <v>228</v>
      </c>
      <c r="Y9" s="12" t="s">
        <v>228</v>
      </c>
      <c r="Z9" s="12" t="s">
        <v>213</v>
      </c>
      <c r="AA9" s="12" t="s">
        <v>213</v>
      </c>
      <c r="AB9" s="12" t="s">
        <v>213</v>
      </c>
      <c r="AC9" s="12" t="s">
        <v>213</v>
      </c>
      <c r="AD9" s="12" t="s">
        <v>213</v>
      </c>
      <c r="AE9" s="12" t="s">
        <v>213</v>
      </c>
      <c r="AF9" s="12" t="s">
        <v>213</v>
      </c>
      <c r="AG9" s="12" t="s">
        <v>213</v>
      </c>
      <c r="AH9" s="12" t="s">
        <v>213</v>
      </c>
      <c r="AI9" s="12" t="s">
        <v>233</v>
      </c>
      <c r="AJ9" s="12" t="s">
        <v>233</v>
      </c>
      <c r="AK9" s="12" t="s">
        <v>233</v>
      </c>
      <c r="AL9" s="12" t="s">
        <v>233</v>
      </c>
      <c r="AM9" s="12" t="s">
        <v>233</v>
      </c>
      <c r="AN9" s="12" t="s">
        <v>233</v>
      </c>
      <c r="AO9" s="12" t="s">
        <v>233</v>
      </c>
      <c r="AP9" s="12" t="s">
        <v>233</v>
      </c>
      <c r="AQ9" s="12" t="s">
        <v>233</v>
      </c>
      <c r="AR9" s="12" t="s">
        <v>233</v>
      </c>
      <c r="AS9" s="12" t="s">
        <v>318</v>
      </c>
      <c r="AT9" s="12" t="s">
        <v>318</v>
      </c>
      <c r="AU9" s="12" t="s">
        <v>318</v>
      </c>
      <c r="AV9" s="12" t="s">
        <v>318</v>
      </c>
      <c r="AW9" s="12" t="s">
        <v>318</v>
      </c>
      <c r="AX9" s="12" t="s">
        <v>235</v>
      </c>
      <c r="AY9" s="12" t="s">
        <v>235</v>
      </c>
      <c r="AZ9" s="12" t="s">
        <v>235</v>
      </c>
      <c r="BA9" s="12" t="s">
        <v>235</v>
      </c>
      <c r="BB9" s="12" t="s">
        <v>235</v>
      </c>
      <c r="BC9" s="12" t="s">
        <v>235</v>
      </c>
      <c r="BD9" s="12" t="s">
        <v>235</v>
      </c>
      <c r="BE9" s="12"/>
      <c r="BF9" s="12"/>
      <c r="BG9" s="12"/>
    </row>
    <row r="10" spans="1:61" ht="15" hidden="1" customHeight="1" x14ac:dyDescent="0.35">
      <c r="A10" s="12"/>
      <c r="B10" s="13" t="s">
        <v>317</v>
      </c>
      <c r="C10" s="13"/>
      <c r="D10" s="13"/>
      <c r="E10" s="12" t="s">
        <v>216</v>
      </c>
      <c r="F10" s="12" t="s">
        <v>217</v>
      </c>
      <c r="G10" s="12" t="s">
        <v>218</v>
      </c>
      <c r="H10" s="12" t="s">
        <v>219</v>
      </c>
      <c r="I10" s="12" t="s">
        <v>220</v>
      </c>
      <c r="J10" s="12" t="s">
        <v>216</v>
      </c>
      <c r="K10" s="12" t="s">
        <v>217</v>
      </c>
      <c r="L10" s="12" t="s">
        <v>218</v>
      </c>
      <c r="M10" s="12" t="s">
        <v>221</v>
      </c>
      <c r="N10" s="12" t="s">
        <v>219</v>
      </c>
      <c r="O10" s="12" t="s">
        <v>222</v>
      </c>
      <c r="P10" s="12" t="s">
        <v>223</v>
      </c>
      <c r="Q10" s="12" t="s">
        <v>218</v>
      </c>
      <c r="R10" s="12" t="s">
        <v>224</v>
      </c>
      <c r="S10" s="12" t="s">
        <v>221</v>
      </c>
      <c r="T10" s="12" t="s">
        <v>227</v>
      </c>
      <c r="U10" s="12" t="s">
        <v>219</v>
      </c>
      <c r="V10" s="12" t="s">
        <v>218</v>
      </c>
      <c r="W10" s="12" t="s">
        <v>221</v>
      </c>
      <c r="X10" s="12" t="s">
        <v>225</v>
      </c>
      <c r="Y10" s="12" t="s">
        <v>219</v>
      </c>
      <c r="Z10" s="12" t="s">
        <v>216</v>
      </c>
      <c r="AA10" s="12" t="s">
        <v>217</v>
      </c>
      <c r="AB10" s="12" t="s">
        <v>218</v>
      </c>
      <c r="AC10" s="12" t="s">
        <v>221</v>
      </c>
      <c r="AD10" s="12" t="s">
        <v>225</v>
      </c>
      <c r="AE10" s="12" t="s">
        <v>230</v>
      </c>
      <c r="AF10" s="12" t="s">
        <v>231</v>
      </c>
      <c r="AG10" s="12" t="s">
        <v>232</v>
      </c>
      <c r="AH10" s="12" t="s">
        <v>220</v>
      </c>
      <c r="AI10" s="12" t="s">
        <v>216</v>
      </c>
      <c r="AJ10" s="12" t="s">
        <v>217</v>
      </c>
      <c r="AK10" s="12" t="s">
        <v>218</v>
      </c>
      <c r="AL10" s="12" t="s">
        <v>218</v>
      </c>
      <c r="AM10" s="12" t="s">
        <v>218</v>
      </c>
      <c r="AN10" s="12" t="s">
        <v>221</v>
      </c>
      <c r="AO10" s="12" t="s">
        <v>225</v>
      </c>
      <c r="AP10" s="12" t="s">
        <v>325</v>
      </c>
      <c r="AQ10" s="12" t="s">
        <v>230</v>
      </c>
      <c r="AR10" s="12" t="s">
        <v>219</v>
      </c>
      <c r="AS10" s="12" t="s">
        <v>216</v>
      </c>
      <c r="AT10" s="12" t="s">
        <v>217</v>
      </c>
      <c r="AU10" s="12" t="s">
        <v>218</v>
      </c>
      <c r="AV10" s="12" t="s">
        <v>221</v>
      </c>
      <c r="AW10" s="12" t="s">
        <v>219</v>
      </c>
      <c r="AX10" s="12" t="s">
        <v>216</v>
      </c>
      <c r="AY10" s="12" t="s">
        <v>218</v>
      </c>
      <c r="AZ10" s="12" t="s">
        <v>218</v>
      </c>
      <c r="BA10" s="12" t="s">
        <v>225</v>
      </c>
      <c r="BB10" s="12" t="s">
        <v>230</v>
      </c>
      <c r="BC10" s="12" t="s">
        <v>219</v>
      </c>
      <c r="BD10" s="12" t="s">
        <v>220</v>
      </c>
      <c r="BE10" s="12"/>
      <c r="BF10" s="12"/>
      <c r="BG10" s="12"/>
    </row>
    <row r="11" spans="1:61" ht="15" hidden="1" customHeight="1" x14ac:dyDescent="0.35">
      <c r="A11" s="3" t="s">
        <v>949</v>
      </c>
      <c r="B11" s="4" t="s">
        <v>950</v>
      </c>
      <c r="C11" s="4" t="s">
        <v>314</v>
      </c>
      <c r="D11" s="4" t="s">
        <v>253</v>
      </c>
      <c r="E11" s="83">
        <v>0</v>
      </c>
      <c r="F11" s="83">
        <v>0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  <c r="P11" s="83">
        <v>0</v>
      </c>
      <c r="Q11" s="83">
        <v>0</v>
      </c>
      <c r="R11" s="83">
        <v>0</v>
      </c>
      <c r="S11" s="83">
        <v>0</v>
      </c>
      <c r="T11" s="83">
        <v>0</v>
      </c>
      <c r="U11" s="83">
        <v>0</v>
      </c>
      <c r="V11" s="83">
        <v>0</v>
      </c>
      <c r="W11" s="83">
        <v>0</v>
      </c>
      <c r="X11" s="83">
        <v>-2517</v>
      </c>
      <c r="Y11" s="83">
        <v>0</v>
      </c>
      <c r="Z11" s="83">
        <v>0</v>
      </c>
      <c r="AA11" s="83">
        <v>0</v>
      </c>
      <c r="AB11" s="83">
        <v>0</v>
      </c>
      <c r="AC11" s="83">
        <v>0</v>
      </c>
      <c r="AD11" s="83">
        <v>0</v>
      </c>
      <c r="AE11" s="83">
        <v>0</v>
      </c>
      <c r="AF11" s="83">
        <v>0</v>
      </c>
      <c r="AG11" s="83">
        <v>0</v>
      </c>
      <c r="AH11" s="83">
        <v>0</v>
      </c>
      <c r="AI11" s="83">
        <v>0</v>
      </c>
      <c r="AJ11" s="83">
        <v>0</v>
      </c>
      <c r="AK11" s="83">
        <v>0</v>
      </c>
      <c r="AL11" s="83">
        <v>0</v>
      </c>
      <c r="AM11" s="83">
        <v>0</v>
      </c>
      <c r="AN11" s="83">
        <v>0</v>
      </c>
      <c r="AO11" s="83">
        <v>0</v>
      </c>
      <c r="AP11" s="83">
        <v>0</v>
      </c>
      <c r="AQ11" s="83">
        <v>0</v>
      </c>
      <c r="AR11" s="83">
        <v>0</v>
      </c>
      <c r="AS11" s="83">
        <v>0</v>
      </c>
      <c r="AT11" s="83">
        <v>0</v>
      </c>
      <c r="AU11" s="83">
        <v>0</v>
      </c>
      <c r="AV11" s="83">
        <v>0</v>
      </c>
      <c r="AW11" s="83">
        <v>0</v>
      </c>
      <c r="AX11" s="83">
        <v>0</v>
      </c>
      <c r="AY11" s="83">
        <v>0</v>
      </c>
      <c r="AZ11" s="83">
        <v>0</v>
      </c>
      <c r="BA11" s="83">
        <v>0</v>
      </c>
      <c r="BB11" s="83">
        <v>0</v>
      </c>
      <c r="BC11" s="83">
        <v>0</v>
      </c>
      <c r="BD11" s="83">
        <v>0</v>
      </c>
      <c r="BE11" s="5">
        <f>SUM(E11:BD11)</f>
        <v>-2517</v>
      </c>
      <c r="BF11" s="5"/>
      <c r="BG11" s="5">
        <f>BE11+BF11</f>
        <v>-2517</v>
      </c>
      <c r="BH11" s="66">
        <f>BE11-'TB 17.05.24'!BD7</f>
        <v>0</v>
      </c>
    </row>
    <row r="12" spans="1:61" ht="15" hidden="1" customHeight="1" x14ac:dyDescent="0.35">
      <c r="A12" s="3" t="s">
        <v>951</v>
      </c>
      <c r="B12" s="4" t="s">
        <v>952</v>
      </c>
      <c r="C12" s="4" t="s">
        <v>314</v>
      </c>
      <c r="D12" s="4" t="s">
        <v>253</v>
      </c>
      <c r="E12" s="83">
        <v>0</v>
      </c>
      <c r="F12" s="83"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  <c r="P12" s="83">
        <v>0</v>
      </c>
      <c r="Q12" s="83">
        <v>0</v>
      </c>
      <c r="R12" s="83">
        <v>0</v>
      </c>
      <c r="S12" s="83">
        <v>-2214.4</v>
      </c>
      <c r="T12" s="83">
        <v>0</v>
      </c>
      <c r="U12" s="83">
        <v>0</v>
      </c>
      <c r="V12" s="83">
        <v>0</v>
      </c>
      <c r="W12" s="83">
        <v>0</v>
      </c>
      <c r="X12" s="83">
        <v>0</v>
      </c>
      <c r="Y12" s="83">
        <v>0</v>
      </c>
      <c r="Z12" s="83">
        <v>0</v>
      </c>
      <c r="AA12" s="83">
        <v>0</v>
      </c>
      <c r="AB12" s="83">
        <v>0</v>
      </c>
      <c r="AC12" s="83">
        <v>0</v>
      </c>
      <c r="AD12" s="83">
        <v>0</v>
      </c>
      <c r="AE12" s="83">
        <v>0</v>
      </c>
      <c r="AF12" s="83">
        <v>0</v>
      </c>
      <c r="AG12" s="83">
        <v>0</v>
      </c>
      <c r="AH12" s="83">
        <v>0</v>
      </c>
      <c r="AI12" s="83">
        <v>0</v>
      </c>
      <c r="AJ12" s="83">
        <v>0</v>
      </c>
      <c r="AK12" s="83">
        <v>0</v>
      </c>
      <c r="AL12" s="83">
        <v>0</v>
      </c>
      <c r="AM12" s="83">
        <v>0</v>
      </c>
      <c r="AN12" s="83">
        <v>0</v>
      </c>
      <c r="AO12" s="83">
        <v>0</v>
      </c>
      <c r="AP12" s="83">
        <v>0</v>
      </c>
      <c r="AQ12" s="83">
        <v>0</v>
      </c>
      <c r="AR12" s="83">
        <v>0</v>
      </c>
      <c r="AS12" s="83">
        <v>0</v>
      </c>
      <c r="AT12" s="83">
        <v>0</v>
      </c>
      <c r="AU12" s="83">
        <v>0</v>
      </c>
      <c r="AV12" s="83">
        <v>0</v>
      </c>
      <c r="AW12" s="83">
        <v>0</v>
      </c>
      <c r="AX12" s="83">
        <v>0</v>
      </c>
      <c r="AY12" s="83">
        <v>0</v>
      </c>
      <c r="AZ12" s="83">
        <v>0</v>
      </c>
      <c r="BA12" s="83">
        <v>0</v>
      </c>
      <c r="BB12" s="83">
        <v>0</v>
      </c>
      <c r="BC12" s="83">
        <v>0</v>
      </c>
      <c r="BD12" s="83">
        <v>0</v>
      </c>
      <c r="BE12" s="5">
        <f>SUM(E12:BD12)</f>
        <v>-2214.4</v>
      </c>
      <c r="BF12" s="5"/>
      <c r="BG12" s="5">
        <f>BE12+BF12</f>
        <v>-2214.4</v>
      </c>
      <c r="BH12" s="66">
        <f>BE12-'TB 17.05.24'!BD8</f>
        <v>0</v>
      </c>
    </row>
    <row r="13" spans="1:61" ht="15" hidden="1" customHeight="1" x14ac:dyDescent="0.35">
      <c r="A13" s="3" t="s">
        <v>57</v>
      </c>
      <c r="B13" s="4" t="s">
        <v>58</v>
      </c>
      <c r="C13" s="4" t="s">
        <v>314</v>
      </c>
      <c r="D13" s="4" t="s">
        <v>253</v>
      </c>
      <c r="E13" s="83">
        <v>0</v>
      </c>
      <c r="F13" s="83">
        <v>0</v>
      </c>
      <c r="G13" s="83">
        <v>0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  <c r="P13" s="83">
        <v>0</v>
      </c>
      <c r="Q13" s="83">
        <v>0</v>
      </c>
      <c r="R13" s="83">
        <v>0</v>
      </c>
      <c r="S13" s="83">
        <v>0</v>
      </c>
      <c r="T13" s="83">
        <v>0</v>
      </c>
      <c r="U13" s="83">
        <v>0</v>
      </c>
      <c r="V13" s="83">
        <v>0</v>
      </c>
      <c r="W13" s="83">
        <v>0</v>
      </c>
      <c r="X13" s="83">
        <v>0</v>
      </c>
      <c r="Y13" s="83">
        <v>0</v>
      </c>
      <c r="Z13" s="83">
        <v>0</v>
      </c>
      <c r="AA13" s="83">
        <v>0</v>
      </c>
      <c r="AB13" s="83">
        <v>0</v>
      </c>
      <c r="AC13" s="83">
        <v>0</v>
      </c>
      <c r="AD13" s="83">
        <v>0</v>
      </c>
      <c r="AE13" s="83">
        <v>0</v>
      </c>
      <c r="AF13" s="83">
        <v>0</v>
      </c>
      <c r="AG13" s="83">
        <v>0</v>
      </c>
      <c r="AH13" s="83">
        <v>0</v>
      </c>
      <c r="AI13" s="83">
        <v>0</v>
      </c>
      <c r="AJ13" s="83">
        <v>0</v>
      </c>
      <c r="AK13" s="83">
        <v>0</v>
      </c>
      <c r="AL13" s="83">
        <v>0</v>
      </c>
      <c r="AM13" s="83">
        <v>0</v>
      </c>
      <c r="AN13" s="83">
        <v>0</v>
      </c>
      <c r="AO13" s="83">
        <v>0</v>
      </c>
      <c r="AP13" s="83">
        <v>0</v>
      </c>
      <c r="AQ13" s="83">
        <v>0</v>
      </c>
      <c r="AR13" s="83">
        <v>0</v>
      </c>
      <c r="AS13" s="83">
        <v>0</v>
      </c>
      <c r="AT13" s="83">
        <v>0</v>
      </c>
      <c r="AU13" s="83">
        <v>0</v>
      </c>
      <c r="AV13" s="83">
        <v>0</v>
      </c>
      <c r="AW13" s="83">
        <v>-500</v>
      </c>
      <c r="AX13" s="83">
        <v>0</v>
      </c>
      <c r="AY13" s="83">
        <v>0</v>
      </c>
      <c r="AZ13" s="83">
        <v>0</v>
      </c>
      <c r="BA13" s="83">
        <v>0</v>
      </c>
      <c r="BB13" s="83">
        <v>0</v>
      </c>
      <c r="BC13" s="83">
        <v>0</v>
      </c>
      <c r="BD13" s="83">
        <v>0</v>
      </c>
      <c r="BE13" s="5">
        <f>SUM(E13:BD13)</f>
        <v>-500</v>
      </c>
      <c r="BF13" s="5"/>
      <c r="BG13" s="5">
        <f>BE13+BF13</f>
        <v>-500</v>
      </c>
      <c r="BH13" s="66">
        <f>BE13-'TB 17.05.24'!BD9</f>
        <v>0</v>
      </c>
    </row>
    <row r="14" spans="1:61" ht="15" hidden="1" customHeight="1" x14ac:dyDescent="0.35">
      <c r="A14" s="3" t="s">
        <v>307</v>
      </c>
      <c r="B14" s="4" t="s">
        <v>308</v>
      </c>
      <c r="C14" s="4" t="s">
        <v>314</v>
      </c>
      <c r="D14" s="4" t="s">
        <v>253</v>
      </c>
      <c r="E14" s="83">
        <v>0</v>
      </c>
      <c r="F14" s="83">
        <v>0</v>
      </c>
      <c r="G14" s="83">
        <v>0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  <c r="P14" s="83">
        <v>0</v>
      </c>
      <c r="Q14" s="83">
        <v>0</v>
      </c>
      <c r="R14" s="83">
        <v>0</v>
      </c>
      <c r="S14" s="83">
        <v>0</v>
      </c>
      <c r="T14" s="83">
        <v>0</v>
      </c>
      <c r="U14" s="83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2341</v>
      </c>
      <c r="AB14" s="83">
        <v>0</v>
      </c>
      <c r="AC14" s="83">
        <v>0</v>
      </c>
      <c r="AD14" s="83">
        <v>0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3">
        <v>0</v>
      </c>
      <c r="AK14" s="83">
        <v>0</v>
      </c>
      <c r="AL14" s="83">
        <v>0</v>
      </c>
      <c r="AM14" s="83">
        <v>0</v>
      </c>
      <c r="AN14" s="83">
        <v>0</v>
      </c>
      <c r="AO14" s="83">
        <v>0</v>
      </c>
      <c r="AP14" s="83">
        <v>0</v>
      </c>
      <c r="AQ14" s="83">
        <v>0</v>
      </c>
      <c r="AR14" s="83">
        <v>0</v>
      </c>
      <c r="AS14" s="83">
        <v>0</v>
      </c>
      <c r="AT14" s="83">
        <v>0</v>
      </c>
      <c r="AU14" s="83">
        <v>0</v>
      </c>
      <c r="AV14" s="83">
        <v>0</v>
      </c>
      <c r="AW14" s="83">
        <v>0</v>
      </c>
      <c r="AX14" s="83">
        <v>0</v>
      </c>
      <c r="AY14" s="83">
        <v>0</v>
      </c>
      <c r="AZ14" s="83">
        <v>0</v>
      </c>
      <c r="BA14" s="83">
        <v>0</v>
      </c>
      <c r="BB14" s="83">
        <v>0</v>
      </c>
      <c r="BC14" s="83">
        <v>0</v>
      </c>
      <c r="BD14" s="83">
        <v>0</v>
      </c>
      <c r="BE14" s="5">
        <f t="shared" ref="BE14:BE90" si="0">SUM(E14:BD14)</f>
        <v>2341</v>
      </c>
      <c r="BF14" s="5"/>
      <c r="BG14" s="5">
        <f t="shared" ref="BG14:BG90" si="1">BE14+BF14</f>
        <v>2341</v>
      </c>
      <c r="BH14" s="66">
        <f>BE14-'TB 17.05.24'!BD10</f>
        <v>0</v>
      </c>
    </row>
    <row r="15" spans="1:61" ht="15" hidden="1" customHeight="1" x14ac:dyDescent="0.35">
      <c r="A15" s="3" t="s">
        <v>59</v>
      </c>
      <c r="B15" s="4" t="s">
        <v>60</v>
      </c>
      <c r="C15" s="4" t="s">
        <v>314</v>
      </c>
      <c r="D15" s="4" t="s">
        <v>253</v>
      </c>
      <c r="E15" s="83">
        <v>-3.24</v>
      </c>
      <c r="F15" s="83">
        <v>-24.05</v>
      </c>
      <c r="G15" s="83">
        <v>0</v>
      </c>
      <c r="H15" s="83">
        <v>-31.69</v>
      </c>
      <c r="I15" s="83">
        <v>23.4</v>
      </c>
      <c r="J15" s="83">
        <v>-26.47</v>
      </c>
      <c r="K15" s="83">
        <v>-29.63</v>
      </c>
      <c r="L15" s="83">
        <v>0</v>
      </c>
      <c r="M15" s="83">
        <v>-34.36</v>
      </c>
      <c r="N15" s="83">
        <v>-20.41</v>
      </c>
      <c r="O15" s="83">
        <v>0</v>
      </c>
      <c r="P15" s="83">
        <v>0</v>
      </c>
      <c r="Q15" s="83">
        <v>0</v>
      </c>
      <c r="R15" s="83">
        <v>-26</v>
      </c>
      <c r="S15" s="83">
        <v>-33.72</v>
      </c>
      <c r="T15" s="83">
        <v>0</v>
      </c>
      <c r="U15" s="83">
        <v>-25.46</v>
      </c>
      <c r="V15" s="83">
        <v>0</v>
      </c>
      <c r="W15" s="83">
        <v>-24.24</v>
      </c>
      <c r="X15" s="83">
        <v>-27.06</v>
      </c>
      <c r="Y15" s="83">
        <v>-22.36</v>
      </c>
      <c r="Z15" s="83">
        <v>-50.89</v>
      </c>
      <c r="AA15" s="83">
        <v>-61.61</v>
      </c>
      <c r="AB15" s="83">
        <v>0</v>
      </c>
      <c r="AC15" s="83">
        <v>-15.03</v>
      </c>
      <c r="AD15" s="83">
        <v>-57.44</v>
      </c>
      <c r="AE15" s="83">
        <v>-21.4</v>
      </c>
      <c r="AF15" s="83">
        <v>-20.170000000000002</v>
      </c>
      <c r="AG15" s="83">
        <v>-52.04</v>
      </c>
      <c r="AH15" s="83">
        <v>-44.71</v>
      </c>
      <c r="AI15" s="83">
        <v>-22.95</v>
      </c>
      <c r="AJ15" s="83">
        <v>-26.78</v>
      </c>
      <c r="AK15" s="83">
        <v>0</v>
      </c>
      <c r="AL15" s="83">
        <v>0</v>
      </c>
      <c r="AM15" s="83">
        <v>0</v>
      </c>
      <c r="AN15" s="83">
        <v>0</v>
      </c>
      <c r="AO15" s="83">
        <v>-30.88</v>
      </c>
      <c r="AP15" s="83">
        <v>0</v>
      </c>
      <c r="AQ15" s="83">
        <v>0</v>
      </c>
      <c r="AR15" s="83">
        <v>-58.15</v>
      </c>
      <c r="AS15" s="83">
        <v>-41.22</v>
      </c>
      <c r="AT15" s="83">
        <v>-30.46</v>
      </c>
      <c r="AU15" s="83">
        <v>0</v>
      </c>
      <c r="AV15" s="83">
        <v>-12.02</v>
      </c>
      <c r="AW15" s="83">
        <v>-11.1</v>
      </c>
      <c r="AX15" s="83">
        <v>-11.51</v>
      </c>
      <c r="AY15" s="83">
        <v>0</v>
      </c>
      <c r="AZ15" s="83">
        <v>0</v>
      </c>
      <c r="BA15" s="83">
        <v>-6.16</v>
      </c>
      <c r="BB15" s="83">
        <v>-2.86</v>
      </c>
      <c r="BC15" s="83">
        <v>-44.75</v>
      </c>
      <c r="BD15" s="83">
        <v>16.760000000000002</v>
      </c>
      <c r="BE15" s="5">
        <f t="shared" si="0"/>
        <v>-910.66</v>
      </c>
      <c r="BF15" s="5"/>
      <c r="BG15" s="5">
        <f t="shared" si="1"/>
        <v>-910.66</v>
      </c>
      <c r="BH15" s="66">
        <f>BE15-'TB 17.05.24'!BD11</f>
        <v>0</v>
      </c>
    </row>
    <row r="16" spans="1:61" ht="15" hidden="1" customHeight="1" x14ac:dyDescent="0.35">
      <c r="A16" s="3" t="s">
        <v>61</v>
      </c>
      <c r="B16" s="4" t="s">
        <v>62</v>
      </c>
      <c r="C16" s="4" t="s">
        <v>314</v>
      </c>
      <c r="D16" s="4" t="s">
        <v>66</v>
      </c>
      <c r="E16" s="83">
        <v>-120165.39</v>
      </c>
      <c r="F16" s="83">
        <v>-282436.05</v>
      </c>
      <c r="G16" s="83">
        <v>0</v>
      </c>
      <c r="H16" s="83">
        <v>-92001.55</v>
      </c>
      <c r="I16" s="83">
        <v>-433081.29</v>
      </c>
      <c r="J16" s="83">
        <v>-28431.07</v>
      </c>
      <c r="K16" s="83">
        <v>-60415.37</v>
      </c>
      <c r="L16" s="83">
        <v>0</v>
      </c>
      <c r="M16" s="83">
        <v>-18583.95</v>
      </c>
      <c r="N16" s="83">
        <v>-19676.03</v>
      </c>
      <c r="O16" s="83">
        <v>0</v>
      </c>
      <c r="P16" s="83">
        <v>0</v>
      </c>
      <c r="Q16" s="83">
        <v>0</v>
      </c>
      <c r="R16" s="83">
        <v>-269043</v>
      </c>
      <c r="S16" s="83">
        <v>-11098.02</v>
      </c>
      <c r="T16" s="83">
        <v>0</v>
      </c>
      <c r="U16" s="83">
        <v>-52499.9</v>
      </c>
      <c r="V16" s="83">
        <v>0</v>
      </c>
      <c r="W16" s="83">
        <v>-7364.03</v>
      </c>
      <c r="X16" s="83">
        <v>-63316</v>
      </c>
      <c r="Y16" s="83">
        <v>-44565.47</v>
      </c>
      <c r="Z16" s="83">
        <v>-136727.46</v>
      </c>
      <c r="AA16" s="83">
        <v>-146149.63</v>
      </c>
      <c r="AB16" s="83">
        <v>0</v>
      </c>
      <c r="AC16" s="83">
        <v>-43298.54</v>
      </c>
      <c r="AD16" s="83">
        <v>-370749.76</v>
      </c>
      <c r="AE16" s="83">
        <v>-11655.42</v>
      </c>
      <c r="AF16" s="83">
        <v>-45763.99</v>
      </c>
      <c r="AG16" s="83">
        <v>-90101.28</v>
      </c>
      <c r="AH16" s="83">
        <v>-588490.54</v>
      </c>
      <c r="AI16" s="83">
        <v>0</v>
      </c>
      <c r="AJ16" s="83">
        <v>0</v>
      </c>
      <c r="AK16" s="83">
        <v>0</v>
      </c>
      <c r="AL16" s="83">
        <v>0</v>
      </c>
      <c r="AM16" s="83">
        <v>0</v>
      </c>
      <c r="AN16" s="83">
        <v>0</v>
      </c>
      <c r="AO16" s="83">
        <v>-6355.01</v>
      </c>
      <c r="AP16" s="83">
        <v>0</v>
      </c>
      <c r="AQ16" s="83">
        <v>0</v>
      </c>
      <c r="AR16" s="83">
        <v>-57946.2</v>
      </c>
      <c r="AS16" s="83">
        <v>-49154.38</v>
      </c>
      <c r="AT16" s="83">
        <v>-164046.57</v>
      </c>
      <c r="AU16" s="83">
        <v>0</v>
      </c>
      <c r="AV16" s="83">
        <v>-8240.01</v>
      </c>
      <c r="AW16" s="83">
        <v>-12981.05</v>
      </c>
      <c r="AX16" s="83">
        <v>-16775.46</v>
      </c>
      <c r="AY16" s="83">
        <v>0</v>
      </c>
      <c r="AZ16" s="83">
        <v>0</v>
      </c>
      <c r="BA16" s="83">
        <v>-11376</v>
      </c>
      <c r="BB16" s="83">
        <v>-2515</v>
      </c>
      <c r="BC16" s="83">
        <v>-9341.01</v>
      </c>
      <c r="BD16" s="83">
        <v>-8027.04</v>
      </c>
      <c r="BE16" s="5">
        <f t="shared" si="0"/>
        <v>-3282371.4699999988</v>
      </c>
      <c r="BF16" s="5"/>
      <c r="BG16" s="5">
        <f t="shared" si="1"/>
        <v>-3282371.4699999988</v>
      </c>
      <c r="BH16" s="66">
        <f>BE16-'TB 17.05.24'!BD12</f>
        <v>0</v>
      </c>
    </row>
    <row r="17" spans="1:60" ht="15" hidden="1" customHeight="1" x14ac:dyDescent="0.35">
      <c r="A17" s="3" t="s">
        <v>63</v>
      </c>
      <c r="B17" s="4" t="s">
        <v>64</v>
      </c>
      <c r="C17" s="4" t="s">
        <v>314</v>
      </c>
      <c r="D17" s="4" t="s">
        <v>252</v>
      </c>
      <c r="E17" s="83">
        <v>0</v>
      </c>
      <c r="F17" s="83">
        <v>0</v>
      </c>
      <c r="G17" s="83">
        <v>0</v>
      </c>
      <c r="H17" s="83">
        <v>0</v>
      </c>
      <c r="I17" s="83">
        <v>-12265.79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  <c r="R17" s="83">
        <v>0</v>
      </c>
      <c r="S17" s="83">
        <v>0</v>
      </c>
      <c r="T17" s="83">
        <v>0</v>
      </c>
      <c r="U17" s="83">
        <v>0</v>
      </c>
      <c r="V17" s="83">
        <v>0</v>
      </c>
      <c r="W17" s="83">
        <v>0</v>
      </c>
      <c r="X17" s="83">
        <v>0</v>
      </c>
      <c r="Y17" s="83">
        <v>0</v>
      </c>
      <c r="Z17" s="83">
        <v>0</v>
      </c>
      <c r="AA17" s="83">
        <v>0</v>
      </c>
      <c r="AB17" s="83">
        <v>0</v>
      </c>
      <c r="AC17" s="83">
        <v>0</v>
      </c>
      <c r="AD17" s="83">
        <v>0</v>
      </c>
      <c r="AE17" s="83">
        <v>0</v>
      </c>
      <c r="AF17" s="83">
        <v>0</v>
      </c>
      <c r="AG17" s="83">
        <v>0</v>
      </c>
      <c r="AH17" s="83">
        <v>0</v>
      </c>
      <c r="AI17" s="83">
        <v>0</v>
      </c>
      <c r="AJ17" s="83">
        <v>0</v>
      </c>
      <c r="AK17" s="83">
        <v>0</v>
      </c>
      <c r="AL17" s="83">
        <v>0</v>
      </c>
      <c r="AM17" s="83">
        <v>0</v>
      </c>
      <c r="AN17" s="83">
        <v>0</v>
      </c>
      <c r="AO17" s="83">
        <v>0</v>
      </c>
      <c r="AP17" s="83">
        <v>0</v>
      </c>
      <c r="AQ17" s="83">
        <v>0</v>
      </c>
      <c r="AR17" s="83">
        <v>0</v>
      </c>
      <c r="AS17" s="83">
        <v>0</v>
      </c>
      <c r="AT17" s="83">
        <v>0</v>
      </c>
      <c r="AU17" s="83">
        <v>0</v>
      </c>
      <c r="AV17" s="83">
        <v>0</v>
      </c>
      <c r="AW17" s="83">
        <v>0</v>
      </c>
      <c r="AX17" s="83">
        <v>-206.52</v>
      </c>
      <c r="AY17" s="83">
        <v>0</v>
      </c>
      <c r="AZ17" s="83">
        <v>0</v>
      </c>
      <c r="BA17" s="83">
        <v>0</v>
      </c>
      <c r="BB17" s="83">
        <v>0</v>
      </c>
      <c r="BC17" s="83">
        <v>0</v>
      </c>
      <c r="BD17" s="83">
        <v>0</v>
      </c>
      <c r="BE17" s="83">
        <f t="shared" si="0"/>
        <v>-12472.310000000001</v>
      </c>
      <c r="BF17" s="5"/>
      <c r="BG17" s="5">
        <f t="shared" si="1"/>
        <v>-12472.310000000001</v>
      </c>
      <c r="BH17" s="66">
        <f>BE17-'TB 17.05.24'!BD13</f>
        <v>0</v>
      </c>
    </row>
    <row r="18" spans="1:60" ht="15" hidden="1" customHeight="1" x14ac:dyDescent="0.35">
      <c r="A18" s="3" t="s">
        <v>65</v>
      </c>
      <c r="B18" s="4" t="s">
        <v>66</v>
      </c>
      <c r="C18" s="4" t="s">
        <v>314</v>
      </c>
      <c r="D18" s="4" t="s">
        <v>66</v>
      </c>
      <c r="E18" s="83">
        <v>-828852.87</v>
      </c>
      <c r="F18" s="83">
        <v>-1085092.93</v>
      </c>
      <c r="G18" s="83">
        <v>0</v>
      </c>
      <c r="H18" s="83">
        <v>-2326688.83</v>
      </c>
      <c r="I18" s="83">
        <v>-381792.86</v>
      </c>
      <c r="J18" s="83">
        <v>-1399369.58</v>
      </c>
      <c r="K18" s="83">
        <v>-2106452.66</v>
      </c>
      <c r="L18" s="83">
        <v>0</v>
      </c>
      <c r="M18" s="83">
        <v>-1555056.49</v>
      </c>
      <c r="N18" s="83">
        <v>-1884843.44</v>
      </c>
      <c r="O18" s="83">
        <v>0</v>
      </c>
      <c r="P18" s="83">
        <v>0</v>
      </c>
      <c r="Q18" s="83">
        <v>0</v>
      </c>
      <c r="R18" s="83">
        <v>-2197625.2599999998</v>
      </c>
      <c r="S18" s="83">
        <v>-1032048.64</v>
      </c>
      <c r="T18" s="83">
        <v>0</v>
      </c>
      <c r="U18" s="83">
        <v>-2238125.19</v>
      </c>
      <c r="V18" s="83">
        <v>0</v>
      </c>
      <c r="W18" s="83">
        <v>-534094.43000000005</v>
      </c>
      <c r="X18" s="83">
        <v>-1128693.8999999999</v>
      </c>
      <c r="Y18" s="83">
        <v>-1083881.42</v>
      </c>
      <c r="Z18" s="83">
        <v>-885707.8</v>
      </c>
      <c r="AA18" s="83">
        <v>-1365880.45</v>
      </c>
      <c r="AB18" s="83">
        <v>0</v>
      </c>
      <c r="AC18" s="83">
        <v>-1882010.36</v>
      </c>
      <c r="AD18" s="83">
        <v>-2874874.73</v>
      </c>
      <c r="AE18" s="83">
        <v>-214062.9</v>
      </c>
      <c r="AF18" s="83">
        <v>-1287772.48</v>
      </c>
      <c r="AG18" s="83">
        <v>-1226354.92</v>
      </c>
      <c r="AH18" s="83">
        <v>-678314.5</v>
      </c>
      <c r="AI18" s="83">
        <v>-1190789.77</v>
      </c>
      <c r="AJ18" s="83">
        <v>-1619618.45</v>
      </c>
      <c r="AK18" s="83">
        <v>0</v>
      </c>
      <c r="AL18" s="83">
        <v>0</v>
      </c>
      <c r="AM18" s="83">
        <v>0</v>
      </c>
      <c r="AN18" s="83">
        <v>0</v>
      </c>
      <c r="AO18" s="83">
        <v>-3158627.72</v>
      </c>
      <c r="AP18" s="83">
        <v>-142519</v>
      </c>
      <c r="AQ18" s="83">
        <v>0</v>
      </c>
      <c r="AR18" s="83">
        <v>-3827277.11</v>
      </c>
      <c r="AS18" s="83">
        <v>-1285933.1000000001</v>
      </c>
      <c r="AT18" s="83">
        <v>-1133956.8999999999</v>
      </c>
      <c r="AU18" s="83">
        <v>0</v>
      </c>
      <c r="AV18" s="83">
        <v>-878847.38</v>
      </c>
      <c r="AW18" s="83">
        <v>-1605947.02</v>
      </c>
      <c r="AX18" s="83">
        <v>-854060.22</v>
      </c>
      <c r="AY18" s="83">
        <v>0</v>
      </c>
      <c r="AZ18" s="83">
        <v>0</v>
      </c>
      <c r="BA18" s="83">
        <v>-2011912.95</v>
      </c>
      <c r="BB18" s="83">
        <v>-731786.99</v>
      </c>
      <c r="BC18" s="83">
        <v>-2745993.54</v>
      </c>
      <c r="BD18" s="83">
        <v>-457407.72</v>
      </c>
      <c r="BE18" s="5">
        <f t="shared" si="0"/>
        <v>-51842274.510000005</v>
      </c>
      <c r="BF18" s="5"/>
      <c r="BG18" s="5">
        <f t="shared" si="1"/>
        <v>-51842274.510000005</v>
      </c>
      <c r="BH18" s="66">
        <f>BE18-'TB 17.05.24'!BD14</f>
        <v>0</v>
      </c>
    </row>
    <row r="19" spans="1:60" ht="15" hidden="1" customHeight="1" x14ac:dyDescent="0.35">
      <c r="A19" s="3" t="s">
        <v>67</v>
      </c>
      <c r="B19" s="4" t="s">
        <v>68</v>
      </c>
      <c r="C19" s="4" t="s">
        <v>314</v>
      </c>
      <c r="D19" s="4" t="s">
        <v>252</v>
      </c>
      <c r="E19" s="83">
        <v>-176597.09</v>
      </c>
      <c r="F19" s="83">
        <v>-168776.09</v>
      </c>
      <c r="G19" s="83">
        <v>0</v>
      </c>
      <c r="H19" s="83">
        <v>-404033.54</v>
      </c>
      <c r="I19" s="83">
        <v>-69000.63</v>
      </c>
      <c r="J19" s="83">
        <v>-353862.42</v>
      </c>
      <c r="K19" s="83">
        <v>-351603.13</v>
      </c>
      <c r="L19" s="83">
        <v>0</v>
      </c>
      <c r="M19" s="83">
        <v>-309537.02</v>
      </c>
      <c r="N19" s="83">
        <v>-364928.3</v>
      </c>
      <c r="O19" s="83">
        <v>0</v>
      </c>
      <c r="P19" s="83">
        <v>0</v>
      </c>
      <c r="Q19" s="83">
        <v>0</v>
      </c>
      <c r="R19" s="83">
        <v>-267034.34999999998</v>
      </c>
      <c r="S19" s="83">
        <v>-162365.70000000001</v>
      </c>
      <c r="T19" s="83">
        <v>0</v>
      </c>
      <c r="U19" s="83">
        <v>-239174.22</v>
      </c>
      <c r="V19" s="83">
        <v>0</v>
      </c>
      <c r="W19" s="83">
        <v>-164228.06</v>
      </c>
      <c r="X19" s="83">
        <v>-281762.88</v>
      </c>
      <c r="Y19" s="83">
        <v>-327717.46000000002</v>
      </c>
      <c r="Z19" s="83">
        <v>-238327.7</v>
      </c>
      <c r="AA19" s="83">
        <v>-213208.67</v>
      </c>
      <c r="AB19" s="83">
        <v>0</v>
      </c>
      <c r="AC19" s="83">
        <v>-314557.96999999997</v>
      </c>
      <c r="AD19" s="83">
        <v>-224420.77</v>
      </c>
      <c r="AE19" s="83">
        <v>-78345.8</v>
      </c>
      <c r="AF19" s="83">
        <v>-103445.98</v>
      </c>
      <c r="AG19" s="83">
        <v>-169331.98</v>
      </c>
      <c r="AH19" s="83">
        <v>-125558.47</v>
      </c>
      <c r="AI19" s="83">
        <v>-324037.96999999997</v>
      </c>
      <c r="AJ19" s="83">
        <v>-151343.49</v>
      </c>
      <c r="AK19" s="83">
        <v>0</v>
      </c>
      <c r="AL19" s="83">
        <v>0</v>
      </c>
      <c r="AM19" s="83">
        <v>0</v>
      </c>
      <c r="AN19" s="83">
        <v>0</v>
      </c>
      <c r="AO19" s="83">
        <v>-404459.15</v>
      </c>
      <c r="AP19" s="83">
        <v>-79710</v>
      </c>
      <c r="AQ19" s="83">
        <v>0</v>
      </c>
      <c r="AR19" s="83">
        <v>-754993.53</v>
      </c>
      <c r="AS19" s="83">
        <v>-242009.09</v>
      </c>
      <c r="AT19" s="83">
        <v>-136767.69</v>
      </c>
      <c r="AU19" s="83">
        <v>0</v>
      </c>
      <c r="AV19" s="83">
        <v>-125820.44</v>
      </c>
      <c r="AW19" s="83">
        <v>-133851.37</v>
      </c>
      <c r="AX19" s="83">
        <v>-181479.65</v>
      </c>
      <c r="AY19" s="83">
        <v>0</v>
      </c>
      <c r="AZ19" s="83">
        <v>0</v>
      </c>
      <c r="BA19" s="83">
        <v>-256082.11</v>
      </c>
      <c r="BB19" s="83">
        <v>-421422.35</v>
      </c>
      <c r="BC19" s="83">
        <v>-634797.46</v>
      </c>
      <c r="BD19" s="83">
        <v>-72961.16</v>
      </c>
      <c r="BE19" s="83">
        <f t="shared" si="0"/>
        <v>-9027553.6900000013</v>
      </c>
      <c r="BF19" s="5"/>
      <c r="BG19" s="5">
        <f t="shared" si="1"/>
        <v>-9027553.6900000013</v>
      </c>
      <c r="BH19" s="66">
        <f>BE19-'TB 17.05.24'!BD15</f>
        <v>0</v>
      </c>
    </row>
    <row r="20" spans="1:60" ht="15" hidden="1" customHeight="1" x14ac:dyDescent="0.35">
      <c r="A20" s="3" t="s">
        <v>69</v>
      </c>
      <c r="B20" s="4" t="s">
        <v>70</v>
      </c>
      <c r="C20" s="4" t="s">
        <v>314</v>
      </c>
      <c r="D20" s="4" t="s">
        <v>70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-358723.56</v>
      </c>
      <c r="K20" s="83">
        <v>-594311.47</v>
      </c>
      <c r="L20" s="83">
        <v>0</v>
      </c>
      <c r="M20" s="83">
        <v>-1605395.9</v>
      </c>
      <c r="N20" s="83">
        <v>-337006.14</v>
      </c>
      <c r="O20" s="83">
        <v>0</v>
      </c>
      <c r="P20" s="83">
        <v>0</v>
      </c>
      <c r="Q20" s="83">
        <v>0</v>
      </c>
      <c r="R20" s="83">
        <v>0</v>
      </c>
      <c r="S20" s="83">
        <v>-883050.65</v>
      </c>
      <c r="T20" s="83">
        <v>0</v>
      </c>
      <c r="U20" s="83">
        <v>-901277.86</v>
      </c>
      <c r="V20" s="83">
        <v>0</v>
      </c>
      <c r="W20" s="83">
        <v>-297235.34000000003</v>
      </c>
      <c r="X20" s="83">
        <v>-407270.57</v>
      </c>
      <c r="Y20" s="83">
        <v>-158815.45000000001</v>
      </c>
      <c r="Z20" s="83">
        <v>-107628.5</v>
      </c>
      <c r="AA20" s="83">
        <v>0</v>
      </c>
      <c r="AB20" s="83">
        <v>0</v>
      </c>
      <c r="AC20" s="83">
        <v>-1158234.0900000001</v>
      </c>
      <c r="AD20" s="83">
        <v>-389327.25</v>
      </c>
      <c r="AE20" s="83">
        <v>-3318</v>
      </c>
      <c r="AF20" s="83">
        <v>-468601.3</v>
      </c>
      <c r="AG20" s="83">
        <v>0</v>
      </c>
      <c r="AH20" s="83">
        <v>-324707.21000000002</v>
      </c>
      <c r="AI20" s="83">
        <v>-274449.12</v>
      </c>
      <c r="AJ20" s="83">
        <v>-227143.37</v>
      </c>
      <c r="AK20" s="83">
        <v>0</v>
      </c>
      <c r="AL20" s="83">
        <v>0</v>
      </c>
      <c r="AM20" s="83">
        <v>0</v>
      </c>
      <c r="AN20" s="83">
        <v>0</v>
      </c>
      <c r="AO20" s="83">
        <v>-962189.65</v>
      </c>
      <c r="AP20" s="83">
        <v>0</v>
      </c>
      <c r="AQ20" s="83">
        <v>0</v>
      </c>
      <c r="AR20" s="83">
        <v>-590816.56000000006</v>
      </c>
      <c r="AS20" s="83">
        <v>-411124.06</v>
      </c>
      <c r="AT20" s="83">
        <v>-171780.96</v>
      </c>
      <c r="AU20" s="83">
        <v>0</v>
      </c>
      <c r="AV20" s="83">
        <v>-952915.24</v>
      </c>
      <c r="AW20" s="83">
        <v>-217013.56</v>
      </c>
      <c r="AX20" s="83">
        <v>-2700</v>
      </c>
      <c r="AY20" s="83">
        <v>0</v>
      </c>
      <c r="AZ20" s="83">
        <v>0</v>
      </c>
      <c r="BA20" s="83">
        <v>-212555.66</v>
      </c>
      <c r="BB20" s="83">
        <v>0</v>
      </c>
      <c r="BC20" s="83">
        <v>-248525.79</v>
      </c>
      <c r="BD20" s="83">
        <v>-30038.49</v>
      </c>
      <c r="BE20" s="5">
        <f t="shared" si="0"/>
        <v>-12296155.750000002</v>
      </c>
      <c r="BF20" s="5"/>
      <c r="BG20" s="5">
        <f t="shared" si="1"/>
        <v>-12296155.750000002</v>
      </c>
      <c r="BH20" s="66">
        <f>BE20-'TB 17.05.24'!BD16</f>
        <v>0</v>
      </c>
    </row>
    <row r="21" spans="1:60" ht="15" hidden="1" customHeight="1" x14ac:dyDescent="0.35">
      <c r="A21" s="3" t="s">
        <v>71</v>
      </c>
      <c r="B21" s="4" t="s">
        <v>72</v>
      </c>
      <c r="C21" s="4" t="s">
        <v>314</v>
      </c>
      <c r="D21" s="4" t="s">
        <v>253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-21552.68</v>
      </c>
      <c r="N21" s="83">
        <v>0</v>
      </c>
      <c r="O21" s="83">
        <v>0</v>
      </c>
      <c r="P21" s="83">
        <v>0</v>
      </c>
      <c r="Q21" s="83">
        <v>0</v>
      </c>
      <c r="R21" s="83">
        <v>0</v>
      </c>
      <c r="S21" s="83">
        <v>-2794.51</v>
      </c>
      <c r="T21" s="83">
        <v>0</v>
      </c>
      <c r="U21" s="83">
        <v>0</v>
      </c>
      <c r="V21" s="83">
        <v>0</v>
      </c>
      <c r="W21" s="83">
        <v>0</v>
      </c>
      <c r="X21" s="83">
        <v>0</v>
      </c>
      <c r="Y21" s="83">
        <v>0</v>
      </c>
      <c r="Z21" s="83">
        <v>0</v>
      </c>
      <c r="AA21" s="83">
        <v>0</v>
      </c>
      <c r="AB21" s="83">
        <v>0</v>
      </c>
      <c r="AC21" s="83">
        <v>-4657.5</v>
      </c>
      <c r="AD21" s="83">
        <v>0</v>
      </c>
      <c r="AE21" s="83">
        <v>0</v>
      </c>
      <c r="AF21" s="83">
        <v>0</v>
      </c>
      <c r="AG21" s="83">
        <v>0</v>
      </c>
      <c r="AH21" s="83">
        <v>0</v>
      </c>
      <c r="AI21" s="83">
        <v>0</v>
      </c>
      <c r="AJ21" s="83">
        <v>0</v>
      </c>
      <c r="AK21" s="83">
        <v>0</v>
      </c>
      <c r="AL21" s="83">
        <v>0</v>
      </c>
      <c r="AM21" s="83">
        <v>0</v>
      </c>
      <c r="AN21" s="83">
        <v>0</v>
      </c>
      <c r="AO21" s="83">
        <v>0</v>
      </c>
      <c r="AP21" s="83">
        <v>0</v>
      </c>
      <c r="AQ21" s="83">
        <v>0</v>
      </c>
      <c r="AR21" s="83">
        <v>0</v>
      </c>
      <c r="AS21" s="83">
        <v>0</v>
      </c>
      <c r="AT21" s="83">
        <v>0</v>
      </c>
      <c r="AU21" s="83">
        <v>0</v>
      </c>
      <c r="AV21" s="83">
        <v>0</v>
      </c>
      <c r="AW21" s="83">
        <v>0</v>
      </c>
      <c r="AX21" s="83">
        <v>0</v>
      </c>
      <c r="AY21" s="83">
        <v>0</v>
      </c>
      <c r="AZ21" s="83">
        <v>0</v>
      </c>
      <c r="BA21" s="83">
        <v>0</v>
      </c>
      <c r="BB21" s="83">
        <v>0</v>
      </c>
      <c r="BC21" s="83">
        <v>0</v>
      </c>
      <c r="BD21" s="83">
        <v>0</v>
      </c>
      <c r="BE21" s="5">
        <f t="shared" si="0"/>
        <v>-29004.690000000002</v>
      </c>
      <c r="BF21" s="5"/>
      <c r="BG21" s="5">
        <f t="shared" si="1"/>
        <v>-29004.690000000002</v>
      </c>
      <c r="BH21" s="66">
        <f>BE21-'TB 17.05.24'!BD17</f>
        <v>0</v>
      </c>
    </row>
    <row r="22" spans="1:60" ht="15" hidden="1" customHeight="1" x14ac:dyDescent="0.35">
      <c r="A22" s="3" t="s">
        <v>73</v>
      </c>
      <c r="B22" s="4" t="s">
        <v>74</v>
      </c>
      <c r="C22" s="4" t="s">
        <v>314</v>
      </c>
      <c r="D22" s="4" t="s">
        <v>253</v>
      </c>
      <c r="E22" s="83">
        <v>-5641.62</v>
      </c>
      <c r="F22" s="83">
        <v>-1725</v>
      </c>
      <c r="G22" s="83">
        <v>0</v>
      </c>
      <c r="H22" s="83">
        <v>-4551.3999999999996</v>
      </c>
      <c r="I22" s="83">
        <v>-28393.48</v>
      </c>
      <c r="J22" s="83">
        <v>-1420.84</v>
      </c>
      <c r="K22" s="83">
        <v>-1290.56</v>
      </c>
      <c r="L22" s="83">
        <v>0</v>
      </c>
      <c r="M22" s="83">
        <v>-771.26</v>
      </c>
      <c r="N22" s="83">
        <v>-890.18</v>
      </c>
      <c r="O22" s="83">
        <v>0</v>
      </c>
      <c r="P22" s="83">
        <v>0</v>
      </c>
      <c r="Q22" s="83">
        <v>0</v>
      </c>
      <c r="R22" s="83">
        <v>-552</v>
      </c>
      <c r="S22" s="83">
        <v>-555.54999999999995</v>
      </c>
      <c r="T22" s="83">
        <v>0</v>
      </c>
      <c r="U22" s="83">
        <v>-2922.28</v>
      </c>
      <c r="V22" s="83">
        <v>0</v>
      </c>
      <c r="W22" s="83">
        <v>-363.89</v>
      </c>
      <c r="X22" s="83">
        <v>-3189.8</v>
      </c>
      <c r="Y22" s="83">
        <v>-2312.71</v>
      </c>
      <c r="Z22" s="83">
        <v>-462.5</v>
      </c>
      <c r="AA22" s="83">
        <v>-6446.16</v>
      </c>
      <c r="AB22" s="83">
        <v>0</v>
      </c>
      <c r="AC22" s="83">
        <v>-1756.19</v>
      </c>
      <c r="AD22" s="83">
        <v>-18601.84</v>
      </c>
      <c r="AE22" s="83">
        <v>-637.64</v>
      </c>
      <c r="AF22" s="83">
        <v>-1923.6</v>
      </c>
      <c r="AG22" s="83">
        <v>-5049.78</v>
      </c>
      <c r="AH22" s="83">
        <v>-30965.86</v>
      </c>
      <c r="AI22" s="83">
        <v>0</v>
      </c>
      <c r="AJ22" s="83">
        <v>0</v>
      </c>
      <c r="AK22" s="83">
        <v>0</v>
      </c>
      <c r="AL22" s="83">
        <v>0</v>
      </c>
      <c r="AM22" s="83">
        <v>0</v>
      </c>
      <c r="AN22" s="83">
        <v>0</v>
      </c>
      <c r="AO22" s="83">
        <v>-111.01</v>
      </c>
      <c r="AP22" s="83">
        <v>0</v>
      </c>
      <c r="AQ22" s="83">
        <v>0</v>
      </c>
      <c r="AR22" s="83">
        <v>-1134.5</v>
      </c>
      <c r="AS22" s="83">
        <v>-2771.24</v>
      </c>
      <c r="AT22" s="83">
        <v>-10622.45</v>
      </c>
      <c r="AU22" s="83">
        <v>0</v>
      </c>
      <c r="AV22" s="83">
        <v>-472.32</v>
      </c>
      <c r="AW22" s="83">
        <v>-638.44000000000005</v>
      </c>
      <c r="AX22" s="83">
        <v>0</v>
      </c>
      <c r="AY22" s="83">
        <v>0</v>
      </c>
      <c r="AZ22" s="83">
        <v>0</v>
      </c>
      <c r="BA22" s="83">
        <v>0</v>
      </c>
      <c r="BB22" s="83">
        <v>0</v>
      </c>
      <c r="BC22" s="83">
        <v>0</v>
      </c>
      <c r="BD22" s="83">
        <v>-446.45</v>
      </c>
      <c r="BE22" s="5">
        <f t="shared" si="0"/>
        <v>-136620.55000000002</v>
      </c>
      <c r="BF22" s="5"/>
      <c r="BG22" s="5">
        <f t="shared" si="1"/>
        <v>-136620.55000000002</v>
      </c>
      <c r="BH22" s="66">
        <f>BE22-'TB 17.05.24'!BD18</f>
        <v>0</v>
      </c>
    </row>
    <row r="23" spans="1:60" ht="15" hidden="1" customHeight="1" x14ac:dyDescent="0.35">
      <c r="A23" s="3" t="s">
        <v>75</v>
      </c>
      <c r="B23" s="4" t="s">
        <v>76</v>
      </c>
      <c r="C23" s="4" t="s">
        <v>314</v>
      </c>
      <c r="D23" s="4" t="s">
        <v>253</v>
      </c>
      <c r="E23" s="83">
        <v>0</v>
      </c>
      <c r="F23" s="83">
        <v>0</v>
      </c>
      <c r="G23" s="83">
        <v>0</v>
      </c>
      <c r="H23" s="83">
        <v>0</v>
      </c>
      <c r="I23" s="83">
        <v>0</v>
      </c>
      <c r="J23" s="83">
        <v>0</v>
      </c>
      <c r="K23" s="83">
        <v>0</v>
      </c>
      <c r="L23" s="83">
        <v>0</v>
      </c>
      <c r="M23" s="83">
        <v>0</v>
      </c>
      <c r="N23" s="83">
        <v>0</v>
      </c>
      <c r="O23" s="83">
        <v>0</v>
      </c>
      <c r="P23" s="83">
        <v>0</v>
      </c>
      <c r="Q23" s="83">
        <v>0</v>
      </c>
      <c r="R23" s="83">
        <v>-247733.88</v>
      </c>
      <c r="S23" s="83">
        <v>0</v>
      </c>
      <c r="T23" s="83">
        <f>-247733.88*0</f>
        <v>0</v>
      </c>
      <c r="U23" s="83">
        <v>0</v>
      </c>
      <c r="V23" s="83">
        <v>0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3">
        <v>0</v>
      </c>
      <c r="AC23" s="83">
        <v>0</v>
      </c>
      <c r="AD23" s="83">
        <v>0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3">
        <v>0</v>
      </c>
      <c r="AK23" s="83">
        <v>0</v>
      </c>
      <c r="AL23" s="83">
        <v>0</v>
      </c>
      <c r="AM23" s="83">
        <v>0</v>
      </c>
      <c r="AN23" s="83">
        <v>0</v>
      </c>
      <c r="AO23" s="83">
        <v>0</v>
      </c>
      <c r="AP23" s="83">
        <v>0</v>
      </c>
      <c r="AQ23" s="83">
        <v>0</v>
      </c>
      <c r="AR23" s="83">
        <v>0</v>
      </c>
      <c r="AS23" s="83">
        <v>0</v>
      </c>
      <c r="AT23" s="83">
        <v>0</v>
      </c>
      <c r="AU23" s="83">
        <v>0</v>
      </c>
      <c r="AV23" s="83">
        <v>0</v>
      </c>
      <c r="AW23" s="83">
        <v>0</v>
      </c>
      <c r="AX23" s="83">
        <v>0</v>
      </c>
      <c r="AY23" s="83">
        <v>0</v>
      </c>
      <c r="AZ23" s="83">
        <v>0</v>
      </c>
      <c r="BA23" s="83">
        <v>0</v>
      </c>
      <c r="BB23" s="83">
        <v>0</v>
      </c>
      <c r="BC23" s="83">
        <v>0</v>
      </c>
      <c r="BD23" s="83">
        <v>0</v>
      </c>
      <c r="BE23" s="5">
        <f t="shared" si="0"/>
        <v>-247733.88</v>
      </c>
      <c r="BF23" s="5"/>
      <c r="BG23" s="5">
        <f t="shared" si="1"/>
        <v>-247733.88</v>
      </c>
      <c r="BH23" s="66">
        <f>BE23-'TB 17.05.24'!BD19</f>
        <v>0</v>
      </c>
    </row>
    <row r="24" spans="1:60" ht="15" hidden="1" customHeight="1" x14ac:dyDescent="0.35">
      <c r="A24" s="3" t="s">
        <v>77</v>
      </c>
      <c r="B24" s="4" t="s">
        <v>78</v>
      </c>
      <c r="C24" s="4" t="s">
        <v>314</v>
      </c>
      <c r="D24" s="4" t="s">
        <v>967</v>
      </c>
      <c r="E24" s="83">
        <v>-22754.55</v>
      </c>
      <c r="F24" s="83">
        <v>-32495.93</v>
      </c>
      <c r="G24" s="83">
        <v>0</v>
      </c>
      <c r="H24" s="83">
        <v>-67508.259999999995</v>
      </c>
      <c r="I24" s="83">
        <v>-11263.37</v>
      </c>
      <c r="J24" s="83">
        <v>-27375.07</v>
      </c>
      <c r="K24" s="83">
        <v>-28421.24</v>
      </c>
      <c r="L24" s="83">
        <v>0</v>
      </c>
      <c r="M24" s="83">
        <v>33148.28</v>
      </c>
      <c r="N24" s="83">
        <v>-33937.120000000003</v>
      </c>
      <c r="O24" s="83">
        <v>0</v>
      </c>
      <c r="P24" s="83">
        <v>0</v>
      </c>
      <c r="Q24" s="83">
        <v>0</v>
      </c>
      <c r="R24" s="83">
        <v>-49281.93</v>
      </c>
      <c r="S24" s="83">
        <v>27828.78</v>
      </c>
      <c r="T24" s="83">
        <v>0</v>
      </c>
      <c r="U24" s="83">
        <v>1458.19</v>
      </c>
      <c r="V24" s="83">
        <v>0</v>
      </c>
      <c r="W24" s="83">
        <v>-2775.96</v>
      </c>
      <c r="X24" s="83">
        <v>-15029.72</v>
      </c>
      <c r="Y24" s="83">
        <v>-28956.26</v>
      </c>
      <c r="Z24" s="83">
        <v>-22418.43</v>
      </c>
      <c r="AA24" s="83">
        <v>-41099.99</v>
      </c>
      <c r="AB24" s="83">
        <v>0</v>
      </c>
      <c r="AC24" s="83">
        <v>11841.1</v>
      </c>
      <c r="AD24" s="83">
        <v>-53521.97</v>
      </c>
      <c r="AE24" s="83">
        <v>-6109.54</v>
      </c>
      <c r="AF24" s="83">
        <v>-7079.31</v>
      </c>
      <c r="AG24" s="83">
        <v>-34218.29</v>
      </c>
      <c r="AH24" s="83">
        <v>230.38</v>
      </c>
      <c r="AI24" s="83">
        <v>35129.43</v>
      </c>
      <c r="AJ24" s="83">
        <v>-156165.19</v>
      </c>
      <c r="AK24" s="83">
        <v>0</v>
      </c>
      <c r="AL24" s="83">
        <v>0</v>
      </c>
      <c r="AM24" s="83">
        <v>0</v>
      </c>
      <c r="AN24" s="83">
        <v>0</v>
      </c>
      <c r="AO24" s="83">
        <v>-42295.040000000001</v>
      </c>
      <c r="AP24" s="83">
        <v>-5229.6000000000004</v>
      </c>
      <c r="AQ24" s="83">
        <v>0</v>
      </c>
      <c r="AR24" s="83">
        <v>-85987.1</v>
      </c>
      <c r="AS24" s="83">
        <v>-16849.12</v>
      </c>
      <c r="AT24" s="83">
        <v>101984.99</v>
      </c>
      <c r="AU24" s="83">
        <v>0</v>
      </c>
      <c r="AV24" s="83">
        <v>23890.57</v>
      </c>
      <c r="AW24" s="83">
        <v>-15583.48</v>
      </c>
      <c r="AX24" s="83">
        <v>-26380.25</v>
      </c>
      <c r="AY24" s="83">
        <v>0</v>
      </c>
      <c r="AZ24" s="83">
        <v>0</v>
      </c>
      <c r="BA24" s="83">
        <v>-41691.839999999997</v>
      </c>
      <c r="BB24" s="83">
        <v>-26804.98</v>
      </c>
      <c r="BC24" s="83">
        <v>-79024.23</v>
      </c>
      <c r="BD24" s="83">
        <v>-11964.38</v>
      </c>
      <c r="BE24" s="5">
        <f t="shared" si="0"/>
        <v>-756710.42999999993</v>
      </c>
      <c r="BF24" s="5"/>
      <c r="BG24" s="5">
        <f t="shared" si="1"/>
        <v>-756710.42999999993</v>
      </c>
      <c r="BH24" s="66">
        <f>BE24-'TB 17.05.24'!BD20</f>
        <v>0</v>
      </c>
    </row>
    <row r="25" spans="1:60" ht="15" hidden="1" customHeight="1" x14ac:dyDescent="0.35">
      <c r="A25" s="3" t="s">
        <v>79</v>
      </c>
      <c r="B25" s="4" t="s">
        <v>80</v>
      </c>
      <c r="C25" s="4" t="s">
        <v>314</v>
      </c>
      <c r="D25" s="4" t="s">
        <v>967</v>
      </c>
      <c r="E25" s="83">
        <v>0</v>
      </c>
      <c r="F25" s="83">
        <v>0</v>
      </c>
      <c r="G25" s="83">
        <v>0</v>
      </c>
      <c r="H25" s="83">
        <v>0</v>
      </c>
      <c r="I25" s="83">
        <v>0</v>
      </c>
      <c r="J25" s="83">
        <v>-26867.95</v>
      </c>
      <c r="K25" s="83">
        <v>-47356.07</v>
      </c>
      <c r="L25" s="83">
        <v>0</v>
      </c>
      <c r="M25" s="83">
        <v>-107913.71</v>
      </c>
      <c r="N25" s="83">
        <v>-29154.92</v>
      </c>
      <c r="O25" s="83">
        <v>0</v>
      </c>
      <c r="P25" s="83">
        <v>0</v>
      </c>
      <c r="Q25" s="83">
        <v>0</v>
      </c>
      <c r="R25" s="83">
        <v>0</v>
      </c>
      <c r="S25" s="83">
        <v>-79432.3</v>
      </c>
      <c r="T25" s="83">
        <v>0</v>
      </c>
      <c r="U25" s="83">
        <v>-86277.6</v>
      </c>
      <c r="V25" s="83">
        <v>0</v>
      </c>
      <c r="W25" s="83">
        <v>-20958.36</v>
      </c>
      <c r="X25" s="83">
        <v>-33488.1</v>
      </c>
      <c r="Y25" s="83">
        <v>-14478.7</v>
      </c>
      <c r="Z25" s="83">
        <v>-9828.1</v>
      </c>
      <c r="AA25" s="83">
        <v>0</v>
      </c>
      <c r="AB25" s="83">
        <v>0</v>
      </c>
      <c r="AC25" s="83">
        <v>-102134.18</v>
      </c>
      <c r="AD25" s="83">
        <v>-34110.75</v>
      </c>
      <c r="AE25" s="83">
        <v>-238</v>
      </c>
      <c r="AF25" s="83">
        <v>-45785.88</v>
      </c>
      <c r="AG25" s="83">
        <v>0</v>
      </c>
      <c r="AH25" s="83">
        <v>-27812.5</v>
      </c>
      <c r="AI25" s="83">
        <v>-24576.720000000001</v>
      </c>
      <c r="AJ25" s="83">
        <v>-19640.43</v>
      </c>
      <c r="AK25" s="83">
        <v>0</v>
      </c>
      <c r="AL25" s="83">
        <v>0</v>
      </c>
      <c r="AM25" s="83">
        <v>0</v>
      </c>
      <c r="AN25" s="83">
        <v>0</v>
      </c>
      <c r="AO25" s="83">
        <v>-84827.36</v>
      </c>
      <c r="AP25" s="83">
        <v>0</v>
      </c>
      <c r="AQ25" s="83">
        <v>0</v>
      </c>
      <c r="AR25" s="83">
        <v>-48179.22</v>
      </c>
      <c r="AS25" s="83">
        <v>-32686.080000000002</v>
      </c>
      <c r="AT25" s="83">
        <v>-14789.7</v>
      </c>
      <c r="AU25" s="83">
        <v>0</v>
      </c>
      <c r="AV25" s="83">
        <v>-66359.81</v>
      </c>
      <c r="AW25" s="83">
        <v>-18067.400000000001</v>
      </c>
      <c r="AX25" s="83">
        <v>-126</v>
      </c>
      <c r="AY25" s="83">
        <v>0</v>
      </c>
      <c r="AZ25" s="83">
        <v>0</v>
      </c>
      <c r="BA25" s="83">
        <v>-15297.57</v>
      </c>
      <c r="BB25" s="83">
        <v>0</v>
      </c>
      <c r="BC25" s="83">
        <v>-23259.7</v>
      </c>
      <c r="BD25" s="83">
        <v>-2247.1799999999998</v>
      </c>
      <c r="BE25" s="5">
        <f t="shared" si="0"/>
        <v>-1015894.2899999999</v>
      </c>
      <c r="BF25" s="5"/>
      <c r="BG25" s="5">
        <f t="shared" si="1"/>
        <v>-1015894.2899999999</v>
      </c>
      <c r="BH25" s="66">
        <f>BE25-'TB 17.05.24'!BD21</f>
        <v>0</v>
      </c>
    </row>
    <row r="26" spans="1:60" ht="15" hidden="1" customHeight="1" x14ac:dyDescent="0.35">
      <c r="A26" s="3" t="s">
        <v>81</v>
      </c>
      <c r="B26" s="4" t="s">
        <v>82</v>
      </c>
      <c r="C26" s="4" t="s">
        <v>314</v>
      </c>
      <c r="D26" s="4" t="s">
        <v>319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  <c r="R26" s="83">
        <v>0</v>
      </c>
      <c r="S26" s="83">
        <v>7434</v>
      </c>
      <c r="T26" s="83">
        <v>0</v>
      </c>
      <c r="U26" s="83">
        <v>0</v>
      </c>
      <c r="V26" s="83">
        <v>0</v>
      </c>
      <c r="W26" s="83">
        <v>7834</v>
      </c>
      <c r="X26" s="83">
        <v>7834</v>
      </c>
      <c r="Y26" s="83">
        <v>7834</v>
      </c>
      <c r="Z26" s="83">
        <v>52864</v>
      </c>
      <c r="AA26" s="83">
        <v>0</v>
      </c>
      <c r="AB26" s="83">
        <v>0</v>
      </c>
      <c r="AC26" s="83">
        <v>52864</v>
      </c>
      <c r="AD26" s="83">
        <v>0</v>
      </c>
      <c r="AE26" s="83">
        <v>22400</v>
      </c>
      <c r="AF26" s="83">
        <v>3894</v>
      </c>
      <c r="AG26" s="83">
        <v>0</v>
      </c>
      <c r="AH26" s="83">
        <v>0</v>
      </c>
      <c r="AI26" s="83">
        <v>0</v>
      </c>
      <c r="AJ26" s="83">
        <v>0</v>
      </c>
      <c r="AK26" s="83">
        <v>0</v>
      </c>
      <c r="AL26" s="83">
        <v>0</v>
      </c>
      <c r="AM26" s="83">
        <v>0</v>
      </c>
      <c r="AN26" s="83">
        <v>0</v>
      </c>
      <c r="AO26" s="83">
        <v>0</v>
      </c>
      <c r="AP26" s="83">
        <v>0</v>
      </c>
      <c r="AQ26" s="83">
        <v>0</v>
      </c>
      <c r="AR26" s="83">
        <v>0</v>
      </c>
      <c r="AS26" s="83">
        <v>0</v>
      </c>
      <c r="AT26" s="83">
        <v>0</v>
      </c>
      <c r="AU26" s="83">
        <v>0</v>
      </c>
      <c r="AV26" s="83">
        <v>0</v>
      </c>
      <c r="AW26" s="83">
        <v>0</v>
      </c>
      <c r="AX26" s="83">
        <v>0</v>
      </c>
      <c r="AY26" s="83">
        <v>0</v>
      </c>
      <c r="AZ26" s="83">
        <v>0</v>
      </c>
      <c r="BA26" s="83">
        <v>0</v>
      </c>
      <c r="BB26" s="83">
        <v>0</v>
      </c>
      <c r="BC26" s="83">
        <v>0</v>
      </c>
      <c r="BD26" s="83">
        <v>0</v>
      </c>
      <c r="BE26" s="5">
        <f t="shared" si="0"/>
        <v>162958</v>
      </c>
      <c r="BF26" s="5"/>
      <c r="BG26" s="5">
        <f t="shared" si="1"/>
        <v>162958</v>
      </c>
      <c r="BH26" s="66">
        <f>BE26-'TB 17.05.24'!BD22</f>
        <v>0</v>
      </c>
    </row>
    <row r="27" spans="1:60" ht="15" hidden="1" customHeight="1" x14ac:dyDescent="0.35">
      <c r="A27" s="3" t="s">
        <v>83</v>
      </c>
      <c r="B27" s="4" t="s">
        <v>84</v>
      </c>
      <c r="C27" s="4" t="s">
        <v>314</v>
      </c>
      <c r="D27" s="4" t="s">
        <v>319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6450</v>
      </c>
      <c r="N27" s="83">
        <v>0</v>
      </c>
      <c r="O27" s="83">
        <v>0</v>
      </c>
      <c r="P27" s="83">
        <v>0</v>
      </c>
      <c r="Q27" s="83">
        <v>0</v>
      </c>
      <c r="R27" s="83">
        <v>29500</v>
      </c>
      <c r="S27" s="83">
        <v>0</v>
      </c>
      <c r="T27" s="83">
        <v>0</v>
      </c>
      <c r="U27" s="83">
        <v>2950</v>
      </c>
      <c r="V27" s="83">
        <v>0</v>
      </c>
      <c r="W27" s="83">
        <v>0</v>
      </c>
      <c r="X27" s="83">
        <v>0</v>
      </c>
      <c r="Y27" s="83">
        <v>0</v>
      </c>
      <c r="Z27" s="83">
        <v>2000</v>
      </c>
      <c r="AA27" s="83">
        <v>0</v>
      </c>
      <c r="AB27" s="83">
        <v>0</v>
      </c>
      <c r="AC27" s="83">
        <v>0</v>
      </c>
      <c r="AD27" s="83">
        <v>0</v>
      </c>
      <c r="AE27" s="83">
        <v>0</v>
      </c>
      <c r="AF27" s="83">
        <v>0</v>
      </c>
      <c r="AG27" s="83">
        <v>0</v>
      </c>
      <c r="AH27" s="83">
        <v>0</v>
      </c>
      <c r="AI27" s="83">
        <v>0</v>
      </c>
      <c r="AJ27" s="83">
        <v>0</v>
      </c>
      <c r="AK27" s="83">
        <v>0</v>
      </c>
      <c r="AL27" s="83">
        <v>0</v>
      </c>
      <c r="AM27" s="83">
        <v>0</v>
      </c>
      <c r="AN27" s="83">
        <v>0</v>
      </c>
      <c r="AO27" s="83">
        <v>0</v>
      </c>
      <c r="AP27" s="83">
        <v>0</v>
      </c>
      <c r="AQ27" s="83">
        <v>0</v>
      </c>
      <c r="AR27" s="83">
        <v>0</v>
      </c>
      <c r="AS27" s="83">
        <v>0</v>
      </c>
      <c r="AT27" s="83">
        <v>0</v>
      </c>
      <c r="AU27" s="83">
        <v>0</v>
      </c>
      <c r="AV27" s="83">
        <v>0</v>
      </c>
      <c r="AW27" s="83">
        <v>0</v>
      </c>
      <c r="AX27" s="83">
        <v>0</v>
      </c>
      <c r="AY27" s="83">
        <v>0</v>
      </c>
      <c r="AZ27" s="83">
        <v>0</v>
      </c>
      <c r="BA27" s="83">
        <v>0</v>
      </c>
      <c r="BB27" s="83">
        <v>0</v>
      </c>
      <c r="BC27" s="83">
        <v>0</v>
      </c>
      <c r="BD27" s="83">
        <v>0</v>
      </c>
      <c r="BE27" s="5">
        <f t="shared" si="0"/>
        <v>40900</v>
      </c>
      <c r="BF27" s="5"/>
      <c r="BG27" s="5">
        <f t="shared" si="1"/>
        <v>40900</v>
      </c>
      <c r="BH27" s="66">
        <f>BE27-'TB 17.05.24'!BD23</f>
        <v>0</v>
      </c>
    </row>
    <row r="28" spans="1:60" ht="15" hidden="1" customHeight="1" x14ac:dyDescent="0.35">
      <c r="A28" s="3" t="s">
        <v>85</v>
      </c>
      <c r="B28" s="4" t="s">
        <v>86</v>
      </c>
      <c r="C28" s="4" t="s">
        <v>314</v>
      </c>
      <c r="D28" s="4" t="s">
        <v>291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600</v>
      </c>
      <c r="O28" s="83">
        <v>0</v>
      </c>
      <c r="P28" s="83">
        <v>0</v>
      </c>
      <c r="Q28" s="83">
        <v>0</v>
      </c>
      <c r="R28" s="83">
        <v>3498</v>
      </c>
      <c r="S28" s="83">
        <v>2920</v>
      </c>
      <c r="T28" s="83">
        <v>0</v>
      </c>
      <c r="U28" s="83">
        <v>0</v>
      </c>
      <c r="V28" s="83">
        <v>0</v>
      </c>
      <c r="W28" s="83">
        <v>65940</v>
      </c>
      <c r="X28" s="83">
        <v>12717</v>
      </c>
      <c r="Y28" s="83">
        <v>13150</v>
      </c>
      <c r="Z28" s="83">
        <v>0</v>
      </c>
      <c r="AA28" s="83">
        <v>0</v>
      </c>
      <c r="AB28" s="83">
        <v>0</v>
      </c>
      <c r="AC28" s="83">
        <v>0</v>
      </c>
      <c r="AD28" s="83">
        <v>0</v>
      </c>
      <c r="AE28" s="83">
        <v>0</v>
      </c>
      <c r="AF28" s="83">
        <v>15482</v>
      </c>
      <c r="AG28" s="83">
        <v>0</v>
      </c>
      <c r="AH28" s="83">
        <v>0</v>
      </c>
      <c r="AI28" s="83">
        <f>29396/5</f>
        <v>5879.2</v>
      </c>
      <c r="AJ28" s="83">
        <f>8381+(29396/5)</f>
        <v>14260.2</v>
      </c>
      <c r="AK28" s="83">
        <v>0</v>
      </c>
      <c r="AL28" s="83">
        <v>0</v>
      </c>
      <c r="AM28" s="83">
        <f>29396*0</f>
        <v>0</v>
      </c>
      <c r="AN28" s="83">
        <v>0</v>
      </c>
      <c r="AO28" s="83">
        <f>29396/5</f>
        <v>5879.2</v>
      </c>
      <c r="AP28" s="83">
        <f>29396/5</f>
        <v>5879.2</v>
      </c>
      <c r="AQ28" s="83">
        <v>0</v>
      </c>
      <c r="AR28" s="83">
        <f>950+(29396/5)</f>
        <v>6829.2</v>
      </c>
      <c r="AS28" s="83">
        <v>0</v>
      </c>
      <c r="AT28" s="83">
        <v>0</v>
      </c>
      <c r="AU28" s="83">
        <v>0</v>
      </c>
      <c r="AV28" s="83">
        <v>0</v>
      </c>
      <c r="AW28" s="83">
        <v>0</v>
      </c>
      <c r="AX28" s="83">
        <v>0</v>
      </c>
      <c r="AY28" s="83">
        <v>0</v>
      </c>
      <c r="AZ28" s="83">
        <v>0</v>
      </c>
      <c r="BA28" s="83">
        <v>0</v>
      </c>
      <c r="BB28" s="83">
        <v>0</v>
      </c>
      <c r="BC28" s="83">
        <v>0</v>
      </c>
      <c r="BD28" s="83">
        <v>0</v>
      </c>
      <c r="BE28" s="5">
        <f t="shared" si="0"/>
        <v>153034.00000000003</v>
      </c>
      <c r="BF28" s="5"/>
      <c r="BG28" s="5">
        <f t="shared" si="1"/>
        <v>153034.00000000003</v>
      </c>
      <c r="BH28" s="66">
        <f>BE28-'TB 17.05.24'!BD24</f>
        <v>0</v>
      </c>
    </row>
    <row r="29" spans="1:60" ht="15" hidden="1" customHeight="1" x14ac:dyDescent="0.35">
      <c r="A29" s="3" t="s">
        <v>88</v>
      </c>
      <c r="B29" s="4" t="s">
        <v>89</v>
      </c>
      <c r="C29" s="4" t="s">
        <v>314</v>
      </c>
      <c r="D29" s="4" t="s">
        <v>300</v>
      </c>
      <c r="E29" s="83">
        <v>52394</v>
      </c>
      <c r="F29" s="83">
        <v>14795</v>
      </c>
      <c r="G29" s="83">
        <v>0</v>
      </c>
      <c r="H29" s="83">
        <v>14795</v>
      </c>
      <c r="I29" s="83">
        <v>14796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  <c r="R29" s="83">
        <v>0</v>
      </c>
      <c r="S29" s="83">
        <v>0</v>
      </c>
      <c r="T29" s="83">
        <v>0</v>
      </c>
      <c r="U29" s="83">
        <v>0</v>
      </c>
      <c r="V29" s="83">
        <v>0</v>
      </c>
      <c r="W29" s="83">
        <v>0</v>
      </c>
      <c r="X29" s="83">
        <v>0</v>
      </c>
      <c r="Y29" s="83">
        <v>0</v>
      </c>
      <c r="Z29" s="83">
        <v>0</v>
      </c>
      <c r="AA29" s="83">
        <v>0</v>
      </c>
      <c r="AB29" s="83">
        <v>0</v>
      </c>
      <c r="AC29" s="83">
        <v>0</v>
      </c>
      <c r="AD29" s="83">
        <v>0</v>
      </c>
      <c r="AE29" s="83">
        <v>0</v>
      </c>
      <c r="AF29" s="83">
        <v>0</v>
      </c>
      <c r="AG29" s="83">
        <v>0</v>
      </c>
      <c r="AH29" s="83">
        <v>0</v>
      </c>
      <c r="AI29" s="83">
        <v>0</v>
      </c>
      <c r="AJ29" s="83">
        <v>0</v>
      </c>
      <c r="AK29" s="83">
        <v>0</v>
      </c>
      <c r="AL29" s="83">
        <v>0</v>
      </c>
      <c r="AM29" s="83">
        <v>0</v>
      </c>
      <c r="AN29" s="83">
        <v>0</v>
      </c>
      <c r="AO29" s="83">
        <v>0</v>
      </c>
      <c r="AP29" s="83">
        <v>0</v>
      </c>
      <c r="AQ29" s="83">
        <v>0</v>
      </c>
      <c r="AR29" s="83">
        <v>0</v>
      </c>
      <c r="AS29" s="83">
        <v>0</v>
      </c>
      <c r="AT29" s="83">
        <v>0</v>
      </c>
      <c r="AU29" s="83">
        <v>0</v>
      </c>
      <c r="AV29" s="83">
        <v>0</v>
      </c>
      <c r="AW29" s="83">
        <v>0</v>
      </c>
      <c r="AX29" s="83">
        <v>0</v>
      </c>
      <c r="AY29" s="83">
        <v>0</v>
      </c>
      <c r="AZ29" s="83">
        <v>0</v>
      </c>
      <c r="BA29" s="83">
        <v>0</v>
      </c>
      <c r="BB29" s="83">
        <v>0</v>
      </c>
      <c r="BC29" s="83">
        <v>0</v>
      </c>
      <c r="BD29" s="83">
        <v>0</v>
      </c>
      <c r="BE29" s="5">
        <f t="shared" si="0"/>
        <v>96780</v>
      </c>
      <c r="BF29" s="5"/>
      <c r="BG29" s="5">
        <f t="shared" si="1"/>
        <v>96780</v>
      </c>
      <c r="BH29" s="66">
        <f>BE29-'TB 17.05.24'!BD25</f>
        <v>0</v>
      </c>
    </row>
    <row r="30" spans="1:60" ht="15" hidden="1" customHeight="1" x14ac:dyDescent="0.35">
      <c r="A30" s="3" t="s">
        <v>90</v>
      </c>
      <c r="B30" s="4" t="s">
        <v>91</v>
      </c>
      <c r="C30" s="4" t="s">
        <v>314</v>
      </c>
      <c r="D30" s="4" t="s">
        <v>300</v>
      </c>
      <c r="E30" s="83">
        <v>9925</v>
      </c>
      <c r="F30" s="83">
        <v>3575</v>
      </c>
      <c r="G30" s="83">
        <v>0</v>
      </c>
      <c r="H30" s="83">
        <v>7106</v>
      </c>
      <c r="I30" s="83">
        <v>8675</v>
      </c>
      <c r="J30" s="83">
        <v>5650</v>
      </c>
      <c r="K30" s="83">
        <v>14078</v>
      </c>
      <c r="L30" s="83">
        <v>0</v>
      </c>
      <c r="M30" s="83">
        <v>18650</v>
      </c>
      <c r="N30" s="83">
        <v>8780</v>
      </c>
      <c r="O30" s="83">
        <v>0</v>
      </c>
      <c r="P30" s="83">
        <v>0</v>
      </c>
      <c r="Q30" s="83">
        <v>0</v>
      </c>
      <c r="R30" s="83">
        <v>31658</v>
      </c>
      <c r="S30" s="83">
        <v>71556</v>
      </c>
      <c r="T30" s="83">
        <v>0</v>
      </c>
      <c r="U30" s="83">
        <v>58040</v>
      </c>
      <c r="V30" s="83">
        <v>0</v>
      </c>
      <c r="W30" s="83">
        <v>2045</v>
      </c>
      <c r="X30" s="83">
        <v>2325</v>
      </c>
      <c r="Y30" s="83">
        <v>4820</v>
      </c>
      <c r="Z30" s="83">
        <v>55402</v>
      </c>
      <c r="AA30" s="83">
        <v>50470</v>
      </c>
      <c r="AB30" s="83">
        <v>0</v>
      </c>
      <c r="AC30" s="83">
        <v>111861</v>
      </c>
      <c r="AD30" s="83">
        <v>85970</v>
      </c>
      <c r="AE30" s="83">
        <v>42878</v>
      </c>
      <c r="AF30" s="83">
        <v>29600</v>
      </c>
      <c r="AG30" s="83">
        <v>33370</v>
      </c>
      <c r="AH30" s="83">
        <v>11146</v>
      </c>
      <c r="AI30" s="83">
        <f>3010+(3520/5)</f>
        <v>3714</v>
      </c>
      <c r="AJ30" s="83">
        <f>1800+(3520/5)</f>
        <v>2504</v>
      </c>
      <c r="AK30" s="83">
        <v>0</v>
      </c>
      <c r="AL30" s="83">
        <v>0</v>
      </c>
      <c r="AM30" s="83">
        <f>3520*0</f>
        <v>0</v>
      </c>
      <c r="AN30" s="83">
        <v>0</v>
      </c>
      <c r="AO30" s="83">
        <f>8360+(3520/5)</f>
        <v>9064</v>
      </c>
      <c r="AP30" s="83">
        <f>+(704)</f>
        <v>704</v>
      </c>
      <c r="AQ30" s="83">
        <v>0</v>
      </c>
      <c r="AR30" s="83">
        <f>7120+(3520/5)</f>
        <v>7824</v>
      </c>
      <c r="AS30" s="83">
        <v>13793</v>
      </c>
      <c r="AT30" s="83">
        <v>36010</v>
      </c>
      <c r="AU30" s="83">
        <v>0</v>
      </c>
      <c r="AV30" s="83">
        <v>30830</v>
      </c>
      <c r="AW30" s="83">
        <v>31259</v>
      </c>
      <c r="AX30" s="83">
        <v>0</v>
      </c>
      <c r="AY30" s="83">
        <v>0</v>
      </c>
      <c r="AZ30" s="83">
        <v>0</v>
      </c>
      <c r="BA30" s="83">
        <v>2069</v>
      </c>
      <c r="BB30" s="83">
        <v>919</v>
      </c>
      <c r="BC30" s="83">
        <v>4470</v>
      </c>
      <c r="BD30" s="83">
        <v>800</v>
      </c>
      <c r="BE30" s="5">
        <f t="shared" si="0"/>
        <v>811540</v>
      </c>
      <c r="BF30" s="5"/>
      <c r="BG30" s="5">
        <f t="shared" si="1"/>
        <v>811540</v>
      </c>
      <c r="BH30" s="66">
        <f>BE30-'TB 17.05.24'!BD26</f>
        <v>0</v>
      </c>
    </row>
    <row r="31" spans="1:60" ht="15" hidden="1" customHeight="1" x14ac:dyDescent="0.35">
      <c r="A31" s="3" t="s">
        <v>92</v>
      </c>
      <c r="B31" s="4" t="s">
        <v>93</v>
      </c>
      <c r="C31" s="4" t="s">
        <v>314</v>
      </c>
      <c r="D31" s="4" t="s">
        <v>300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  <c r="R31" s="83">
        <v>0</v>
      </c>
      <c r="S31" s="83">
        <v>0</v>
      </c>
      <c r="T31" s="83">
        <v>0</v>
      </c>
      <c r="U31" s="83">
        <v>0</v>
      </c>
      <c r="V31" s="83">
        <v>0</v>
      </c>
      <c r="W31" s="83">
        <v>1250</v>
      </c>
      <c r="X31" s="83">
        <v>0</v>
      </c>
      <c r="Y31" s="83">
        <v>0</v>
      </c>
      <c r="Z31" s="83">
        <v>5625</v>
      </c>
      <c r="AA31" s="83">
        <v>0</v>
      </c>
      <c r="AB31" s="83">
        <v>0</v>
      </c>
      <c r="AC31" s="83">
        <v>5625</v>
      </c>
      <c r="AD31" s="83">
        <v>5625</v>
      </c>
      <c r="AE31" s="83">
        <v>5626</v>
      </c>
      <c r="AF31" s="83">
        <v>5625</v>
      </c>
      <c r="AG31" s="83">
        <v>30000</v>
      </c>
      <c r="AH31" s="83">
        <v>11250</v>
      </c>
      <c r="AI31" s="83">
        <v>0</v>
      </c>
      <c r="AJ31" s="83">
        <v>0</v>
      </c>
      <c r="AK31" s="83">
        <v>0</v>
      </c>
      <c r="AL31" s="83">
        <v>0</v>
      </c>
      <c r="AM31" s="83">
        <v>0</v>
      </c>
      <c r="AN31" s="83">
        <v>0</v>
      </c>
      <c r="AO31" s="83">
        <v>0</v>
      </c>
      <c r="AP31" s="83">
        <v>0</v>
      </c>
      <c r="AQ31" s="83">
        <v>0</v>
      </c>
      <c r="AR31" s="83">
        <v>0</v>
      </c>
      <c r="AS31" s="83">
        <v>9000</v>
      </c>
      <c r="AT31" s="83">
        <v>9000</v>
      </c>
      <c r="AU31" s="83">
        <v>0</v>
      </c>
      <c r="AV31" s="83">
        <v>9000</v>
      </c>
      <c r="AW31" s="83">
        <v>9000</v>
      </c>
      <c r="AX31" s="83">
        <v>0</v>
      </c>
      <c r="AY31" s="83">
        <v>0</v>
      </c>
      <c r="AZ31" s="83">
        <v>0</v>
      </c>
      <c r="BA31" s="83">
        <v>0</v>
      </c>
      <c r="BB31" s="83">
        <v>0</v>
      </c>
      <c r="BC31" s="83">
        <v>0</v>
      </c>
      <c r="BD31" s="83">
        <v>0</v>
      </c>
      <c r="BE31" s="5">
        <f t="shared" si="0"/>
        <v>106626</v>
      </c>
      <c r="BF31" s="5"/>
      <c r="BG31" s="5">
        <f t="shared" si="1"/>
        <v>106626</v>
      </c>
      <c r="BH31" s="66">
        <f>BE31-'TB 17.05.24'!BD27</f>
        <v>0</v>
      </c>
    </row>
    <row r="32" spans="1:60" ht="15" hidden="1" customHeight="1" x14ac:dyDescent="0.35">
      <c r="A32" s="3" t="s">
        <v>542</v>
      </c>
      <c r="B32" s="4" t="s">
        <v>543</v>
      </c>
      <c r="C32" s="4" t="s">
        <v>314</v>
      </c>
      <c r="D32" s="4" t="s">
        <v>300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1475</v>
      </c>
      <c r="K32" s="83">
        <v>1475</v>
      </c>
      <c r="L32" s="83">
        <v>0</v>
      </c>
      <c r="M32" s="83">
        <v>1475</v>
      </c>
      <c r="N32" s="83">
        <v>1475</v>
      </c>
      <c r="O32" s="83">
        <v>0</v>
      </c>
      <c r="P32" s="83">
        <v>0</v>
      </c>
      <c r="Q32" s="83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984</v>
      </c>
      <c r="X32" s="83">
        <v>984</v>
      </c>
      <c r="Y32" s="83">
        <v>984</v>
      </c>
      <c r="Z32" s="83">
        <v>0</v>
      </c>
      <c r="AA32" s="83">
        <v>0</v>
      </c>
      <c r="AB32" s="83">
        <v>0</v>
      </c>
      <c r="AC32" s="83">
        <v>0</v>
      </c>
      <c r="AD32" s="83">
        <v>0</v>
      </c>
      <c r="AE32" s="83">
        <v>0</v>
      </c>
      <c r="AF32" s="83">
        <v>0</v>
      </c>
      <c r="AG32" s="83">
        <v>0</v>
      </c>
      <c r="AH32" s="83">
        <v>0</v>
      </c>
      <c r="AI32" s="83">
        <v>0</v>
      </c>
      <c r="AJ32" s="83">
        <v>0</v>
      </c>
      <c r="AK32" s="83">
        <v>0</v>
      </c>
      <c r="AL32" s="83">
        <v>0</v>
      </c>
      <c r="AM32" s="83">
        <v>0</v>
      </c>
      <c r="AN32" s="83">
        <v>0</v>
      </c>
      <c r="AO32" s="83">
        <v>0</v>
      </c>
      <c r="AP32" s="83">
        <v>0</v>
      </c>
      <c r="AQ32" s="83">
        <v>0</v>
      </c>
      <c r="AR32" s="83">
        <v>0</v>
      </c>
      <c r="AS32" s="83">
        <v>0</v>
      </c>
      <c r="AT32" s="83">
        <v>0</v>
      </c>
      <c r="AU32" s="83">
        <v>0</v>
      </c>
      <c r="AV32" s="83">
        <v>0</v>
      </c>
      <c r="AW32" s="83">
        <v>0</v>
      </c>
      <c r="AX32" s="83">
        <v>0</v>
      </c>
      <c r="AY32" s="83">
        <v>0</v>
      </c>
      <c r="AZ32" s="83">
        <v>0</v>
      </c>
      <c r="BA32" s="83">
        <v>0</v>
      </c>
      <c r="BB32" s="83">
        <v>0</v>
      </c>
      <c r="BC32" s="83">
        <v>0</v>
      </c>
      <c r="BD32" s="83">
        <v>0</v>
      </c>
      <c r="BE32" s="5">
        <f t="shared" si="0"/>
        <v>8852</v>
      </c>
      <c r="BF32" s="5"/>
      <c r="BG32" s="5">
        <f t="shared" si="1"/>
        <v>8852</v>
      </c>
      <c r="BH32" s="66">
        <f>BE32-'TB 17.05.24'!BD28</f>
        <v>0</v>
      </c>
    </row>
    <row r="33" spans="1:67" ht="15" hidden="1" customHeight="1" x14ac:dyDescent="0.35">
      <c r="A33" s="3" t="s">
        <v>94</v>
      </c>
      <c r="B33" s="4" t="s">
        <v>95</v>
      </c>
      <c r="C33" s="4" t="s">
        <v>314</v>
      </c>
      <c r="D33" s="4" t="s">
        <v>289</v>
      </c>
      <c r="E33" s="83">
        <f>'Manpower Cost'!C87</f>
        <v>447364.5</v>
      </c>
      <c r="F33" s="83">
        <f>'Manpower Cost'!D87</f>
        <v>500169.5</v>
      </c>
      <c r="G33" s="83">
        <f>SUM('Manpower Cost'!E87+'Manpower Cost'!F87+'Manpower Cost'!H87+'Manpower Cost'!J87)</f>
        <v>0</v>
      </c>
      <c r="H33" s="83">
        <f>'Manpower Cost'!G87</f>
        <v>523244.5</v>
      </c>
      <c r="I33" s="83">
        <f>'Manpower Cost'!I87</f>
        <v>345437.5</v>
      </c>
      <c r="J33" s="83">
        <f>'Manpower Cost'!K87</f>
        <v>547307</v>
      </c>
      <c r="K33" s="83">
        <f>'Manpower Cost'!L87</f>
        <v>619852</v>
      </c>
      <c r="L33" s="83">
        <f>SUM('Manpower Cost'!N87+'Manpower Cost'!Q87)</f>
        <v>0</v>
      </c>
      <c r="M33" s="83">
        <f>'Manpower Cost'!M87</f>
        <v>578858</v>
      </c>
      <c r="N33" s="83">
        <f>'Manpower Cost'!P87</f>
        <v>674925</v>
      </c>
      <c r="O33" s="409">
        <f>SUM('Manpower Cost'!AO87+'Manpower Cost'!AP87+'Manpower Cost'!AQ87+'Manpower Cost'!AR87+'Manpower Cost'!AS87+'Manpower Cost'!AT87+'Manpower Cost'!AU87+'Manpower Cost'!AV87+'Manpower Cost'!AW87+'Manpower Cost'!BB87+'Manpower Cost'!BD87+'Manpower Cost'!BG87+'Manpower Cost'!BI87+'Manpower Cost'!BJ87)</f>
        <v>3050629</v>
      </c>
      <c r="P33" s="83">
        <v>0</v>
      </c>
      <c r="Q33" s="83">
        <f>SUM('Manpower Cost'!AJ87+'Manpower Cost'!AK87+'Manpower Cost'!AN87)</f>
        <v>0</v>
      </c>
      <c r="R33" s="83">
        <f>'Manpower Cost'!AH87+'Manpower Cost'!AL87</f>
        <v>663009.66666666663</v>
      </c>
      <c r="S33" s="83">
        <f>'Manpower Cost'!AI87</f>
        <v>474870.66666666669</v>
      </c>
      <c r="T33" s="83">
        <f>'Manpower Cost'!AL87*0</f>
        <v>0</v>
      </c>
      <c r="U33" s="83">
        <f>'Manpower Cost'!AM87</f>
        <v>746777.66666666663</v>
      </c>
      <c r="V33" s="83">
        <f>SUM('Manpower Cost'!AB87+'Manpower Cost'!AC87+'Manpower Cost'!AE87+'Manpower Cost'!AF87+'Manpower Cost'!AG87)</f>
        <v>0</v>
      </c>
      <c r="W33" s="83">
        <f>'Manpower Cost'!Z87</f>
        <v>678186.66666666663</v>
      </c>
      <c r="X33" s="83">
        <f>'Manpower Cost'!AA87</f>
        <v>948894.66666666663</v>
      </c>
      <c r="Y33" s="83">
        <f>'Manpower Cost'!AD87</f>
        <v>707074.66666666663</v>
      </c>
      <c r="Z33" s="409">
        <f>'Manpower Cost'!AX87</f>
        <v>436636.5</v>
      </c>
      <c r="AA33" s="409">
        <f>'Manpower Cost'!AY87</f>
        <v>477942.5</v>
      </c>
      <c r="AB33" s="409">
        <v>0</v>
      </c>
      <c r="AC33" s="409">
        <f>'Manpower Cost'!AZ87</f>
        <v>752810.5</v>
      </c>
      <c r="AD33" s="409">
        <f>'Manpower Cost'!BA87</f>
        <v>1065274.5</v>
      </c>
      <c r="AE33" s="409">
        <f>'Manpower Cost'!BC87</f>
        <v>336819.5</v>
      </c>
      <c r="AF33" s="409">
        <f>'Manpower Cost'!BE87</f>
        <v>889299.5</v>
      </c>
      <c r="AG33" s="409">
        <f>'Manpower Cost'!BF87</f>
        <v>418349.5</v>
      </c>
      <c r="AH33" s="409">
        <f>'Manpower Cost'!BH87</f>
        <v>433942.5</v>
      </c>
      <c r="AI33" s="83">
        <f>'Manpower Cost'!R87</f>
        <v>782242</v>
      </c>
      <c r="AJ33" s="83">
        <f>'Manpower Cost'!S87</f>
        <v>1113266</v>
      </c>
      <c r="AK33" s="83">
        <v>0</v>
      </c>
      <c r="AL33" s="83">
        <v>0</v>
      </c>
      <c r="AM33" s="83">
        <f>SUM('Manpower Cost'!X87+'Manpower Cost'!Y87)</f>
        <v>0</v>
      </c>
      <c r="AN33" s="83">
        <f>'Manpower Cost'!T87</f>
        <v>0</v>
      </c>
      <c r="AO33" s="83">
        <f>'Manpower Cost'!U87</f>
        <v>1635211</v>
      </c>
      <c r="AP33" s="83">
        <f>'Manpower Cost'!V87</f>
        <v>541898</v>
      </c>
      <c r="AQ33" s="83">
        <f>'Manpower Cost'!O87</f>
        <v>0</v>
      </c>
      <c r="AR33" s="83">
        <f>'Manpower Cost'!W87</f>
        <v>978159</v>
      </c>
      <c r="AS33" s="83">
        <f>'Manpower Cost'!BK87</f>
        <v>508675.25</v>
      </c>
      <c r="AT33" s="83">
        <f>'Manpower Cost'!BL87</f>
        <v>633602.25</v>
      </c>
      <c r="AU33" s="83">
        <f>SUM('Manpower Cost'!BN87+'Manpower Cost'!BO87+'Manpower Cost'!BQ87)</f>
        <v>0</v>
      </c>
      <c r="AV33" s="83">
        <f>'Manpower Cost'!BM87</f>
        <v>670765.25</v>
      </c>
      <c r="AW33" s="83">
        <f>'Manpower Cost'!BP87</f>
        <v>438791.25</v>
      </c>
      <c r="AX33" s="83">
        <f>'Manpower Cost'!BS87</f>
        <v>581068.19999999995</v>
      </c>
      <c r="AY33" s="83">
        <v>0</v>
      </c>
      <c r="AZ33" s="83">
        <f>SUM('Manpower Cost'!BU87+'Manpower Cost'!BX87+'Manpower Cost'!BZ87)</f>
        <v>0</v>
      </c>
      <c r="BA33" s="83">
        <f>'Manpower Cost'!BT87</f>
        <v>1122332.2</v>
      </c>
      <c r="BB33" s="83">
        <f>'Manpower Cost'!BV87</f>
        <v>527882.19999999995</v>
      </c>
      <c r="BC33" s="83">
        <f>'Manpower Cost'!BW87</f>
        <v>1135476.2</v>
      </c>
      <c r="BD33" s="83">
        <f>'Manpower Cost'!BY87</f>
        <v>521162.2</v>
      </c>
      <c r="BE33" s="5">
        <f t="shared" si="0"/>
        <v>27508206.999999996</v>
      </c>
      <c r="BF33" s="346">
        <v>-3727194</v>
      </c>
      <c r="BG33" s="5">
        <f t="shared" si="1"/>
        <v>23781012.999999996</v>
      </c>
      <c r="BH33" s="66">
        <f>BE33-'TB 17.05.24'!BD29</f>
        <v>-1135524.0000000037</v>
      </c>
    </row>
    <row r="34" spans="1:67" ht="15" hidden="1" customHeight="1" x14ac:dyDescent="0.35">
      <c r="A34" s="3" t="s">
        <v>96</v>
      </c>
      <c r="B34" s="4" t="s">
        <v>97</v>
      </c>
      <c r="C34" s="4" t="s">
        <v>314</v>
      </c>
      <c r="D34" s="4" t="s">
        <v>289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1091329</v>
      </c>
      <c r="P34" s="83">
        <v>0</v>
      </c>
      <c r="Q34" s="83">
        <v>0</v>
      </c>
      <c r="R34" s="83">
        <v>0</v>
      </c>
      <c r="S34" s="83">
        <v>0</v>
      </c>
      <c r="T34" s="83">
        <v>0</v>
      </c>
      <c r="U34" s="83">
        <v>0</v>
      </c>
      <c r="V34" s="83">
        <v>0</v>
      </c>
      <c r="W34" s="83">
        <v>0</v>
      </c>
      <c r="X34" s="83">
        <v>0</v>
      </c>
      <c r="Y34" s="83">
        <v>0</v>
      </c>
      <c r="Z34" s="83">
        <v>0</v>
      </c>
      <c r="AA34" s="83">
        <v>0</v>
      </c>
      <c r="AB34" s="83">
        <v>0</v>
      </c>
      <c r="AC34" s="83">
        <v>0</v>
      </c>
      <c r="AD34" s="83">
        <v>0</v>
      </c>
      <c r="AE34" s="83">
        <v>0</v>
      </c>
      <c r="AF34" s="83">
        <v>0</v>
      </c>
      <c r="AG34" s="83">
        <v>0</v>
      </c>
      <c r="AH34" s="83">
        <v>0</v>
      </c>
      <c r="AI34" s="83">
        <v>0</v>
      </c>
      <c r="AJ34" s="83">
        <v>0</v>
      </c>
      <c r="AK34" s="83">
        <v>0</v>
      </c>
      <c r="AL34" s="83">
        <v>0</v>
      </c>
      <c r="AM34" s="83">
        <v>0</v>
      </c>
      <c r="AN34" s="83">
        <v>0</v>
      </c>
      <c r="AO34" s="83">
        <v>0</v>
      </c>
      <c r="AP34" s="83">
        <v>0</v>
      </c>
      <c r="AQ34" s="83">
        <v>0</v>
      </c>
      <c r="AR34" s="83">
        <v>0</v>
      </c>
      <c r="AS34" s="83">
        <v>0</v>
      </c>
      <c r="AT34" s="83">
        <v>0</v>
      </c>
      <c r="AU34" s="83">
        <v>0</v>
      </c>
      <c r="AV34" s="83">
        <v>0</v>
      </c>
      <c r="AW34" s="83">
        <v>0</v>
      </c>
      <c r="AX34" s="83">
        <v>0</v>
      </c>
      <c r="AY34" s="83">
        <v>0</v>
      </c>
      <c r="AZ34" s="83">
        <v>0</v>
      </c>
      <c r="BA34" s="83">
        <v>0</v>
      </c>
      <c r="BB34" s="83">
        <v>0</v>
      </c>
      <c r="BC34" s="83">
        <v>0</v>
      </c>
      <c r="BD34" s="83">
        <v>0</v>
      </c>
      <c r="BE34" s="5">
        <f t="shared" si="0"/>
        <v>1091329</v>
      </c>
      <c r="BF34" s="5"/>
      <c r="BG34" s="5">
        <f t="shared" si="1"/>
        <v>1091329</v>
      </c>
      <c r="BH34" s="66">
        <f>BE34-'TB 17.05.24'!BD30</f>
        <v>0</v>
      </c>
      <c r="BI34">
        <v>8240381</v>
      </c>
      <c r="BJ34">
        <v>-5107316</v>
      </c>
      <c r="BK34">
        <v>3133065</v>
      </c>
    </row>
    <row r="35" spans="1:67" ht="15" hidden="1" customHeight="1" x14ac:dyDescent="0.35">
      <c r="A35" s="3" t="s">
        <v>309</v>
      </c>
      <c r="B35" s="4" t="s">
        <v>310</v>
      </c>
      <c r="C35" s="4" t="s">
        <v>314</v>
      </c>
      <c r="D35" s="4" t="s">
        <v>289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0</v>
      </c>
      <c r="L35" s="83">
        <v>0</v>
      </c>
      <c r="M35" s="83">
        <v>0</v>
      </c>
      <c r="N35" s="83">
        <v>0</v>
      </c>
      <c r="O35" s="83">
        <v>0</v>
      </c>
      <c r="P35" s="83">
        <v>0</v>
      </c>
      <c r="Q35" s="83">
        <v>0</v>
      </c>
      <c r="R35" s="83">
        <v>0</v>
      </c>
      <c r="S35" s="83">
        <v>0</v>
      </c>
      <c r="T35" s="83">
        <v>0</v>
      </c>
      <c r="U35" s="83">
        <v>0</v>
      </c>
      <c r="V35" s="83">
        <v>0</v>
      </c>
      <c r="W35" s="83">
        <v>0</v>
      </c>
      <c r="X35" s="83">
        <v>0</v>
      </c>
      <c r="Y35" s="83">
        <v>0</v>
      </c>
      <c r="Z35" s="83">
        <v>0</v>
      </c>
      <c r="AA35" s="83">
        <v>0</v>
      </c>
      <c r="AB35" s="83">
        <v>0</v>
      </c>
      <c r="AC35" s="83">
        <v>0</v>
      </c>
      <c r="AD35" s="83">
        <v>0</v>
      </c>
      <c r="AE35" s="83">
        <v>0</v>
      </c>
      <c r="AF35" s="83">
        <v>0</v>
      </c>
      <c r="AG35" s="83">
        <v>0</v>
      </c>
      <c r="AH35" s="83">
        <v>0</v>
      </c>
      <c r="AI35" s="83">
        <v>0</v>
      </c>
      <c r="AJ35" s="83">
        <v>0</v>
      </c>
      <c r="AK35" s="83">
        <v>0</v>
      </c>
      <c r="AL35" s="83">
        <v>0</v>
      </c>
      <c r="AM35" s="83">
        <v>0</v>
      </c>
      <c r="AN35" s="83">
        <v>0</v>
      </c>
      <c r="AO35" s="83">
        <v>0</v>
      </c>
      <c r="AP35" s="83">
        <v>0</v>
      </c>
      <c r="AQ35" s="83">
        <v>0</v>
      </c>
      <c r="AR35" s="83">
        <v>0</v>
      </c>
      <c r="AS35" s="83">
        <v>0</v>
      </c>
      <c r="AT35" s="83">
        <v>0</v>
      </c>
      <c r="AU35" s="83">
        <v>0</v>
      </c>
      <c r="AV35" s="83">
        <v>0</v>
      </c>
      <c r="AW35" s="83">
        <v>0</v>
      </c>
      <c r="AX35" s="83">
        <v>0</v>
      </c>
      <c r="AY35" s="83">
        <v>0</v>
      </c>
      <c r="AZ35" s="83">
        <v>0</v>
      </c>
      <c r="BA35" s="83">
        <v>1172</v>
      </c>
      <c r="BB35" s="83">
        <v>3231</v>
      </c>
      <c r="BC35" s="83">
        <v>150</v>
      </c>
      <c r="BD35" s="83">
        <v>0</v>
      </c>
      <c r="BE35" s="5">
        <f t="shared" si="0"/>
        <v>4553</v>
      </c>
      <c r="BF35" s="5"/>
      <c r="BG35" s="5">
        <f t="shared" si="1"/>
        <v>4553</v>
      </c>
      <c r="BH35" s="66">
        <f>BE35-'TB 17.05.24'!BD31</f>
        <v>0</v>
      </c>
      <c r="BI35">
        <v>1635907</v>
      </c>
      <c r="BJ35">
        <v>-812400</v>
      </c>
      <c r="BK35">
        <v>823507</v>
      </c>
    </row>
    <row r="36" spans="1:67" ht="15" hidden="1" customHeight="1" x14ac:dyDescent="0.35">
      <c r="A36" s="3" t="s">
        <v>567</v>
      </c>
      <c r="B36" s="4" t="s">
        <v>568</v>
      </c>
      <c r="C36" s="4" t="s">
        <v>314</v>
      </c>
      <c r="D36" s="4" t="s">
        <v>291</v>
      </c>
      <c r="E36" s="83">
        <f>'Manpower Cost'!C94</f>
        <v>45062.152770411187</v>
      </c>
      <c r="F36" s="83">
        <f>'Manpower Cost'!D94</f>
        <v>53089.240560826882</v>
      </c>
      <c r="G36" s="83">
        <v>0</v>
      </c>
      <c r="H36" s="83">
        <f>'Manpower Cost'!G94</f>
        <v>55539.447333792843</v>
      </c>
      <c r="I36" s="83">
        <f>'Manpower Cost'!I94</f>
        <v>38225.305214691391</v>
      </c>
      <c r="J36" s="83">
        <f>'Manpower Cost'!K94</f>
        <v>49165.606899175196</v>
      </c>
      <c r="K36" s="83">
        <f>'Manpower Cost'!L94</f>
        <v>60204.381696601486</v>
      </c>
      <c r="L36" s="83">
        <v>0</v>
      </c>
      <c r="M36" s="83">
        <f>'Manpower Cost'!M94</f>
        <v>59579.29150140148</v>
      </c>
      <c r="N36" s="83">
        <f>'Manpower Cost'!P94</f>
        <v>63414.238197980761</v>
      </c>
      <c r="O36" s="83">
        <f>'Manpower Cost'!AW95</f>
        <v>134081.8350773858</v>
      </c>
      <c r="P36" s="83">
        <v>0</v>
      </c>
      <c r="Q36" s="83">
        <v>0</v>
      </c>
      <c r="R36" s="83">
        <f>'Manpower Cost'!AH94+'Manpower Cost'!AL94</f>
        <v>72057.853304210148</v>
      </c>
      <c r="S36" s="83">
        <f>'Manpower Cost'!AI94</f>
        <v>48147.847520689087</v>
      </c>
      <c r="T36" s="83">
        <f>'Manpower Cost'!AL94*0</f>
        <v>0</v>
      </c>
      <c r="U36" s="83">
        <f>'Manpower Cost'!AM94</f>
        <v>68290.186374237528</v>
      </c>
      <c r="V36" s="83">
        <v>0</v>
      </c>
      <c r="W36" s="83">
        <f>'Manpower Cost'!Z94</f>
        <v>62900.873190963917</v>
      </c>
      <c r="X36" s="83">
        <f>'Manpower Cost'!AA94</f>
        <v>91933.927384460738</v>
      </c>
      <c r="Y36" s="83">
        <f>'Manpower Cost'!AD94</f>
        <v>71455.189697879032</v>
      </c>
      <c r="Z36" s="83">
        <f>'Manpower Cost'!AX94</f>
        <v>41095.704711827988</v>
      </c>
      <c r="AA36" s="83">
        <f>'Manpower Cost'!AY94</f>
        <v>39340.314437636203</v>
      </c>
      <c r="AB36" s="83">
        <v>0</v>
      </c>
      <c r="AC36" s="83">
        <f>'Manpower Cost'!AZ94</f>
        <v>67928.098903045364</v>
      </c>
      <c r="AD36" s="83">
        <f>'Manpower Cost'!BA94</f>
        <v>87450.24063532881</v>
      </c>
      <c r="AE36" s="83">
        <f>'Manpower Cost'!BC94</f>
        <v>31161.5413552346</v>
      </c>
      <c r="AF36" s="83">
        <f>'Manpower Cost'!BE94</f>
        <v>65058.311040150613</v>
      </c>
      <c r="AG36" s="83">
        <f>'Manpower Cost'!BF94</f>
        <v>38617.362763735611</v>
      </c>
      <c r="AH36" s="83">
        <f>'Manpower Cost'!BH94</f>
        <v>43649.889305913326</v>
      </c>
      <c r="AI36" s="83">
        <f>'Manpower Cost'!R94</f>
        <v>76796.795410286111</v>
      </c>
      <c r="AJ36" s="83">
        <f>'Manpower Cost'!S94</f>
        <v>104522.17559464634</v>
      </c>
      <c r="AK36" s="83">
        <v>0</v>
      </c>
      <c r="AL36" s="83">
        <v>0</v>
      </c>
      <c r="AM36" s="83">
        <v>0</v>
      </c>
      <c r="AN36" s="83">
        <f>'Manpower Cost'!T94</f>
        <v>0</v>
      </c>
      <c r="AO36" s="83">
        <f>'Manpower Cost'!U94</f>
        <v>143038.00707423006</v>
      </c>
      <c r="AP36" s="83">
        <f>'Manpower Cost'!V94</f>
        <v>53689.253752109857</v>
      </c>
      <c r="AQ36" s="83">
        <v>0</v>
      </c>
      <c r="AR36" s="83">
        <f>'Manpower Cost'!W94</f>
        <v>92696.839162164077</v>
      </c>
      <c r="AS36" s="83">
        <f>'Manpower Cost'!BK94</f>
        <v>55752.907684208498</v>
      </c>
      <c r="AT36" s="83">
        <f>'Manpower Cost'!BL94</f>
        <v>66228.978979106396</v>
      </c>
      <c r="AU36" s="83">
        <v>0</v>
      </c>
      <c r="AV36" s="83">
        <f>'Manpower Cost'!BM94</f>
        <v>63561.03041603163</v>
      </c>
      <c r="AW36" s="83">
        <f>'Manpower Cost'!BP94</f>
        <v>43397.895998259315</v>
      </c>
      <c r="AX36" s="83">
        <f>'Manpower Cost'!BS94</f>
        <v>62082.098819169005</v>
      </c>
      <c r="AY36" s="83">
        <v>0</v>
      </c>
      <c r="AZ36" s="83">
        <v>0</v>
      </c>
      <c r="BA36" s="83">
        <f>'Manpower Cost'!BT94</f>
        <v>105503.23691861972</v>
      </c>
      <c r="BB36" s="83">
        <f>'Manpower Cost'!BV94</f>
        <v>52293.504412142735</v>
      </c>
      <c r="BC36" s="83">
        <f>'Manpower Cost'!BW94</f>
        <v>113304.02003954031</v>
      </c>
      <c r="BD36" s="83">
        <f>'Manpower Cost'!BY94</f>
        <v>58995.792434649215</v>
      </c>
      <c r="BE36" s="5">
        <f t="shared" si="0"/>
        <v>2479311.3765727431</v>
      </c>
      <c r="BF36" s="5"/>
      <c r="BG36" s="5">
        <f t="shared" si="1"/>
        <v>2479311.3765727431</v>
      </c>
      <c r="BH36" s="66">
        <f>BE36-'TB 17.05.24'!BD32</f>
        <v>384111.37657274306</v>
      </c>
      <c r="BI36">
        <v>2246890</v>
      </c>
      <c r="BJ36">
        <v>-2321015</v>
      </c>
      <c r="BK36">
        <v>-74125</v>
      </c>
      <c r="BO36" s="66"/>
    </row>
    <row r="37" spans="1:67" ht="15" hidden="1" customHeight="1" x14ac:dyDescent="0.35">
      <c r="A37" s="3" t="s">
        <v>569</v>
      </c>
      <c r="B37" s="4" t="s">
        <v>570</v>
      </c>
      <c r="C37" s="4" t="s">
        <v>314</v>
      </c>
      <c r="D37" s="4" t="s">
        <v>291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372415</v>
      </c>
      <c r="P37" s="83">
        <v>0</v>
      </c>
      <c r="Q37" s="83">
        <v>0</v>
      </c>
      <c r="R37" s="83">
        <v>0</v>
      </c>
      <c r="S37" s="83">
        <v>0</v>
      </c>
      <c r="T37" s="83">
        <v>0</v>
      </c>
      <c r="U37" s="83">
        <v>0</v>
      </c>
      <c r="V37" s="83">
        <v>0</v>
      </c>
      <c r="W37" s="83">
        <v>0</v>
      </c>
      <c r="X37" s="83">
        <v>0</v>
      </c>
      <c r="Y37" s="83">
        <v>0</v>
      </c>
      <c r="Z37" s="83">
        <v>0</v>
      </c>
      <c r="AA37" s="83">
        <v>0</v>
      </c>
      <c r="AB37" s="83">
        <v>0</v>
      </c>
      <c r="AC37" s="83">
        <v>0</v>
      </c>
      <c r="AD37" s="83">
        <v>0</v>
      </c>
      <c r="AE37" s="83">
        <v>0</v>
      </c>
      <c r="AF37" s="83">
        <v>0</v>
      </c>
      <c r="AG37" s="83">
        <v>0</v>
      </c>
      <c r="AH37" s="83">
        <v>0</v>
      </c>
      <c r="AI37" s="83">
        <v>0</v>
      </c>
      <c r="AJ37" s="83">
        <v>0</v>
      </c>
      <c r="AK37" s="83">
        <v>0</v>
      </c>
      <c r="AL37" s="83">
        <v>0</v>
      </c>
      <c r="AM37" s="83">
        <v>0</v>
      </c>
      <c r="AN37" s="83">
        <v>0</v>
      </c>
      <c r="AO37" s="83">
        <v>0</v>
      </c>
      <c r="AP37" s="83">
        <v>0</v>
      </c>
      <c r="AQ37" s="83">
        <v>0</v>
      </c>
      <c r="AR37" s="83">
        <v>0</v>
      </c>
      <c r="AS37" s="83">
        <v>0</v>
      </c>
      <c r="AT37" s="83">
        <v>0</v>
      </c>
      <c r="AU37" s="83">
        <v>0</v>
      </c>
      <c r="AV37" s="83">
        <v>0</v>
      </c>
      <c r="AW37" s="83">
        <v>0</v>
      </c>
      <c r="AX37" s="83">
        <v>0</v>
      </c>
      <c r="AY37" s="83">
        <v>0</v>
      </c>
      <c r="AZ37" s="83">
        <v>0</v>
      </c>
      <c r="BA37" s="83">
        <v>0</v>
      </c>
      <c r="BB37" s="83">
        <v>0</v>
      </c>
      <c r="BC37" s="83">
        <v>0</v>
      </c>
      <c r="BD37" s="83">
        <v>0</v>
      </c>
      <c r="BE37" s="5">
        <f t="shared" si="0"/>
        <v>372415</v>
      </c>
      <c r="BF37" s="5"/>
      <c r="BG37" s="5">
        <f t="shared" si="1"/>
        <v>372415</v>
      </c>
      <c r="BH37" s="66">
        <f>BE37-'TB 17.05.24'!BD33</f>
        <v>0</v>
      </c>
    </row>
    <row r="38" spans="1:67" ht="15" hidden="1" customHeight="1" x14ac:dyDescent="0.35">
      <c r="A38" s="3" t="s">
        <v>571</v>
      </c>
      <c r="B38" s="4" t="s">
        <v>572</v>
      </c>
      <c r="C38" s="4" t="s">
        <v>314</v>
      </c>
      <c r="D38" s="4" t="s">
        <v>291</v>
      </c>
      <c r="E38" s="83">
        <v>0</v>
      </c>
      <c r="F38" s="83">
        <v>0</v>
      </c>
      <c r="G38" s="83">
        <v>0</v>
      </c>
      <c r="H38" s="83">
        <v>0</v>
      </c>
      <c r="I38" s="83">
        <v>0</v>
      </c>
      <c r="J38" s="83">
        <v>0</v>
      </c>
      <c r="K38" s="83">
        <v>0</v>
      </c>
      <c r="L38" s="83">
        <v>0</v>
      </c>
      <c r="M38" s="83">
        <v>0</v>
      </c>
      <c r="N38" s="83">
        <v>0</v>
      </c>
      <c r="O38" s="83">
        <v>83894</v>
      </c>
      <c r="P38" s="83">
        <v>0</v>
      </c>
      <c r="Q38" s="83">
        <v>0</v>
      </c>
      <c r="R38" s="83">
        <v>0</v>
      </c>
      <c r="S38" s="83">
        <v>0</v>
      </c>
      <c r="T38" s="83">
        <v>0</v>
      </c>
      <c r="U38" s="83">
        <v>0</v>
      </c>
      <c r="V38" s="83">
        <v>0</v>
      </c>
      <c r="W38" s="83">
        <v>0</v>
      </c>
      <c r="X38" s="83">
        <v>0</v>
      </c>
      <c r="Y38" s="83">
        <v>0</v>
      </c>
      <c r="Z38" s="83">
        <v>0</v>
      </c>
      <c r="AA38" s="83">
        <v>0</v>
      </c>
      <c r="AB38" s="83">
        <v>0</v>
      </c>
      <c r="AC38" s="83">
        <v>0</v>
      </c>
      <c r="AD38" s="83">
        <v>0</v>
      </c>
      <c r="AE38" s="83">
        <v>0</v>
      </c>
      <c r="AF38" s="83">
        <v>0</v>
      </c>
      <c r="AG38" s="83">
        <v>0</v>
      </c>
      <c r="AH38" s="83">
        <v>0</v>
      </c>
      <c r="AI38" s="83">
        <v>0</v>
      </c>
      <c r="AJ38" s="83">
        <v>0</v>
      </c>
      <c r="AK38" s="83">
        <v>0</v>
      </c>
      <c r="AL38" s="83">
        <v>0</v>
      </c>
      <c r="AM38" s="83">
        <v>0</v>
      </c>
      <c r="AN38" s="83">
        <v>0</v>
      </c>
      <c r="AO38" s="83">
        <v>0</v>
      </c>
      <c r="AP38" s="83">
        <v>0</v>
      </c>
      <c r="AQ38" s="83">
        <v>0</v>
      </c>
      <c r="AR38" s="83">
        <v>0</v>
      </c>
      <c r="AS38" s="83">
        <v>0</v>
      </c>
      <c r="AT38" s="83">
        <v>0</v>
      </c>
      <c r="AU38" s="83">
        <v>0</v>
      </c>
      <c r="AV38" s="83">
        <v>0</v>
      </c>
      <c r="AW38" s="83">
        <v>0</v>
      </c>
      <c r="AX38" s="83">
        <v>0</v>
      </c>
      <c r="AY38" s="83">
        <v>0</v>
      </c>
      <c r="AZ38" s="83">
        <v>0</v>
      </c>
      <c r="BA38" s="83">
        <v>0</v>
      </c>
      <c r="BB38" s="83">
        <v>0</v>
      </c>
      <c r="BC38" s="83">
        <v>0</v>
      </c>
      <c r="BD38" s="83">
        <v>0</v>
      </c>
      <c r="BE38" s="5">
        <f t="shared" si="0"/>
        <v>83894</v>
      </c>
      <c r="BF38" s="5"/>
      <c r="BG38" s="5">
        <f t="shared" si="1"/>
        <v>83894</v>
      </c>
      <c r="BH38" s="66">
        <f>BE38-'TB 17.05.24'!BD34</f>
        <v>0</v>
      </c>
    </row>
    <row r="39" spans="1:67" ht="15" hidden="1" customHeight="1" x14ac:dyDescent="0.35">
      <c r="A39" s="3" t="s">
        <v>98</v>
      </c>
      <c r="B39" s="4" t="s">
        <v>99</v>
      </c>
      <c r="C39" s="4" t="s">
        <v>314</v>
      </c>
      <c r="D39" s="4" t="s">
        <v>289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97553</v>
      </c>
      <c r="P39" s="83">
        <v>0</v>
      </c>
      <c r="Q39" s="83">
        <v>0</v>
      </c>
      <c r="R39" s="83">
        <v>0</v>
      </c>
      <c r="S39" s="83">
        <v>0</v>
      </c>
      <c r="T39" s="83">
        <v>0</v>
      </c>
      <c r="U39" s="83">
        <v>0</v>
      </c>
      <c r="V39" s="83">
        <v>0</v>
      </c>
      <c r="W39" s="83">
        <v>0</v>
      </c>
      <c r="X39" s="83">
        <v>0</v>
      </c>
      <c r="Y39" s="83">
        <v>0</v>
      </c>
      <c r="Z39" s="83">
        <v>0</v>
      </c>
      <c r="AA39" s="83">
        <v>0</v>
      </c>
      <c r="AB39" s="83">
        <v>0</v>
      </c>
      <c r="AC39" s="83">
        <v>0</v>
      </c>
      <c r="AD39" s="83">
        <v>0</v>
      </c>
      <c r="AE39" s="83">
        <v>0</v>
      </c>
      <c r="AF39" s="83">
        <v>0</v>
      </c>
      <c r="AG39" s="83">
        <v>0</v>
      </c>
      <c r="AH39" s="83">
        <v>0</v>
      </c>
      <c r="AI39" s="83">
        <v>0</v>
      </c>
      <c r="AJ39" s="83">
        <v>0</v>
      </c>
      <c r="AK39" s="83">
        <v>0</v>
      </c>
      <c r="AL39" s="83">
        <v>0</v>
      </c>
      <c r="AM39" s="83">
        <v>0</v>
      </c>
      <c r="AN39" s="83">
        <v>0</v>
      </c>
      <c r="AO39" s="83">
        <v>0</v>
      </c>
      <c r="AP39" s="83">
        <v>0</v>
      </c>
      <c r="AQ39" s="83">
        <v>0</v>
      </c>
      <c r="AR39" s="83">
        <v>0</v>
      </c>
      <c r="AS39" s="83">
        <v>0</v>
      </c>
      <c r="AT39" s="83">
        <v>0</v>
      </c>
      <c r="AU39" s="83">
        <v>0</v>
      </c>
      <c r="AV39" s="83">
        <v>0</v>
      </c>
      <c r="AW39" s="83">
        <v>0</v>
      </c>
      <c r="AX39" s="83">
        <v>0</v>
      </c>
      <c r="AY39" s="83">
        <v>0</v>
      </c>
      <c r="AZ39" s="83">
        <v>0</v>
      </c>
      <c r="BA39" s="83">
        <v>0</v>
      </c>
      <c r="BB39" s="83">
        <v>0</v>
      </c>
      <c r="BC39" s="83">
        <v>0</v>
      </c>
      <c r="BD39" s="83">
        <v>0</v>
      </c>
      <c r="BE39" s="5">
        <f t="shared" si="0"/>
        <v>97553</v>
      </c>
      <c r="BF39" s="5"/>
      <c r="BG39" s="5">
        <f t="shared" si="1"/>
        <v>97553</v>
      </c>
      <c r="BH39" s="66">
        <f>BE39-'TB 17.05.24'!BD35</f>
        <v>0</v>
      </c>
    </row>
    <row r="40" spans="1:67" ht="15" hidden="1" customHeight="1" x14ac:dyDescent="0.35">
      <c r="A40" s="3" t="s">
        <v>100</v>
      </c>
      <c r="B40" s="4" t="s">
        <v>101</v>
      </c>
      <c r="C40" s="4" t="s">
        <v>314</v>
      </c>
      <c r="D40" s="4" t="s">
        <v>291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62787</v>
      </c>
      <c r="P40" s="83">
        <v>0</v>
      </c>
      <c r="Q40" s="83">
        <v>0</v>
      </c>
      <c r="R40" s="83">
        <v>0</v>
      </c>
      <c r="S40" s="83">
        <v>0</v>
      </c>
      <c r="T40" s="83">
        <v>0</v>
      </c>
      <c r="U40" s="83">
        <v>0</v>
      </c>
      <c r="V40" s="83">
        <v>0</v>
      </c>
      <c r="W40" s="83">
        <v>0</v>
      </c>
      <c r="X40" s="83">
        <v>0</v>
      </c>
      <c r="Y40" s="83">
        <v>0</v>
      </c>
      <c r="Z40" s="83">
        <v>0</v>
      </c>
      <c r="AA40" s="83">
        <v>0</v>
      </c>
      <c r="AB40" s="83">
        <v>0</v>
      </c>
      <c r="AC40" s="83">
        <v>0</v>
      </c>
      <c r="AD40" s="83">
        <v>0</v>
      </c>
      <c r="AE40" s="83">
        <v>0</v>
      </c>
      <c r="AF40" s="83">
        <v>0</v>
      </c>
      <c r="AG40" s="83">
        <v>0</v>
      </c>
      <c r="AH40" s="83">
        <v>0</v>
      </c>
      <c r="AI40" s="83">
        <v>0</v>
      </c>
      <c r="AJ40" s="83">
        <v>0</v>
      </c>
      <c r="AK40" s="83">
        <v>0</v>
      </c>
      <c r="AL40" s="83">
        <v>0</v>
      </c>
      <c r="AM40" s="83">
        <v>0</v>
      </c>
      <c r="AN40" s="83">
        <v>0</v>
      </c>
      <c r="AO40" s="83">
        <v>0</v>
      </c>
      <c r="AP40" s="83">
        <v>0</v>
      </c>
      <c r="AQ40" s="83">
        <v>0</v>
      </c>
      <c r="AR40" s="83">
        <v>0</v>
      </c>
      <c r="AS40" s="83">
        <v>0</v>
      </c>
      <c r="AT40" s="83">
        <v>0</v>
      </c>
      <c r="AU40" s="83">
        <v>0</v>
      </c>
      <c r="AV40" s="83">
        <v>0</v>
      </c>
      <c r="AW40" s="83">
        <v>0</v>
      </c>
      <c r="AX40" s="83">
        <v>0</v>
      </c>
      <c r="AY40" s="83">
        <v>0</v>
      </c>
      <c r="AZ40" s="83">
        <v>0</v>
      </c>
      <c r="BA40" s="83">
        <v>0</v>
      </c>
      <c r="BB40" s="83">
        <v>0</v>
      </c>
      <c r="BC40" s="83">
        <v>0</v>
      </c>
      <c r="BD40" s="83">
        <v>0</v>
      </c>
      <c r="BE40" s="5">
        <f t="shared" si="0"/>
        <v>62787</v>
      </c>
      <c r="BF40" s="5"/>
      <c r="BG40" s="5">
        <f t="shared" si="1"/>
        <v>62787</v>
      </c>
      <c r="BH40" s="66">
        <f>BE40-'TB 17.05.24'!BD36</f>
        <v>0</v>
      </c>
    </row>
    <row r="41" spans="1:67" ht="15" hidden="1" customHeight="1" x14ac:dyDescent="0.35">
      <c r="A41" s="3" t="s">
        <v>102</v>
      </c>
      <c r="B41" s="4" t="s">
        <v>103</v>
      </c>
      <c r="C41" s="4" t="s">
        <v>314</v>
      </c>
      <c r="D41" s="4" t="s">
        <v>291</v>
      </c>
      <c r="E41" s="83">
        <v>0</v>
      </c>
      <c r="F41" s="83">
        <v>0</v>
      </c>
      <c r="G41" s="83">
        <v>0</v>
      </c>
      <c r="H41" s="83">
        <v>0</v>
      </c>
      <c r="I41" s="83">
        <v>0</v>
      </c>
      <c r="J41" s="83">
        <v>0</v>
      </c>
      <c r="K41" s="83">
        <v>0</v>
      </c>
      <c r="L41" s="83">
        <v>0</v>
      </c>
      <c r="M41" s="83">
        <v>0</v>
      </c>
      <c r="N41" s="83">
        <v>0</v>
      </c>
      <c r="O41" s="83">
        <v>40950</v>
      </c>
      <c r="P41" s="83">
        <v>0</v>
      </c>
      <c r="Q41" s="83">
        <v>0</v>
      </c>
      <c r="R41" s="83">
        <v>28200</v>
      </c>
      <c r="S41" s="83">
        <v>0</v>
      </c>
      <c r="T41" s="83">
        <v>0</v>
      </c>
      <c r="U41" s="83">
        <v>0</v>
      </c>
      <c r="V41" s="83">
        <v>0</v>
      </c>
      <c r="W41" s="83">
        <v>110</v>
      </c>
      <c r="X41" s="83">
        <v>521</v>
      </c>
      <c r="Y41" s="83">
        <v>0</v>
      </c>
      <c r="Z41" s="83">
        <v>0</v>
      </c>
      <c r="AA41" s="83">
        <v>0</v>
      </c>
      <c r="AB41" s="83">
        <v>0</v>
      </c>
      <c r="AC41" s="83">
        <v>0</v>
      </c>
      <c r="AD41" s="83">
        <v>0</v>
      </c>
      <c r="AE41" s="83">
        <v>0</v>
      </c>
      <c r="AF41" s="83">
        <v>0</v>
      </c>
      <c r="AG41" s="83">
        <v>0</v>
      </c>
      <c r="AH41" s="83">
        <v>0</v>
      </c>
      <c r="AI41" s="83">
        <v>0</v>
      </c>
      <c r="AJ41" s="83">
        <v>0</v>
      </c>
      <c r="AK41" s="83">
        <v>0</v>
      </c>
      <c r="AL41" s="83">
        <v>0</v>
      </c>
      <c r="AM41" s="83">
        <v>0</v>
      </c>
      <c r="AN41" s="83">
        <v>0</v>
      </c>
      <c r="AO41" s="83">
        <v>0</v>
      </c>
      <c r="AP41" s="83">
        <v>0</v>
      </c>
      <c r="AQ41" s="83">
        <v>0</v>
      </c>
      <c r="AR41" s="83">
        <v>0</v>
      </c>
      <c r="AS41" s="83">
        <v>0</v>
      </c>
      <c r="AT41" s="83">
        <v>0</v>
      </c>
      <c r="AU41" s="83">
        <v>0</v>
      </c>
      <c r="AV41" s="83">
        <v>0</v>
      </c>
      <c r="AW41" s="83">
        <v>0</v>
      </c>
      <c r="AX41" s="83">
        <v>0</v>
      </c>
      <c r="AY41" s="83">
        <v>0</v>
      </c>
      <c r="AZ41" s="83">
        <v>0</v>
      </c>
      <c r="BA41" s="83">
        <v>0</v>
      </c>
      <c r="BB41" s="83">
        <v>0</v>
      </c>
      <c r="BC41" s="83">
        <v>0</v>
      </c>
      <c r="BD41" s="83">
        <v>0</v>
      </c>
      <c r="BE41" s="5">
        <f t="shared" si="0"/>
        <v>69781</v>
      </c>
      <c r="BF41" s="5"/>
      <c r="BG41" s="5">
        <f t="shared" si="1"/>
        <v>69781</v>
      </c>
      <c r="BH41" s="66">
        <f>BE41-'TB 17.05.24'!BD37</f>
        <v>0</v>
      </c>
    </row>
    <row r="42" spans="1:67" ht="15" hidden="1" customHeight="1" x14ac:dyDescent="0.35">
      <c r="A42" s="3" t="s">
        <v>104</v>
      </c>
      <c r="B42" s="4" t="s">
        <v>105</v>
      </c>
      <c r="C42" s="4" t="s">
        <v>314</v>
      </c>
      <c r="D42" s="4" t="s">
        <v>291</v>
      </c>
      <c r="E42" s="83">
        <v>0</v>
      </c>
      <c r="F42" s="83">
        <v>1200</v>
      </c>
      <c r="G42" s="83">
        <v>0</v>
      </c>
      <c r="H42" s="83">
        <v>1200</v>
      </c>
      <c r="I42" s="83">
        <v>1200</v>
      </c>
      <c r="J42" s="83">
        <v>3750</v>
      </c>
      <c r="K42" s="83">
        <v>3550</v>
      </c>
      <c r="L42" s="83">
        <v>0</v>
      </c>
      <c r="M42" s="83">
        <v>0</v>
      </c>
      <c r="N42" s="83">
        <v>5400</v>
      </c>
      <c r="O42" s="83">
        <v>5301</v>
      </c>
      <c r="P42" s="83">
        <v>0</v>
      </c>
      <c r="Q42" s="83">
        <v>0</v>
      </c>
      <c r="R42" s="83">
        <v>0</v>
      </c>
      <c r="S42" s="83">
        <v>0</v>
      </c>
      <c r="T42" s="83">
        <v>0</v>
      </c>
      <c r="U42" s="83">
        <v>0</v>
      </c>
      <c r="V42" s="83">
        <v>0</v>
      </c>
      <c r="W42" s="83">
        <v>2000</v>
      </c>
      <c r="X42" s="83">
        <v>0</v>
      </c>
      <c r="Y42" s="83">
        <v>0</v>
      </c>
      <c r="Z42" s="83">
        <f>4550/8</f>
        <v>568.75</v>
      </c>
      <c r="AA42" s="83">
        <f>4550/8</f>
        <v>568.75</v>
      </c>
      <c r="AB42" s="83">
        <f>4550*0</f>
        <v>0</v>
      </c>
      <c r="AC42" s="83">
        <f t="shared" ref="AC42:AH42" si="2">4550/8</f>
        <v>568.75</v>
      </c>
      <c r="AD42" s="83">
        <f t="shared" si="2"/>
        <v>568.75</v>
      </c>
      <c r="AE42" s="83">
        <f t="shared" si="2"/>
        <v>568.75</v>
      </c>
      <c r="AF42" s="83">
        <f t="shared" si="2"/>
        <v>568.75</v>
      </c>
      <c r="AG42" s="83">
        <f t="shared" si="2"/>
        <v>568.75</v>
      </c>
      <c r="AH42" s="83">
        <f t="shared" si="2"/>
        <v>568.75</v>
      </c>
      <c r="AI42" s="83">
        <v>0</v>
      </c>
      <c r="AJ42" s="83">
        <v>0</v>
      </c>
      <c r="AK42" s="83">
        <v>0</v>
      </c>
      <c r="AL42" s="83">
        <v>0</v>
      </c>
      <c r="AM42" s="83">
        <v>0</v>
      </c>
      <c r="AN42" s="83">
        <v>0</v>
      </c>
      <c r="AO42" s="83">
        <v>0</v>
      </c>
      <c r="AP42" s="83">
        <v>10700</v>
      </c>
      <c r="AQ42" s="83">
        <v>0</v>
      </c>
      <c r="AR42" s="83">
        <v>10168</v>
      </c>
      <c r="AS42" s="83">
        <v>0</v>
      </c>
      <c r="AT42" s="83">
        <v>0</v>
      </c>
      <c r="AU42" s="83">
        <v>0</v>
      </c>
      <c r="AV42" s="83">
        <v>500</v>
      </c>
      <c r="AW42" s="83">
        <v>0</v>
      </c>
      <c r="AX42" s="83">
        <v>0</v>
      </c>
      <c r="AY42" s="83">
        <v>0</v>
      </c>
      <c r="AZ42" s="83">
        <v>0</v>
      </c>
      <c r="BA42" s="83">
        <v>0</v>
      </c>
      <c r="BB42" s="83">
        <v>0</v>
      </c>
      <c r="BC42" s="83">
        <v>0</v>
      </c>
      <c r="BD42" s="83">
        <v>0</v>
      </c>
      <c r="BE42" s="5">
        <f t="shared" si="0"/>
        <v>49519</v>
      </c>
      <c r="BF42" s="5"/>
      <c r="BG42" s="5">
        <f t="shared" si="1"/>
        <v>49519</v>
      </c>
      <c r="BH42" s="66">
        <f>BE42-'TB 17.05.24'!BD38</f>
        <v>0</v>
      </c>
    </row>
    <row r="43" spans="1:67" ht="15" hidden="1" customHeight="1" x14ac:dyDescent="0.35">
      <c r="A43" s="3" t="s">
        <v>106</v>
      </c>
      <c r="B43" s="4" t="s">
        <v>107</v>
      </c>
      <c r="C43" s="4" t="s">
        <v>314</v>
      </c>
      <c r="D43" s="4" t="s">
        <v>321</v>
      </c>
      <c r="E43" s="83">
        <v>0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  <c r="K43" s="83">
        <v>0</v>
      </c>
      <c r="L43" s="83">
        <v>0</v>
      </c>
      <c r="M43" s="83">
        <v>0</v>
      </c>
      <c r="N43" s="83">
        <v>0</v>
      </c>
      <c r="O43" s="83">
        <v>42541</v>
      </c>
      <c r="P43" s="83">
        <v>0</v>
      </c>
      <c r="Q43" s="83">
        <v>0</v>
      </c>
      <c r="R43" s="83">
        <v>0</v>
      </c>
      <c r="S43" s="83">
        <v>0</v>
      </c>
      <c r="T43" s="83">
        <v>0</v>
      </c>
      <c r="U43" s="83">
        <v>0</v>
      </c>
      <c r="V43" s="83">
        <v>0</v>
      </c>
      <c r="W43" s="83">
        <v>0</v>
      </c>
      <c r="X43" s="83">
        <v>0</v>
      </c>
      <c r="Y43" s="83">
        <v>0</v>
      </c>
      <c r="Z43" s="83">
        <v>0</v>
      </c>
      <c r="AA43" s="83">
        <v>0</v>
      </c>
      <c r="AB43" s="83">
        <v>0</v>
      </c>
      <c r="AC43" s="83">
        <v>0</v>
      </c>
      <c r="AD43" s="83">
        <v>0</v>
      </c>
      <c r="AE43" s="83">
        <v>0</v>
      </c>
      <c r="AF43" s="83">
        <v>0</v>
      </c>
      <c r="AG43" s="83">
        <v>0</v>
      </c>
      <c r="AH43" s="83">
        <v>0</v>
      </c>
      <c r="AI43" s="83">
        <v>0</v>
      </c>
      <c r="AJ43" s="83">
        <v>0</v>
      </c>
      <c r="AK43" s="83">
        <v>0</v>
      </c>
      <c r="AL43" s="83">
        <v>0</v>
      </c>
      <c r="AM43" s="83">
        <v>0</v>
      </c>
      <c r="AN43" s="83">
        <v>0</v>
      </c>
      <c r="AO43" s="83">
        <v>0</v>
      </c>
      <c r="AP43" s="83">
        <v>0</v>
      </c>
      <c r="AQ43" s="83">
        <v>0</v>
      </c>
      <c r="AR43" s="83">
        <v>756</v>
      </c>
      <c r="AS43" s="83">
        <v>0</v>
      </c>
      <c r="AT43" s="83">
        <v>302</v>
      </c>
      <c r="AU43" s="83">
        <v>0</v>
      </c>
      <c r="AV43" s="83">
        <v>1198</v>
      </c>
      <c r="AW43" s="83">
        <v>0</v>
      </c>
      <c r="AX43" s="83">
        <v>0</v>
      </c>
      <c r="AY43" s="83">
        <v>0</v>
      </c>
      <c r="AZ43" s="83">
        <v>0</v>
      </c>
      <c r="BA43" s="83">
        <v>0</v>
      </c>
      <c r="BB43" s="83">
        <v>0</v>
      </c>
      <c r="BC43" s="83">
        <v>0</v>
      </c>
      <c r="BD43" s="83">
        <v>0</v>
      </c>
      <c r="BE43" s="5">
        <f t="shared" si="0"/>
        <v>44797</v>
      </c>
      <c r="BF43" s="5"/>
      <c r="BG43" s="5">
        <f t="shared" si="1"/>
        <v>44797</v>
      </c>
      <c r="BH43" s="66">
        <f>BE43-'TB 17.05.24'!BD39</f>
        <v>0</v>
      </c>
    </row>
    <row r="44" spans="1:67" ht="15" hidden="1" customHeight="1" x14ac:dyDescent="0.35">
      <c r="A44" s="3" t="s">
        <v>108</v>
      </c>
      <c r="B44" s="4" t="s">
        <v>109</v>
      </c>
      <c r="C44" s="4" t="s">
        <v>314</v>
      </c>
      <c r="D44" s="4" t="s">
        <v>321</v>
      </c>
      <c r="E44" s="83">
        <v>0</v>
      </c>
      <c r="F44" s="83">
        <v>0</v>
      </c>
      <c r="G44" s="83">
        <v>0</v>
      </c>
      <c r="H44" s="83">
        <v>0</v>
      </c>
      <c r="I44" s="83">
        <v>0</v>
      </c>
      <c r="J44" s="83">
        <v>62</v>
      </c>
      <c r="K44" s="83">
        <v>62</v>
      </c>
      <c r="L44" s="83">
        <v>0</v>
      </c>
      <c r="M44" s="83">
        <v>62</v>
      </c>
      <c r="N44" s="83">
        <v>62</v>
      </c>
      <c r="O44" s="83">
        <v>645</v>
      </c>
      <c r="P44" s="83">
        <v>0</v>
      </c>
      <c r="Q44" s="83">
        <v>0</v>
      </c>
      <c r="R44" s="83">
        <v>0</v>
      </c>
      <c r="S44" s="83">
        <v>0</v>
      </c>
      <c r="T44" s="83">
        <v>0</v>
      </c>
      <c r="U44" s="83">
        <v>0</v>
      </c>
      <c r="V44" s="83">
        <v>0</v>
      </c>
      <c r="W44" s="83">
        <v>0</v>
      </c>
      <c r="X44" s="83">
        <v>0</v>
      </c>
      <c r="Y44" s="83">
        <v>0</v>
      </c>
      <c r="Z44" s="83">
        <v>0</v>
      </c>
      <c r="AA44" s="83">
        <v>0</v>
      </c>
      <c r="AB44" s="83">
        <v>0</v>
      </c>
      <c r="AC44" s="83">
        <v>0</v>
      </c>
      <c r="AD44" s="83">
        <v>0</v>
      </c>
      <c r="AE44" s="83">
        <v>0</v>
      </c>
      <c r="AF44" s="83">
        <v>0</v>
      </c>
      <c r="AG44" s="83">
        <v>0</v>
      </c>
      <c r="AH44" s="83">
        <v>0</v>
      </c>
      <c r="AI44" s="83">
        <v>0</v>
      </c>
      <c r="AJ44" s="83">
        <v>0</v>
      </c>
      <c r="AK44" s="83">
        <v>0</v>
      </c>
      <c r="AL44" s="83">
        <v>0</v>
      </c>
      <c r="AM44" s="83">
        <v>0</v>
      </c>
      <c r="AN44" s="83">
        <v>0</v>
      </c>
      <c r="AO44" s="83">
        <v>0</v>
      </c>
      <c r="AP44" s="83">
        <v>0</v>
      </c>
      <c r="AQ44" s="83">
        <v>0</v>
      </c>
      <c r="AR44" s="83">
        <v>0</v>
      </c>
      <c r="AS44" s="83">
        <v>0</v>
      </c>
      <c r="AT44" s="83">
        <v>0</v>
      </c>
      <c r="AU44" s="83">
        <v>0</v>
      </c>
      <c r="AV44" s="83">
        <v>0</v>
      </c>
      <c r="AW44" s="83">
        <v>0</v>
      </c>
      <c r="AX44" s="83">
        <v>0</v>
      </c>
      <c r="AY44" s="83">
        <v>0</v>
      </c>
      <c r="AZ44" s="83">
        <v>0</v>
      </c>
      <c r="BA44" s="83">
        <v>0</v>
      </c>
      <c r="BB44" s="83">
        <v>0</v>
      </c>
      <c r="BC44" s="83">
        <v>0</v>
      </c>
      <c r="BD44" s="83">
        <v>0</v>
      </c>
      <c r="BE44" s="5">
        <f t="shared" si="0"/>
        <v>893</v>
      </c>
      <c r="BF44" s="5"/>
      <c r="BG44" s="5">
        <f t="shared" si="1"/>
        <v>893</v>
      </c>
      <c r="BH44" s="66">
        <f>BE44-'TB 17.05.24'!BD40</f>
        <v>0</v>
      </c>
    </row>
    <row r="45" spans="1:67" ht="15" hidden="1" customHeight="1" x14ac:dyDescent="0.35">
      <c r="A45" s="3" t="s">
        <v>110</v>
      </c>
      <c r="B45" s="4" t="s">
        <v>111</v>
      </c>
      <c r="C45" s="4" t="s">
        <v>314</v>
      </c>
      <c r="D45" s="4" t="s">
        <v>320</v>
      </c>
      <c r="E45" s="83">
        <v>0</v>
      </c>
      <c r="F45" s="83">
        <v>0</v>
      </c>
      <c r="G45" s="83">
        <v>0</v>
      </c>
      <c r="H45" s="83">
        <v>0</v>
      </c>
      <c r="I45" s="83">
        <v>0</v>
      </c>
      <c r="J45" s="83">
        <v>0</v>
      </c>
      <c r="K45" s="83">
        <v>4000</v>
      </c>
      <c r="L45" s="83">
        <v>0</v>
      </c>
      <c r="M45" s="83">
        <v>0</v>
      </c>
      <c r="N45" s="83">
        <v>0</v>
      </c>
      <c r="O45" s="83">
        <v>0</v>
      </c>
      <c r="P45" s="83">
        <v>0</v>
      </c>
      <c r="Q45" s="83">
        <v>0</v>
      </c>
      <c r="R45" s="83">
        <v>0</v>
      </c>
      <c r="S45" s="83">
        <v>0</v>
      </c>
      <c r="T45" s="83">
        <v>0</v>
      </c>
      <c r="U45" s="83">
        <v>0</v>
      </c>
      <c r="V45" s="83">
        <v>0</v>
      </c>
      <c r="W45" s="83">
        <v>0</v>
      </c>
      <c r="X45" s="83">
        <v>0</v>
      </c>
      <c r="Y45" s="83">
        <v>0</v>
      </c>
      <c r="Z45" s="83">
        <v>846</v>
      </c>
      <c r="AA45" s="83">
        <v>0</v>
      </c>
      <c r="AB45" s="83">
        <v>0</v>
      </c>
      <c r="AC45" s="83">
        <v>0</v>
      </c>
      <c r="AD45" s="83">
        <v>0</v>
      </c>
      <c r="AE45" s="83">
        <v>0</v>
      </c>
      <c r="AF45" s="83">
        <v>0</v>
      </c>
      <c r="AG45" s="83">
        <v>0</v>
      </c>
      <c r="AH45" s="83">
        <v>0</v>
      </c>
      <c r="AI45" s="83">
        <v>0</v>
      </c>
      <c r="AJ45" s="83">
        <v>0</v>
      </c>
      <c r="AK45" s="83">
        <v>0</v>
      </c>
      <c r="AL45" s="83">
        <v>0</v>
      </c>
      <c r="AM45" s="83">
        <v>0</v>
      </c>
      <c r="AN45" s="83">
        <v>0</v>
      </c>
      <c r="AO45" s="83">
        <v>480</v>
      </c>
      <c r="AP45" s="83">
        <v>0</v>
      </c>
      <c r="AQ45" s="83">
        <v>0</v>
      </c>
      <c r="AR45" s="83">
        <v>3000</v>
      </c>
      <c r="AS45" s="83">
        <v>0</v>
      </c>
      <c r="AT45" s="83">
        <v>0</v>
      </c>
      <c r="AU45" s="83">
        <v>0</v>
      </c>
      <c r="AV45" s="83">
        <v>0</v>
      </c>
      <c r="AW45" s="83">
        <v>0</v>
      </c>
      <c r="AX45" s="83">
        <v>0</v>
      </c>
      <c r="AY45" s="83">
        <v>0</v>
      </c>
      <c r="AZ45" s="83">
        <v>0</v>
      </c>
      <c r="BA45" s="83">
        <v>0</v>
      </c>
      <c r="BB45" s="83">
        <v>0</v>
      </c>
      <c r="BC45" s="83">
        <v>0</v>
      </c>
      <c r="BD45" s="83">
        <v>1050</v>
      </c>
      <c r="BE45" s="5">
        <f t="shared" si="0"/>
        <v>9376</v>
      </c>
      <c r="BF45" s="5"/>
      <c r="BG45" s="5">
        <f t="shared" si="1"/>
        <v>9376</v>
      </c>
      <c r="BH45" s="66">
        <f>BE45-'TB 17.05.24'!BD41</f>
        <v>0</v>
      </c>
    </row>
    <row r="46" spans="1:67" ht="15" hidden="1" customHeight="1" x14ac:dyDescent="0.35">
      <c r="A46" s="3" t="s">
        <v>112</v>
      </c>
      <c r="B46" s="4" t="s">
        <v>113</v>
      </c>
      <c r="C46" s="4" t="s">
        <v>314</v>
      </c>
      <c r="D46" s="4" t="s">
        <v>321</v>
      </c>
      <c r="E46" s="83">
        <v>2958</v>
      </c>
      <c r="F46" s="83">
        <v>0</v>
      </c>
      <c r="G46" s="83">
        <v>0</v>
      </c>
      <c r="H46" s="83">
        <v>2958</v>
      </c>
      <c r="I46" s="83">
        <v>2958</v>
      </c>
      <c r="J46" s="83">
        <v>3251</v>
      </c>
      <c r="K46" s="83">
        <v>3250</v>
      </c>
      <c r="L46" s="83">
        <v>0</v>
      </c>
      <c r="M46" s="83">
        <v>3250</v>
      </c>
      <c r="N46" s="83">
        <v>3250</v>
      </c>
      <c r="O46" s="83">
        <v>0</v>
      </c>
      <c r="P46" s="83">
        <v>0</v>
      </c>
      <c r="Q46" s="83">
        <v>0</v>
      </c>
      <c r="R46" s="83">
        <v>0</v>
      </c>
      <c r="S46" s="83">
        <v>3540</v>
      </c>
      <c r="T46" s="83">
        <v>0</v>
      </c>
      <c r="U46" s="83">
        <v>2327</v>
      </c>
      <c r="V46" s="83">
        <v>0</v>
      </c>
      <c r="W46" s="83">
        <v>0</v>
      </c>
      <c r="X46" s="83">
        <v>0</v>
      </c>
      <c r="Y46" s="83">
        <v>0</v>
      </c>
      <c r="Z46" s="83">
        <v>0</v>
      </c>
      <c r="AA46" s="83">
        <v>0</v>
      </c>
      <c r="AB46" s="83">
        <v>0</v>
      </c>
      <c r="AC46" s="83">
        <v>1300</v>
      </c>
      <c r="AD46" s="83">
        <v>1768</v>
      </c>
      <c r="AE46" s="83">
        <v>1060</v>
      </c>
      <c r="AF46" s="83">
        <v>0</v>
      </c>
      <c r="AG46" s="83">
        <v>1063</v>
      </c>
      <c r="AH46" s="83">
        <v>1800</v>
      </c>
      <c r="AI46" s="83">
        <v>0</v>
      </c>
      <c r="AJ46" s="83">
        <v>0</v>
      </c>
      <c r="AK46" s="83">
        <v>0</v>
      </c>
      <c r="AL46" s="83">
        <v>0</v>
      </c>
      <c r="AM46" s="83">
        <v>0</v>
      </c>
      <c r="AN46" s="83">
        <v>0</v>
      </c>
      <c r="AO46" s="83">
        <v>0</v>
      </c>
      <c r="AP46" s="83">
        <v>0</v>
      </c>
      <c r="AQ46" s="83">
        <v>0</v>
      </c>
      <c r="AR46" s="83">
        <v>0</v>
      </c>
      <c r="AS46" s="83">
        <v>707</v>
      </c>
      <c r="AT46" s="83">
        <v>707</v>
      </c>
      <c r="AU46" s="83">
        <v>0</v>
      </c>
      <c r="AV46" s="83">
        <v>0</v>
      </c>
      <c r="AW46" s="83">
        <v>0</v>
      </c>
      <c r="AX46" s="83">
        <v>0</v>
      </c>
      <c r="AY46" s="83">
        <v>0</v>
      </c>
      <c r="AZ46" s="83">
        <v>0</v>
      </c>
      <c r="BA46" s="83">
        <v>0</v>
      </c>
      <c r="BB46" s="83">
        <v>0</v>
      </c>
      <c r="BC46" s="83">
        <v>0</v>
      </c>
      <c r="BD46" s="83">
        <v>0</v>
      </c>
      <c r="BE46" s="5">
        <f t="shared" si="0"/>
        <v>36147</v>
      </c>
      <c r="BF46" s="5"/>
      <c r="BG46" s="5">
        <f t="shared" si="1"/>
        <v>36147</v>
      </c>
      <c r="BH46" s="66">
        <f>BE46-'TB 17.05.24'!BD42</f>
        <v>0</v>
      </c>
    </row>
    <row r="47" spans="1:67" ht="15" hidden="1" customHeight="1" x14ac:dyDescent="0.35">
      <c r="A47" s="3" t="s">
        <v>452</v>
      </c>
      <c r="B47" s="4" t="s">
        <v>453</v>
      </c>
      <c r="C47" s="4" t="s">
        <v>314</v>
      </c>
      <c r="D47" s="4" t="s">
        <v>296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147500</v>
      </c>
      <c r="P47" s="83">
        <v>0</v>
      </c>
      <c r="Q47" s="83">
        <v>0</v>
      </c>
      <c r="R47" s="83">
        <v>0</v>
      </c>
      <c r="S47" s="83">
        <v>0</v>
      </c>
      <c r="T47" s="83">
        <v>0</v>
      </c>
      <c r="U47" s="83">
        <v>0</v>
      </c>
      <c r="V47" s="83">
        <v>0</v>
      </c>
      <c r="W47" s="83">
        <v>0</v>
      </c>
      <c r="X47" s="83">
        <v>0</v>
      </c>
      <c r="Y47" s="83">
        <v>0</v>
      </c>
      <c r="Z47" s="83">
        <v>0</v>
      </c>
      <c r="AA47" s="83">
        <v>0</v>
      </c>
      <c r="AB47" s="83">
        <v>0</v>
      </c>
      <c r="AC47" s="83">
        <v>0</v>
      </c>
      <c r="AD47" s="83">
        <v>0</v>
      </c>
      <c r="AE47" s="83">
        <v>0</v>
      </c>
      <c r="AF47" s="83">
        <v>0</v>
      </c>
      <c r="AG47" s="83">
        <v>0</v>
      </c>
      <c r="AH47" s="83">
        <v>0</v>
      </c>
      <c r="AI47" s="83">
        <v>0</v>
      </c>
      <c r="AJ47" s="83">
        <v>0</v>
      </c>
      <c r="AK47" s="83">
        <v>0</v>
      </c>
      <c r="AL47" s="83">
        <v>0</v>
      </c>
      <c r="AM47" s="83">
        <v>0</v>
      </c>
      <c r="AN47" s="83">
        <v>0</v>
      </c>
      <c r="AO47" s="83">
        <v>0</v>
      </c>
      <c r="AP47" s="83">
        <v>0</v>
      </c>
      <c r="AQ47" s="83">
        <v>0</v>
      </c>
      <c r="AR47" s="83">
        <v>0</v>
      </c>
      <c r="AS47" s="83">
        <v>0</v>
      </c>
      <c r="AT47" s="83">
        <v>0</v>
      </c>
      <c r="AU47" s="83">
        <v>0</v>
      </c>
      <c r="AV47" s="83">
        <v>0</v>
      </c>
      <c r="AW47" s="83">
        <v>0</v>
      </c>
      <c r="AX47" s="83">
        <v>0</v>
      </c>
      <c r="AY47" s="83">
        <v>0</v>
      </c>
      <c r="AZ47" s="83">
        <v>0</v>
      </c>
      <c r="BA47" s="83">
        <v>0</v>
      </c>
      <c r="BB47" s="83">
        <v>0</v>
      </c>
      <c r="BC47" s="83">
        <v>0</v>
      </c>
      <c r="BD47" s="83">
        <v>0</v>
      </c>
      <c r="BE47" s="5">
        <f t="shared" si="0"/>
        <v>147500</v>
      </c>
      <c r="BF47" s="5"/>
      <c r="BG47" s="5">
        <f t="shared" si="1"/>
        <v>147500</v>
      </c>
      <c r="BH47" s="66">
        <f>BE47-'TB 17.05.24'!BD43</f>
        <v>0</v>
      </c>
    </row>
    <row r="48" spans="1:67" ht="15" hidden="1" customHeight="1" x14ac:dyDescent="0.35">
      <c r="A48" s="3" t="s">
        <v>544</v>
      </c>
      <c r="B48" s="4" t="s">
        <v>545</v>
      </c>
      <c r="C48" s="4" t="s">
        <v>314</v>
      </c>
      <c r="D48" s="4" t="s">
        <v>291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133795</v>
      </c>
      <c r="P48" s="83">
        <v>0</v>
      </c>
      <c r="Q48" s="83">
        <v>0</v>
      </c>
      <c r="R48" s="83">
        <v>0</v>
      </c>
      <c r="S48" s="83">
        <v>0</v>
      </c>
      <c r="T48" s="83">
        <v>0</v>
      </c>
      <c r="U48" s="83">
        <v>0</v>
      </c>
      <c r="V48" s="83">
        <v>0</v>
      </c>
      <c r="W48" s="83">
        <v>0</v>
      </c>
      <c r="X48" s="83">
        <v>0</v>
      </c>
      <c r="Y48" s="83">
        <v>0</v>
      </c>
      <c r="Z48" s="83">
        <v>0</v>
      </c>
      <c r="AA48" s="83">
        <v>0</v>
      </c>
      <c r="AB48" s="83">
        <v>0</v>
      </c>
      <c r="AC48" s="83">
        <v>0</v>
      </c>
      <c r="AD48" s="83">
        <v>0</v>
      </c>
      <c r="AE48" s="83">
        <v>0</v>
      </c>
      <c r="AF48" s="83">
        <v>0</v>
      </c>
      <c r="AG48" s="83">
        <v>0</v>
      </c>
      <c r="AH48" s="83">
        <v>0</v>
      </c>
      <c r="AI48" s="83">
        <v>0</v>
      </c>
      <c r="AJ48" s="83">
        <v>0</v>
      </c>
      <c r="AK48" s="83">
        <v>0</v>
      </c>
      <c r="AL48" s="83">
        <v>0</v>
      </c>
      <c r="AM48" s="83">
        <v>0</v>
      </c>
      <c r="AN48" s="83">
        <v>0</v>
      </c>
      <c r="AO48" s="83">
        <v>0</v>
      </c>
      <c r="AP48" s="83">
        <v>0</v>
      </c>
      <c r="AQ48" s="83">
        <v>0</v>
      </c>
      <c r="AR48" s="83">
        <v>0</v>
      </c>
      <c r="AS48" s="83">
        <v>0</v>
      </c>
      <c r="AT48" s="83">
        <v>0</v>
      </c>
      <c r="AU48" s="83">
        <v>0</v>
      </c>
      <c r="AV48" s="83">
        <v>0</v>
      </c>
      <c r="AW48" s="83">
        <v>0</v>
      </c>
      <c r="AX48" s="83">
        <v>0</v>
      </c>
      <c r="AY48" s="83">
        <v>0</v>
      </c>
      <c r="AZ48" s="83">
        <v>0</v>
      </c>
      <c r="BA48" s="83">
        <v>0</v>
      </c>
      <c r="BB48" s="83">
        <v>0</v>
      </c>
      <c r="BC48" s="83">
        <v>0</v>
      </c>
      <c r="BD48" s="83">
        <v>0</v>
      </c>
      <c r="BE48" s="5">
        <f t="shared" si="0"/>
        <v>133795</v>
      </c>
      <c r="BF48" s="5"/>
      <c r="BG48" s="5">
        <f t="shared" si="1"/>
        <v>133795</v>
      </c>
      <c r="BH48" s="66">
        <f>BE48-'TB 17.05.24'!BD44</f>
        <v>0</v>
      </c>
    </row>
    <row r="49" spans="1:63" ht="15" hidden="1" customHeight="1" x14ac:dyDescent="0.35">
      <c r="A49" s="3" t="s">
        <v>311</v>
      </c>
      <c r="B49" s="4" t="s">
        <v>312</v>
      </c>
      <c r="C49" s="4" t="s">
        <v>314</v>
      </c>
      <c r="D49" s="4" t="s">
        <v>288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  <c r="R49" s="83">
        <v>0</v>
      </c>
      <c r="S49" s="83">
        <v>0</v>
      </c>
      <c r="T49" s="83">
        <v>0</v>
      </c>
      <c r="U49" s="83">
        <v>0</v>
      </c>
      <c r="V49" s="83">
        <v>0</v>
      </c>
      <c r="W49" s="83">
        <v>0</v>
      </c>
      <c r="X49" s="83">
        <v>0</v>
      </c>
      <c r="Y49" s="83">
        <v>0</v>
      </c>
      <c r="Z49" s="83">
        <v>0</v>
      </c>
      <c r="AA49" s="83">
        <v>0</v>
      </c>
      <c r="AB49" s="83">
        <v>0</v>
      </c>
      <c r="AC49" s="83">
        <v>0</v>
      </c>
      <c r="AD49" s="83">
        <v>0</v>
      </c>
      <c r="AE49" s="83">
        <v>0</v>
      </c>
      <c r="AF49" s="83">
        <v>0</v>
      </c>
      <c r="AG49" s="83">
        <v>0</v>
      </c>
      <c r="AH49" s="83">
        <v>0</v>
      </c>
      <c r="AI49" s="83">
        <v>0</v>
      </c>
      <c r="AJ49" s="83">
        <v>0</v>
      </c>
      <c r="AK49" s="83">
        <v>0</v>
      </c>
      <c r="AL49" s="83">
        <v>0</v>
      </c>
      <c r="AM49" s="83">
        <v>0</v>
      </c>
      <c r="AN49" s="83">
        <v>0</v>
      </c>
      <c r="AO49" s="83">
        <v>0</v>
      </c>
      <c r="AP49" s="83">
        <v>0</v>
      </c>
      <c r="AQ49" s="83">
        <v>0</v>
      </c>
      <c r="AR49" s="83">
        <v>0</v>
      </c>
      <c r="AS49" s="83">
        <v>0</v>
      </c>
      <c r="AT49" s="83">
        <v>0</v>
      </c>
      <c r="AU49" s="83">
        <v>0</v>
      </c>
      <c r="AV49" s="83">
        <v>0</v>
      </c>
      <c r="AW49" s="83">
        <v>0</v>
      </c>
      <c r="AX49" s="83">
        <v>0</v>
      </c>
      <c r="AY49" s="83">
        <v>0</v>
      </c>
      <c r="AZ49" s="83">
        <v>0</v>
      </c>
      <c r="BA49" s="83">
        <v>0</v>
      </c>
      <c r="BB49" s="83">
        <v>0</v>
      </c>
      <c r="BC49" s="83">
        <v>0</v>
      </c>
      <c r="BD49" s="83">
        <v>0</v>
      </c>
      <c r="BE49" s="5">
        <f t="shared" si="0"/>
        <v>0</v>
      </c>
      <c r="BF49" s="5"/>
      <c r="BG49" s="5">
        <f t="shared" si="1"/>
        <v>0</v>
      </c>
      <c r="BH49" s="66">
        <f>BE49-'TB 17.05.24'!BD45</f>
        <v>-1123341</v>
      </c>
    </row>
    <row r="50" spans="1:63" ht="15" hidden="1" customHeight="1" x14ac:dyDescent="0.35">
      <c r="A50" s="3" t="s">
        <v>114</v>
      </c>
      <c r="B50" s="4" t="s">
        <v>115</v>
      </c>
      <c r="C50" s="4" t="s">
        <v>314</v>
      </c>
      <c r="D50" s="4" t="s">
        <v>294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0</v>
      </c>
      <c r="K50" s="83">
        <v>0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  <c r="R50" s="83">
        <v>0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  <c r="X50" s="83">
        <v>0</v>
      </c>
      <c r="Y50" s="83">
        <v>0</v>
      </c>
      <c r="Z50" s="83">
        <v>0</v>
      </c>
      <c r="AA50" s="83">
        <v>0</v>
      </c>
      <c r="AB50" s="83">
        <v>0</v>
      </c>
      <c r="AC50" s="83">
        <v>0</v>
      </c>
      <c r="AD50" s="83">
        <v>0</v>
      </c>
      <c r="AE50" s="83">
        <v>0</v>
      </c>
      <c r="AF50" s="83">
        <v>0</v>
      </c>
      <c r="AG50" s="83">
        <v>0</v>
      </c>
      <c r="AH50" s="83">
        <v>0</v>
      </c>
      <c r="AI50" s="83">
        <v>0</v>
      </c>
      <c r="AJ50" s="83">
        <v>0</v>
      </c>
      <c r="AK50" s="83">
        <v>0</v>
      </c>
      <c r="AL50" s="83">
        <v>0</v>
      </c>
      <c r="AM50" s="83">
        <v>0</v>
      </c>
      <c r="AN50" s="83">
        <v>0</v>
      </c>
      <c r="AO50" s="83">
        <v>0</v>
      </c>
      <c r="AP50" s="83">
        <v>0</v>
      </c>
      <c r="AQ50" s="83">
        <v>0</v>
      </c>
      <c r="AR50" s="83">
        <v>0</v>
      </c>
      <c r="AS50" s="83">
        <v>0</v>
      </c>
      <c r="AT50" s="83">
        <v>0</v>
      </c>
      <c r="AU50" s="83">
        <v>0</v>
      </c>
      <c r="AV50" s="83">
        <v>0</v>
      </c>
      <c r="AW50" s="83">
        <v>0</v>
      </c>
      <c r="AX50" s="83">
        <v>0</v>
      </c>
      <c r="AY50" s="83">
        <v>0</v>
      </c>
      <c r="AZ50" s="83">
        <v>0</v>
      </c>
      <c r="BA50" s="83">
        <v>10000</v>
      </c>
      <c r="BB50" s="83">
        <v>10000</v>
      </c>
      <c r="BC50" s="83">
        <v>10000</v>
      </c>
      <c r="BD50" s="83">
        <v>0</v>
      </c>
      <c r="BE50" s="83">
        <f t="shared" si="0"/>
        <v>30000</v>
      </c>
      <c r="BF50" s="5"/>
      <c r="BG50" s="5">
        <f t="shared" si="1"/>
        <v>30000</v>
      </c>
      <c r="BH50" s="66">
        <f>BE50-'TB 17.05.24'!BD46</f>
        <v>0</v>
      </c>
    </row>
    <row r="51" spans="1:63" ht="15" hidden="1" customHeight="1" x14ac:dyDescent="0.35">
      <c r="A51" s="3" t="s">
        <v>116</v>
      </c>
      <c r="B51" s="4" t="s">
        <v>117</v>
      </c>
      <c r="C51" s="4" t="s">
        <v>314</v>
      </c>
      <c r="D51" s="4" t="s">
        <v>296</v>
      </c>
      <c r="E51" s="83">
        <v>0</v>
      </c>
      <c r="F51" s="83">
        <v>0</v>
      </c>
      <c r="G51" s="83">
        <v>0</v>
      </c>
      <c r="H51" s="83">
        <v>0</v>
      </c>
      <c r="I51" s="83">
        <v>0</v>
      </c>
      <c r="J51" s="83">
        <v>0</v>
      </c>
      <c r="K51" s="83">
        <v>0</v>
      </c>
      <c r="L51" s="83">
        <v>0</v>
      </c>
      <c r="M51" s="83">
        <v>0</v>
      </c>
      <c r="N51" s="83">
        <v>0</v>
      </c>
      <c r="O51" s="83">
        <v>2300</v>
      </c>
      <c r="P51" s="83">
        <v>0</v>
      </c>
      <c r="Q51" s="83">
        <v>0</v>
      </c>
      <c r="R51" s="83">
        <v>0</v>
      </c>
      <c r="S51" s="83">
        <v>0</v>
      </c>
      <c r="T51" s="83">
        <v>0</v>
      </c>
      <c r="U51" s="83">
        <v>0</v>
      </c>
      <c r="V51" s="83">
        <v>0</v>
      </c>
      <c r="W51" s="83">
        <v>0</v>
      </c>
      <c r="X51" s="83">
        <v>0</v>
      </c>
      <c r="Y51" s="83">
        <v>0</v>
      </c>
      <c r="Z51" s="83">
        <v>0</v>
      </c>
      <c r="AA51" s="83">
        <v>0</v>
      </c>
      <c r="AB51" s="83">
        <v>0</v>
      </c>
      <c r="AC51" s="83">
        <v>0</v>
      </c>
      <c r="AD51" s="83">
        <v>0</v>
      </c>
      <c r="AE51" s="83">
        <v>0</v>
      </c>
      <c r="AF51" s="83">
        <v>0</v>
      </c>
      <c r="AG51" s="83">
        <v>0</v>
      </c>
      <c r="AH51" s="83">
        <v>0</v>
      </c>
      <c r="AI51" s="83">
        <v>0</v>
      </c>
      <c r="AJ51" s="83">
        <v>0</v>
      </c>
      <c r="AK51" s="83">
        <v>0</v>
      </c>
      <c r="AL51" s="83">
        <v>0</v>
      </c>
      <c r="AM51" s="83">
        <v>0</v>
      </c>
      <c r="AN51" s="83">
        <v>0</v>
      </c>
      <c r="AO51" s="83">
        <v>0</v>
      </c>
      <c r="AP51" s="83">
        <v>0</v>
      </c>
      <c r="AQ51" s="83">
        <v>0</v>
      </c>
      <c r="AR51" s="83">
        <v>0</v>
      </c>
      <c r="AS51" s="83">
        <v>0</v>
      </c>
      <c r="AT51" s="83">
        <v>0</v>
      </c>
      <c r="AU51" s="83">
        <v>0</v>
      </c>
      <c r="AV51" s="83">
        <v>0</v>
      </c>
      <c r="AW51" s="83">
        <v>0</v>
      </c>
      <c r="AX51" s="83">
        <v>0</v>
      </c>
      <c r="AY51" s="83">
        <v>0</v>
      </c>
      <c r="AZ51" s="83">
        <v>0</v>
      </c>
      <c r="BA51" s="83">
        <v>0</v>
      </c>
      <c r="BB51" s="83">
        <v>0</v>
      </c>
      <c r="BC51" s="83">
        <v>0</v>
      </c>
      <c r="BD51" s="83">
        <v>0</v>
      </c>
      <c r="BE51" s="5">
        <f t="shared" si="0"/>
        <v>2300</v>
      </c>
      <c r="BF51" s="5"/>
      <c r="BG51" s="5">
        <f t="shared" si="1"/>
        <v>2300</v>
      </c>
      <c r="BH51" s="66">
        <f>BE51-'TB 17.05.24'!BD47</f>
        <v>0</v>
      </c>
    </row>
    <row r="52" spans="1:63" ht="15" hidden="1" customHeight="1" x14ac:dyDescent="0.35">
      <c r="A52" s="3" t="s">
        <v>118</v>
      </c>
      <c r="B52" s="4" t="s">
        <v>119</v>
      </c>
      <c r="C52" s="4" t="s">
        <v>314</v>
      </c>
      <c r="D52" s="4" t="s">
        <v>296</v>
      </c>
      <c r="E52" s="83">
        <v>0</v>
      </c>
      <c r="F52" s="83">
        <v>0</v>
      </c>
      <c r="G52" s="83">
        <v>0</v>
      </c>
      <c r="H52" s="83">
        <v>0</v>
      </c>
      <c r="I52" s="83">
        <v>0</v>
      </c>
      <c r="J52" s="83">
        <v>0</v>
      </c>
      <c r="K52" s="83">
        <v>0</v>
      </c>
      <c r="L52" s="83">
        <v>0</v>
      </c>
      <c r="M52" s="83">
        <v>0</v>
      </c>
      <c r="N52" s="83">
        <v>0</v>
      </c>
      <c r="O52" s="83">
        <v>1227830</v>
      </c>
      <c r="P52" s="83">
        <v>0</v>
      </c>
      <c r="Q52" s="83">
        <v>0</v>
      </c>
      <c r="R52" s="83">
        <v>0</v>
      </c>
      <c r="S52" s="83">
        <v>7000</v>
      </c>
      <c r="T52" s="83">
        <v>0</v>
      </c>
      <c r="U52" s="83">
        <v>7000</v>
      </c>
      <c r="V52" s="83">
        <v>0</v>
      </c>
      <c r="W52" s="83">
        <v>0</v>
      </c>
      <c r="X52" s="83">
        <v>0</v>
      </c>
      <c r="Y52" s="83">
        <v>0</v>
      </c>
      <c r="Z52" s="83">
        <v>75000</v>
      </c>
      <c r="AA52" s="83">
        <v>0</v>
      </c>
      <c r="AB52" s="83">
        <v>0</v>
      </c>
      <c r="AC52" s="83">
        <v>2200</v>
      </c>
      <c r="AD52" s="83">
        <v>2200</v>
      </c>
      <c r="AE52" s="83">
        <v>100000</v>
      </c>
      <c r="AF52" s="83">
        <v>0</v>
      </c>
      <c r="AG52" s="83">
        <v>0</v>
      </c>
      <c r="AH52" s="83">
        <v>13600</v>
      </c>
      <c r="AI52" s="83">
        <v>0</v>
      </c>
      <c r="AJ52" s="83">
        <v>0</v>
      </c>
      <c r="AK52" s="83">
        <v>0</v>
      </c>
      <c r="AL52" s="83">
        <v>0</v>
      </c>
      <c r="AM52" s="83">
        <v>0</v>
      </c>
      <c r="AN52" s="83">
        <v>0</v>
      </c>
      <c r="AO52" s="83">
        <v>0</v>
      </c>
      <c r="AP52" s="83">
        <v>0</v>
      </c>
      <c r="AQ52" s="83">
        <v>0</v>
      </c>
      <c r="AR52" s="83">
        <v>0</v>
      </c>
      <c r="AS52" s="83">
        <v>30500</v>
      </c>
      <c r="AT52" s="83">
        <v>82389</v>
      </c>
      <c r="AU52" s="83">
        <v>0</v>
      </c>
      <c r="AV52" s="83">
        <v>28000</v>
      </c>
      <c r="AW52" s="83">
        <v>28000</v>
      </c>
      <c r="AX52" s="83">
        <v>25250</v>
      </c>
      <c r="AY52" s="83">
        <v>0</v>
      </c>
      <c r="AZ52" s="83">
        <v>0</v>
      </c>
      <c r="BA52" s="83">
        <v>25250</v>
      </c>
      <c r="BB52" s="83">
        <v>0</v>
      </c>
      <c r="BC52" s="83">
        <v>25250</v>
      </c>
      <c r="BD52" s="83">
        <v>25250</v>
      </c>
      <c r="BE52" s="5">
        <f t="shared" si="0"/>
        <v>1704719</v>
      </c>
      <c r="BF52" s="5"/>
      <c r="BG52" s="5">
        <f t="shared" si="1"/>
        <v>1704719</v>
      </c>
      <c r="BH52" s="66">
        <f>BE52-'TB 17.05.24'!BD48</f>
        <v>0</v>
      </c>
    </row>
    <row r="53" spans="1:63" ht="15" hidden="1" customHeight="1" x14ac:dyDescent="0.35">
      <c r="A53" s="3" t="s">
        <v>120</v>
      </c>
      <c r="B53" s="4" t="s">
        <v>121</v>
      </c>
      <c r="C53" s="4" t="s">
        <v>314</v>
      </c>
      <c r="D53" s="4" t="s">
        <v>322</v>
      </c>
      <c r="E53" s="83">
        <v>929</v>
      </c>
      <c r="F53" s="83">
        <v>417</v>
      </c>
      <c r="G53" s="83">
        <v>0</v>
      </c>
      <c r="H53" s="83">
        <v>991</v>
      </c>
      <c r="I53" s="83">
        <v>0</v>
      </c>
      <c r="J53" s="83">
        <v>3302</v>
      </c>
      <c r="K53" s="83">
        <v>1740</v>
      </c>
      <c r="L53" s="83">
        <v>0</v>
      </c>
      <c r="M53" s="83">
        <v>6371</v>
      </c>
      <c r="N53" s="83">
        <v>4904</v>
      </c>
      <c r="O53" s="83">
        <v>0</v>
      </c>
      <c r="P53" s="83">
        <v>0</v>
      </c>
      <c r="Q53" s="83">
        <v>0</v>
      </c>
      <c r="R53" s="83">
        <f>640+742</f>
        <v>1382</v>
      </c>
      <c r="S53" s="83">
        <v>4238</v>
      </c>
      <c r="T53" s="83">
        <f>742*0</f>
        <v>0</v>
      </c>
      <c r="U53" s="83">
        <v>3580</v>
      </c>
      <c r="V53" s="83">
        <v>0</v>
      </c>
      <c r="W53" s="83">
        <v>862</v>
      </c>
      <c r="X53" s="83">
        <v>907</v>
      </c>
      <c r="Y53" s="83">
        <v>2575</v>
      </c>
      <c r="Z53" s="83">
        <v>0</v>
      </c>
      <c r="AA53" s="83">
        <v>735</v>
      </c>
      <c r="AB53" s="83">
        <v>0</v>
      </c>
      <c r="AC53" s="83">
        <v>822</v>
      </c>
      <c r="AD53" s="83">
        <v>2589</v>
      </c>
      <c r="AE53" s="83">
        <v>430</v>
      </c>
      <c r="AF53" s="83">
        <v>2934</v>
      </c>
      <c r="AG53" s="83">
        <v>556</v>
      </c>
      <c r="AH53" s="83">
        <v>1000</v>
      </c>
      <c r="AI53" s="83">
        <v>0</v>
      </c>
      <c r="AJ53" s="83">
        <v>5372</v>
      </c>
      <c r="AK53" s="83">
        <v>0</v>
      </c>
      <c r="AL53" s="83">
        <v>0</v>
      </c>
      <c r="AM53" s="83">
        <v>0</v>
      </c>
      <c r="AN53" s="83">
        <v>0</v>
      </c>
      <c r="AO53" s="83">
        <v>2690</v>
      </c>
      <c r="AP53" s="83">
        <v>5276</v>
      </c>
      <c r="AQ53" s="83">
        <v>0</v>
      </c>
      <c r="AR53" s="83">
        <v>13514</v>
      </c>
      <c r="AS53" s="83">
        <v>0</v>
      </c>
      <c r="AT53" s="83">
        <v>0</v>
      </c>
      <c r="AU53" s="83">
        <v>0</v>
      </c>
      <c r="AV53" s="83">
        <v>0</v>
      </c>
      <c r="AW53" s="83">
        <v>0</v>
      </c>
      <c r="AX53" s="83">
        <v>0</v>
      </c>
      <c r="AY53" s="83">
        <v>0</v>
      </c>
      <c r="AZ53" s="83">
        <v>0</v>
      </c>
      <c r="BA53" s="83">
        <v>0</v>
      </c>
      <c r="BB53" s="83">
        <v>0</v>
      </c>
      <c r="BC53" s="83">
        <v>0</v>
      </c>
      <c r="BD53" s="83">
        <v>0</v>
      </c>
      <c r="BE53" s="5">
        <f t="shared" si="0"/>
        <v>68116</v>
      </c>
      <c r="BF53" s="5"/>
      <c r="BG53" s="5">
        <f t="shared" si="1"/>
        <v>68116</v>
      </c>
      <c r="BH53" s="66">
        <f>BE53-'TB 17.05.24'!BD49</f>
        <v>0</v>
      </c>
    </row>
    <row r="54" spans="1:63" ht="15" hidden="1" customHeight="1" x14ac:dyDescent="0.35">
      <c r="A54" s="3" t="s">
        <v>122</v>
      </c>
      <c r="B54" s="4" t="s">
        <v>123</v>
      </c>
      <c r="C54" s="4" t="s">
        <v>314</v>
      </c>
      <c r="D54" s="4" t="s">
        <v>322</v>
      </c>
      <c r="E54" s="83">
        <v>6143</v>
      </c>
      <c r="F54" s="83">
        <v>860</v>
      </c>
      <c r="G54" s="83">
        <v>0</v>
      </c>
      <c r="H54" s="83">
        <v>0</v>
      </c>
      <c r="I54" s="83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f>39922+28336</f>
        <v>68258</v>
      </c>
      <c r="P54" s="83">
        <v>0</v>
      </c>
      <c r="Q54" s="83">
        <v>0</v>
      </c>
      <c r="R54" s="83">
        <v>0</v>
      </c>
      <c r="S54" s="83">
        <v>0</v>
      </c>
      <c r="T54" s="83">
        <v>0</v>
      </c>
      <c r="U54" s="83">
        <v>0</v>
      </c>
      <c r="V54" s="83">
        <v>0</v>
      </c>
      <c r="W54" s="83">
        <v>14856</v>
      </c>
      <c r="X54" s="83">
        <v>14856</v>
      </c>
      <c r="Y54" s="83">
        <v>14859</v>
      </c>
      <c r="Z54" s="83">
        <v>0</v>
      </c>
      <c r="AA54" s="83">
        <v>0</v>
      </c>
      <c r="AB54" s="83">
        <v>0</v>
      </c>
      <c r="AC54" s="83">
        <v>0</v>
      </c>
      <c r="AD54" s="83">
        <v>0</v>
      </c>
      <c r="AE54" s="83">
        <v>0</v>
      </c>
      <c r="AF54" s="83">
        <v>0</v>
      </c>
      <c r="AG54" s="83">
        <v>0</v>
      </c>
      <c r="AH54" s="83">
        <v>0</v>
      </c>
      <c r="AI54" s="83">
        <v>28335.5</v>
      </c>
      <c r="AJ54" s="83">
        <v>13003.5</v>
      </c>
      <c r="AK54" s="83">
        <v>0</v>
      </c>
      <c r="AL54" s="83">
        <v>0</v>
      </c>
      <c r="AM54" s="83">
        <v>0</v>
      </c>
      <c r="AN54" s="83">
        <v>0</v>
      </c>
      <c r="AO54" s="83">
        <v>17362</v>
      </c>
      <c r="AP54" s="83">
        <v>13003.5</v>
      </c>
      <c r="AQ54" s="83">
        <f>28335.5*0</f>
        <v>0</v>
      </c>
      <c r="AR54" s="83">
        <v>30365.5</v>
      </c>
      <c r="AS54" s="83">
        <v>0</v>
      </c>
      <c r="AT54" s="83">
        <v>0</v>
      </c>
      <c r="AU54" s="83">
        <v>0</v>
      </c>
      <c r="AV54" s="83">
        <v>0</v>
      </c>
      <c r="AW54" s="83">
        <v>0</v>
      </c>
      <c r="AX54" s="83">
        <v>0</v>
      </c>
      <c r="AY54" s="83">
        <v>0</v>
      </c>
      <c r="AZ54" s="83">
        <v>0</v>
      </c>
      <c r="BA54" s="83">
        <v>0</v>
      </c>
      <c r="BB54" s="83">
        <v>0</v>
      </c>
      <c r="BC54" s="83">
        <v>0</v>
      </c>
      <c r="BD54" s="83">
        <v>0</v>
      </c>
      <c r="BE54" s="5">
        <f t="shared" si="0"/>
        <v>221902</v>
      </c>
      <c r="BF54" s="5"/>
      <c r="BG54" s="5">
        <f t="shared" si="1"/>
        <v>221902</v>
      </c>
      <c r="BH54" s="66">
        <f>BE54-'TB 17.05.24'!BD50</f>
        <v>0.5</v>
      </c>
    </row>
    <row r="55" spans="1:63" ht="15" hidden="1" customHeight="1" x14ac:dyDescent="0.35">
      <c r="A55" s="3" t="s">
        <v>124</v>
      </c>
      <c r="B55" s="4" t="s">
        <v>125</v>
      </c>
      <c r="C55" s="4" t="s">
        <v>314</v>
      </c>
      <c r="D55" s="4" t="s">
        <v>322</v>
      </c>
      <c r="E55" s="83">
        <v>3931</v>
      </c>
      <c r="F55" s="83">
        <v>3931</v>
      </c>
      <c r="G55" s="83">
        <v>0</v>
      </c>
      <c r="H55" s="83">
        <v>3931</v>
      </c>
      <c r="I55" s="83">
        <v>3932</v>
      </c>
      <c r="J55" s="83">
        <v>0</v>
      </c>
      <c r="K55" s="83">
        <v>0</v>
      </c>
      <c r="L55" s="83">
        <v>0</v>
      </c>
      <c r="M55" s="83">
        <v>0</v>
      </c>
      <c r="N55" s="83">
        <v>0</v>
      </c>
      <c r="O55" s="83">
        <v>0</v>
      </c>
      <c r="P55" s="83">
        <v>0</v>
      </c>
      <c r="Q55" s="83">
        <v>0</v>
      </c>
      <c r="R55" s="83">
        <v>0</v>
      </c>
      <c r="S55" s="83">
        <v>0</v>
      </c>
      <c r="T55" s="83">
        <v>0</v>
      </c>
      <c r="U55" s="83">
        <v>0</v>
      </c>
      <c r="V55" s="83">
        <v>0</v>
      </c>
      <c r="W55" s="83">
        <v>0</v>
      </c>
      <c r="X55" s="83">
        <v>0</v>
      </c>
      <c r="Y55" s="83">
        <v>0</v>
      </c>
      <c r="Z55" s="83">
        <v>0</v>
      </c>
      <c r="AA55" s="83">
        <v>0</v>
      </c>
      <c r="AB55" s="83">
        <v>0</v>
      </c>
      <c r="AC55" s="83">
        <v>0</v>
      </c>
      <c r="AD55" s="83">
        <v>0</v>
      </c>
      <c r="AE55" s="83">
        <v>0</v>
      </c>
      <c r="AF55" s="83">
        <v>0</v>
      </c>
      <c r="AG55" s="83">
        <v>0</v>
      </c>
      <c r="AH55" s="83">
        <v>0</v>
      </c>
      <c r="AI55" s="83">
        <v>0</v>
      </c>
      <c r="AJ55" s="83">
        <v>0</v>
      </c>
      <c r="AK55" s="83">
        <v>0</v>
      </c>
      <c r="AL55" s="83">
        <v>0</v>
      </c>
      <c r="AM55" s="83">
        <v>0</v>
      </c>
      <c r="AN55" s="83">
        <v>0</v>
      </c>
      <c r="AO55" s="83">
        <v>0</v>
      </c>
      <c r="AP55" s="83">
        <v>0</v>
      </c>
      <c r="AQ55" s="83">
        <v>0</v>
      </c>
      <c r="AR55" s="83">
        <v>0</v>
      </c>
      <c r="AS55" s="83">
        <v>0</v>
      </c>
      <c r="AT55" s="83">
        <v>0</v>
      </c>
      <c r="AU55" s="83">
        <v>0</v>
      </c>
      <c r="AV55" s="83">
        <v>0</v>
      </c>
      <c r="AW55" s="83">
        <v>0</v>
      </c>
      <c r="AX55" s="83">
        <v>0</v>
      </c>
      <c r="AY55" s="83">
        <v>0</v>
      </c>
      <c r="AZ55" s="83">
        <v>0</v>
      </c>
      <c r="BA55" s="83">
        <v>0</v>
      </c>
      <c r="BB55" s="83">
        <v>0</v>
      </c>
      <c r="BC55" s="83">
        <v>0</v>
      </c>
      <c r="BD55" s="83">
        <v>0</v>
      </c>
      <c r="BE55" s="5">
        <f t="shared" si="0"/>
        <v>15725</v>
      </c>
      <c r="BF55" s="5"/>
      <c r="BG55" s="5">
        <f t="shared" si="1"/>
        <v>15725</v>
      </c>
      <c r="BH55" s="66">
        <f>BE55-'TB 17.05.24'!BD51</f>
        <v>0</v>
      </c>
    </row>
    <row r="56" spans="1:63" ht="15" hidden="1" customHeight="1" x14ac:dyDescent="0.35">
      <c r="A56" s="3" t="s">
        <v>126</v>
      </c>
      <c r="B56" s="4" t="s">
        <v>127</v>
      </c>
      <c r="C56" s="4" t="s">
        <v>314</v>
      </c>
      <c r="D56" s="4" t="s">
        <v>291</v>
      </c>
      <c r="E56" s="83">
        <v>0</v>
      </c>
      <c r="F56" s="83">
        <v>0</v>
      </c>
      <c r="G56" s="83">
        <v>0</v>
      </c>
      <c r="H56" s="83">
        <v>0</v>
      </c>
      <c r="I56" s="83">
        <v>0</v>
      </c>
      <c r="J56" s="83">
        <v>0</v>
      </c>
      <c r="K56" s="83">
        <v>0</v>
      </c>
      <c r="L56" s="83">
        <v>0</v>
      </c>
      <c r="M56" s="83">
        <v>0</v>
      </c>
      <c r="N56" s="83">
        <v>0</v>
      </c>
      <c r="O56" s="83">
        <v>0</v>
      </c>
      <c r="P56" s="83">
        <v>0</v>
      </c>
      <c r="Q56" s="83">
        <v>0</v>
      </c>
      <c r="R56" s="83">
        <v>0</v>
      </c>
      <c r="S56" s="83">
        <v>0</v>
      </c>
      <c r="T56" s="83">
        <v>0</v>
      </c>
      <c r="U56" s="83">
        <v>0</v>
      </c>
      <c r="V56" s="83">
        <v>0</v>
      </c>
      <c r="W56" s="83">
        <v>0</v>
      </c>
      <c r="X56" s="83">
        <v>0</v>
      </c>
      <c r="Y56" s="83">
        <v>0</v>
      </c>
      <c r="Z56" s="83">
        <v>0</v>
      </c>
      <c r="AA56" s="83">
        <v>0</v>
      </c>
      <c r="AB56" s="83">
        <v>0</v>
      </c>
      <c r="AC56" s="83">
        <v>0</v>
      </c>
      <c r="AD56" s="83">
        <v>0</v>
      </c>
      <c r="AE56" s="83">
        <v>0</v>
      </c>
      <c r="AF56" s="83">
        <v>0</v>
      </c>
      <c r="AG56" s="83">
        <v>0</v>
      </c>
      <c r="AH56" s="83">
        <v>0</v>
      </c>
      <c r="AI56" s="83">
        <v>0</v>
      </c>
      <c r="AJ56" s="83">
        <v>0</v>
      </c>
      <c r="AK56" s="83">
        <v>0</v>
      </c>
      <c r="AL56" s="83">
        <v>0</v>
      </c>
      <c r="AM56" s="83">
        <v>0</v>
      </c>
      <c r="AN56" s="83">
        <v>0</v>
      </c>
      <c r="AO56" s="83">
        <v>0</v>
      </c>
      <c r="AP56" s="83">
        <v>0</v>
      </c>
      <c r="AQ56" s="83">
        <v>0</v>
      </c>
      <c r="AR56" s="83">
        <v>21600</v>
      </c>
      <c r="AS56" s="83">
        <v>0</v>
      </c>
      <c r="AT56" s="83">
        <v>0</v>
      </c>
      <c r="AU56" s="83">
        <v>0</v>
      </c>
      <c r="AV56" s="83">
        <v>0</v>
      </c>
      <c r="AW56" s="83">
        <v>0</v>
      </c>
      <c r="AX56" s="83">
        <v>0</v>
      </c>
      <c r="AY56" s="83">
        <v>0</v>
      </c>
      <c r="AZ56" s="83">
        <v>0</v>
      </c>
      <c r="BA56" s="83">
        <v>0</v>
      </c>
      <c r="BB56" s="83">
        <v>0</v>
      </c>
      <c r="BC56" s="83">
        <v>0</v>
      </c>
      <c r="BD56" s="83">
        <v>0</v>
      </c>
      <c r="BE56" s="5">
        <f t="shared" si="0"/>
        <v>21600</v>
      </c>
      <c r="BF56" s="5"/>
      <c r="BG56" s="5">
        <f t="shared" si="1"/>
        <v>21600</v>
      </c>
      <c r="BH56" s="66">
        <f>BE56-'TB 17.05.24'!BD52</f>
        <v>0</v>
      </c>
    </row>
    <row r="57" spans="1:63" ht="15" hidden="1" customHeight="1" x14ac:dyDescent="0.35">
      <c r="A57" s="3" t="s">
        <v>128</v>
      </c>
      <c r="B57" s="4" t="s">
        <v>129</v>
      </c>
      <c r="C57" s="4" t="s">
        <v>314</v>
      </c>
      <c r="D57" s="4" t="s">
        <v>322</v>
      </c>
      <c r="E57" s="83">
        <v>3848</v>
      </c>
      <c r="F57" s="83">
        <v>49981</v>
      </c>
      <c r="G57" s="83">
        <v>0</v>
      </c>
      <c r="H57" s="83">
        <v>17262</v>
      </c>
      <c r="I57" s="83">
        <v>2309</v>
      </c>
      <c r="J57" s="83">
        <f>33758/4</f>
        <v>8439.5</v>
      </c>
      <c r="K57" s="83">
        <f>185+(33758/4)</f>
        <v>8624.5</v>
      </c>
      <c r="L57" s="83">
        <f>33758*0</f>
        <v>0</v>
      </c>
      <c r="M57" s="83">
        <f>1500+(33758/4)</f>
        <v>9939.5</v>
      </c>
      <c r="N57" s="83">
        <f>(33758/4)</f>
        <v>8439.5</v>
      </c>
      <c r="O57" s="83">
        <v>0</v>
      </c>
      <c r="P57" s="83">
        <v>0</v>
      </c>
      <c r="Q57" s="83">
        <v>0</v>
      </c>
      <c r="R57" s="83">
        <f>38869+621</f>
        <v>39490</v>
      </c>
      <c r="S57" s="83">
        <v>31806</v>
      </c>
      <c r="T57" s="83">
        <f>621*0</f>
        <v>0</v>
      </c>
      <c r="U57" s="83">
        <v>71537</v>
      </c>
      <c r="V57" s="83">
        <f>23903*0</f>
        <v>0</v>
      </c>
      <c r="W57" s="83">
        <f>545+(23903/3)</f>
        <v>8512.6666666666679</v>
      </c>
      <c r="X57" s="83">
        <f>1610+(23903/3)</f>
        <v>9577.6666666666679</v>
      </c>
      <c r="Y57" s="83">
        <f>(23903/3)</f>
        <v>7967.666666666667</v>
      </c>
      <c r="Z57" s="83">
        <f>14048+(375/8)</f>
        <v>14094.875</v>
      </c>
      <c r="AA57" s="83">
        <f>22430+(375/8)</f>
        <v>22476.875</v>
      </c>
      <c r="AB57" s="83">
        <f>375*0</f>
        <v>0</v>
      </c>
      <c r="AC57" s="83">
        <f>14635+(375/8)</f>
        <v>14681.875</v>
      </c>
      <c r="AD57" s="83">
        <f>73235+(375/8)</f>
        <v>73281.875</v>
      </c>
      <c r="AE57" s="83">
        <f>11538+(375/8)</f>
        <v>11584.875</v>
      </c>
      <c r="AF57" s="83">
        <f>30096+(375/8)</f>
        <v>30142.875</v>
      </c>
      <c r="AG57" s="83">
        <f>29912+(375/8)</f>
        <v>29958.875</v>
      </c>
      <c r="AH57" s="83">
        <f>9650+(375/8)</f>
        <v>9696.875</v>
      </c>
      <c r="AI57" s="83">
        <f>2070+(28540/5)</f>
        <v>7778</v>
      </c>
      <c r="AJ57" s="83">
        <f>+(5708)</f>
        <v>5708</v>
      </c>
      <c r="AK57" s="83">
        <v>0</v>
      </c>
      <c r="AL57" s="83">
        <v>0</v>
      </c>
      <c r="AM57" s="83">
        <f>28540*0</f>
        <v>0</v>
      </c>
      <c r="AN57" s="83">
        <v>0</v>
      </c>
      <c r="AO57" s="83">
        <f>7490+(28540/5)</f>
        <v>13198</v>
      </c>
      <c r="AP57" s="83">
        <f>+(5708)</f>
        <v>5708</v>
      </c>
      <c r="AQ57" s="83">
        <v>0</v>
      </c>
      <c r="AR57" s="83">
        <f>60+(28540/5)</f>
        <v>5768</v>
      </c>
      <c r="AS57" s="83">
        <v>14907</v>
      </c>
      <c r="AT57" s="83">
        <v>1800</v>
      </c>
      <c r="AU57" s="83">
        <v>0</v>
      </c>
      <c r="AV57" s="83">
        <v>38943</v>
      </c>
      <c r="AW57" s="83">
        <v>38943</v>
      </c>
      <c r="AX57" s="83">
        <v>30834</v>
      </c>
      <c r="AY57" s="83">
        <v>0</v>
      </c>
      <c r="AZ57" s="83">
        <v>0</v>
      </c>
      <c r="BA57" s="83">
        <v>69645</v>
      </c>
      <c r="BB57" s="83">
        <v>26342</v>
      </c>
      <c r="BC57" s="83">
        <v>34853</v>
      </c>
      <c r="BD57" s="83">
        <v>8179</v>
      </c>
      <c r="BE57" s="5">
        <f t="shared" si="0"/>
        <v>786259</v>
      </c>
      <c r="BF57" s="5"/>
      <c r="BG57" s="5">
        <f t="shared" si="1"/>
        <v>786259</v>
      </c>
      <c r="BH57" s="66">
        <f>BE57-'TB 17.05.24'!BD53</f>
        <v>0</v>
      </c>
    </row>
    <row r="58" spans="1:63" ht="15" hidden="1" customHeight="1" x14ac:dyDescent="0.35">
      <c r="A58" s="3" t="s">
        <v>130</v>
      </c>
      <c r="B58" s="4" t="s">
        <v>131</v>
      </c>
      <c r="C58" s="4" t="s">
        <v>314</v>
      </c>
      <c r="D58" s="4" t="s">
        <v>322</v>
      </c>
      <c r="E58" s="83">
        <v>0</v>
      </c>
      <c r="F58" s="83">
        <v>0</v>
      </c>
      <c r="G58" s="83">
        <v>0</v>
      </c>
      <c r="H58" s="83">
        <v>0</v>
      </c>
      <c r="I58" s="83">
        <v>700</v>
      </c>
      <c r="J58" s="83">
        <v>0</v>
      </c>
      <c r="K58" s="83">
        <v>455</v>
      </c>
      <c r="L58" s="83">
        <v>0</v>
      </c>
      <c r="M58" s="83">
        <v>0</v>
      </c>
      <c r="N58" s="83">
        <v>0</v>
      </c>
      <c r="O58" s="83">
        <v>0</v>
      </c>
      <c r="P58" s="83">
        <v>0</v>
      </c>
      <c r="Q58" s="83">
        <v>0</v>
      </c>
      <c r="R58" s="83">
        <v>1540</v>
      </c>
      <c r="S58" s="83">
        <v>465</v>
      </c>
      <c r="T58" s="83">
        <v>0</v>
      </c>
      <c r="U58" s="83">
        <v>1200</v>
      </c>
      <c r="V58" s="83">
        <v>0</v>
      </c>
      <c r="W58" s="83">
        <v>0</v>
      </c>
      <c r="X58" s="83">
        <v>122</v>
      </c>
      <c r="Y58" s="83">
        <v>200</v>
      </c>
      <c r="Z58" s="83">
        <v>300</v>
      </c>
      <c r="AA58" s="83">
        <v>300</v>
      </c>
      <c r="AB58" s="83">
        <v>0</v>
      </c>
      <c r="AC58" s="83">
        <v>350</v>
      </c>
      <c r="AD58" s="83">
        <v>300</v>
      </c>
      <c r="AE58" s="83">
        <v>300</v>
      </c>
      <c r="AF58" s="83">
        <v>350</v>
      </c>
      <c r="AG58" s="83">
        <v>400</v>
      </c>
      <c r="AH58" s="83">
        <v>300</v>
      </c>
      <c r="AI58" s="83">
        <v>6750</v>
      </c>
      <c r="AJ58" s="83">
        <v>6750</v>
      </c>
      <c r="AK58" s="83">
        <v>0</v>
      </c>
      <c r="AL58" s="83">
        <v>0</v>
      </c>
      <c r="AM58" s="83">
        <v>0</v>
      </c>
      <c r="AN58" s="83">
        <v>0</v>
      </c>
      <c r="AO58" s="83">
        <v>0</v>
      </c>
      <c r="AP58" s="83">
        <v>2388</v>
      </c>
      <c r="AQ58" s="83">
        <v>0</v>
      </c>
      <c r="AR58" s="83">
        <v>200</v>
      </c>
      <c r="AS58" s="83">
        <v>70</v>
      </c>
      <c r="AT58" s="83">
        <v>30</v>
      </c>
      <c r="AU58" s="83">
        <v>0</v>
      </c>
      <c r="AV58" s="83">
        <v>356</v>
      </c>
      <c r="AW58" s="83">
        <v>100</v>
      </c>
      <c r="AX58" s="83">
        <v>1646</v>
      </c>
      <c r="AY58" s="83">
        <v>0</v>
      </c>
      <c r="AZ58" s="83">
        <v>0</v>
      </c>
      <c r="BA58" s="83">
        <v>0</v>
      </c>
      <c r="BB58" s="83">
        <v>0</v>
      </c>
      <c r="BC58" s="83">
        <v>4843</v>
      </c>
      <c r="BD58" s="83">
        <v>0</v>
      </c>
      <c r="BE58" s="5">
        <f t="shared" si="0"/>
        <v>30415</v>
      </c>
      <c r="BF58" s="5"/>
      <c r="BG58" s="5">
        <f t="shared" si="1"/>
        <v>30415</v>
      </c>
      <c r="BH58" s="66">
        <f>BE58-'TB 17.05.24'!BD54</f>
        <v>0</v>
      </c>
    </row>
    <row r="59" spans="1:63" ht="15" hidden="1" customHeight="1" x14ac:dyDescent="0.35">
      <c r="A59" s="3" t="s">
        <v>973</v>
      </c>
      <c r="B59" s="4" t="s">
        <v>974</v>
      </c>
      <c r="C59" s="4" t="s">
        <v>314</v>
      </c>
      <c r="D59" s="4" t="s">
        <v>294</v>
      </c>
      <c r="E59" s="83">
        <v>93489.22</v>
      </c>
      <c r="F59" s="83">
        <v>91125</v>
      </c>
      <c r="G59" s="83">
        <v>0</v>
      </c>
      <c r="H59" s="83">
        <v>83071.329999999987</v>
      </c>
      <c r="I59" s="83">
        <v>114612.49999999997</v>
      </c>
      <c r="J59" s="83">
        <v>44920.98000000001</v>
      </c>
      <c r="K59" s="83">
        <v>43165.479999999996</v>
      </c>
      <c r="L59" s="83">
        <v>0</v>
      </c>
      <c r="M59" s="83">
        <v>16033.59</v>
      </c>
      <c r="N59" s="83">
        <v>46840.36</v>
      </c>
      <c r="O59" s="83">
        <v>0</v>
      </c>
      <c r="P59" s="83">
        <v>0</v>
      </c>
      <c r="Q59" s="83">
        <v>0</v>
      </c>
      <c r="R59" s="83">
        <v>43610.35</v>
      </c>
      <c r="S59" s="83">
        <v>43409.67</v>
      </c>
      <c r="T59" s="83">
        <v>0</v>
      </c>
      <c r="U59" s="83">
        <v>40711</v>
      </c>
      <c r="V59" s="83">
        <v>0</v>
      </c>
      <c r="W59" s="83">
        <v>21784.300000000003</v>
      </c>
      <c r="X59" s="83">
        <v>41419.19</v>
      </c>
      <c r="Y59" s="83">
        <v>12474.36</v>
      </c>
      <c r="Z59" s="83">
        <v>44215.89</v>
      </c>
      <c r="AA59" s="83">
        <v>62874.659999999996</v>
      </c>
      <c r="AB59" s="83">
        <v>0</v>
      </c>
      <c r="AC59" s="83">
        <v>47913.53</v>
      </c>
      <c r="AD59" s="83">
        <v>113484.48000000001</v>
      </c>
      <c r="AE59" s="83">
        <v>18434.510000000002</v>
      </c>
      <c r="AF59" s="83">
        <v>48530.570000000007</v>
      </c>
      <c r="AG59" s="83">
        <v>49703.14</v>
      </c>
      <c r="AH59" s="83">
        <v>112753.7</v>
      </c>
      <c r="AI59" s="83">
        <v>0</v>
      </c>
      <c r="AJ59" s="83">
        <v>0</v>
      </c>
      <c r="AK59" s="83">
        <v>0</v>
      </c>
      <c r="AL59" s="83">
        <v>0</v>
      </c>
      <c r="AM59" s="83">
        <v>0</v>
      </c>
      <c r="AN59" s="83">
        <v>0</v>
      </c>
      <c r="AO59" s="83">
        <v>0</v>
      </c>
      <c r="AP59" s="83">
        <v>0</v>
      </c>
      <c r="AQ59" s="83">
        <v>0</v>
      </c>
      <c r="AR59" s="83">
        <v>0</v>
      </c>
      <c r="AS59" s="83">
        <v>36747.15</v>
      </c>
      <c r="AT59" s="83">
        <v>75810.010000000009</v>
      </c>
      <c r="AU59" s="83">
        <v>0</v>
      </c>
      <c r="AV59" s="83">
        <v>46294.840000000004</v>
      </c>
      <c r="AW59" s="83">
        <v>35335.72</v>
      </c>
      <c r="AX59" s="83">
        <v>0</v>
      </c>
      <c r="AY59" s="83">
        <v>0</v>
      </c>
      <c r="AZ59" s="83">
        <v>0</v>
      </c>
      <c r="BA59" s="83">
        <v>0</v>
      </c>
      <c r="BB59" s="83">
        <v>0</v>
      </c>
      <c r="BC59" s="83">
        <v>0</v>
      </c>
      <c r="BD59" s="83">
        <v>0</v>
      </c>
      <c r="BE59" s="83">
        <f t="shared" si="0"/>
        <v>1428765.5299999998</v>
      </c>
      <c r="BF59" s="5"/>
      <c r="BG59" s="5">
        <f t="shared" si="1"/>
        <v>1428765.5299999998</v>
      </c>
      <c r="BH59" s="66"/>
    </row>
    <row r="60" spans="1:63" ht="15" hidden="1" customHeight="1" x14ac:dyDescent="0.35">
      <c r="A60" s="3" t="s">
        <v>132</v>
      </c>
      <c r="B60" s="4" t="s">
        <v>133</v>
      </c>
      <c r="C60" s="4" t="s">
        <v>314</v>
      </c>
      <c r="D60" s="4" t="s">
        <v>320</v>
      </c>
      <c r="E60" s="83">
        <v>1800</v>
      </c>
      <c r="F60" s="83">
        <v>45720</v>
      </c>
      <c r="G60" s="83">
        <v>0</v>
      </c>
      <c r="H60" s="83">
        <v>24410</v>
      </c>
      <c r="I60" s="83">
        <v>1140</v>
      </c>
      <c r="J60" s="83">
        <f>12625/4</f>
        <v>3156.25</v>
      </c>
      <c r="K60" s="83">
        <f>300+(12625/4)</f>
        <v>3456.25</v>
      </c>
      <c r="L60" s="83">
        <f>12625*0</f>
        <v>0</v>
      </c>
      <c r="M60" s="83">
        <f>900+(12625/4)</f>
        <v>4056.25</v>
      </c>
      <c r="N60" s="83">
        <f>10053+(12625/4)</f>
        <v>13209.25</v>
      </c>
      <c r="O60" s="83">
        <v>0</v>
      </c>
      <c r="P60" s="83">
        <v>0</v>
      </c>
      <c r="Q60" s="83">
        <v>0</v>
      </c>
      <c r="R60" s="83">
        <v>500</v>
      </c>
      <c r="S60" s="83">
        <v>88623</v>
      </c>
      <c r="T60" s="83">
        <v>0</v>
      </c>
      <c r="U60" s="83">
        <v>29206</v>
      </c>
      <c r="V60" s="83">
        <f>19807*0</f>
        <v>0</v>
      </c>
      <c r="W60" s="83">
        <f>4979+(19807/3)</f>
        <v>11581.333333333332</v>
      </c>
      <c r="X60" s="83">
        <f>3775+(19807/3)</f>
        <v>10377.333333333332</v>
      </c>
      <c r="Y60" s="83">
        <f>40+(19807/3)</f>
        <v>6642.333333333333</v>
      </c>
      <c r="Z60" s="83">
        <f>23976+(5640/8)</f>
        <v>24681</v>
      </c>
      <c r="AA60" s="83">
        <f>9586+(5640/8)</f>
        <v>10291</v>
      </c>
      <c r="AB60" s="83">
        <f>5640*0</f>
        <v>0</v>
      </c>
      <c r="AC60" s="83">
        <f>25166+(5640/8)</f>
        <v>25871</v>
      </c>
      <c r="AD60" s="83">
        <f>6167+(5640/8)</f>
        <v>6872</v>
      </c>
      <c r="AE60" s="83">
        <f>3165+(5640/8)</f>
        <v>3870</v>
      </c>
      <c r="AF60" s="83">
        <f>515+(5640/8)</f>
        <v>1220</v>
      </c>
      <c r="AG60" s="83">
        <f>54410+(5640/8)</f>
        <v>55115</v>
      </c>
      <c r="AH60" s="83">
        <f>31710+(5640/8)</f>
        <v>32415</v>
      </c>
      <c r="AI60" s="83">
        <f>52859+(22999/5)</f>
        <v>57458.8</v>
      </c>
      <c r="AJ60" s="83">
        <f>750+(22999/5)</f>
        <v>5349.8</v>
      </c>
      <c r="AK60" s="83">
        <v>0</v>
      </c>
      <c r="AL60" s="83">
        <v>0</v>
      </c>
      <c r="AM60" s="83">
        <f>22999*0</f>
        <v>0</v>
      </c>
      <c r="AN60" s="83">
        <v>0</v>
      </c>
      <c r="AO60" s="83">
        <f>19600+(22999/5)</f>
        <v>24199.8</v>
      </c>
      <c r="AP60" s="83">
        <f>890+(22999/5)</f>
        <v>5489.8</v>
      </c>
      <c r="AQ60" s="83">
        <v>0</v>
      </c>
      <c r="AR60" s="83">
        <f>16710+(22999/5)</f>
        <v>21309.8</v>
      </c>
      <c r="AS60" s="83">
        <v>12410</v>
      </c>
      <c r="AT60" s="83">
        <v>392</v>
      </c>
      <c r="AU60" s="83">
        <v>0</v>
      </c>
      <c r="AV60" s="83">
        <v>1808</v>
      </c>
      <c r="AW60" s="83">
        <v>1808</v>
      </c>
      <c r="AX60" s="83">
        <v>16284</v>
      </c>
      <c r="AY60" s="83">
        <v>0</v>
      </c>
      <c r="AZ60" s="83">
        <v>0</v>
      </c>
      <c r="BA60" s="83">
        <v>13159</v>
      </c>
      <c r="BB60" s="83">
        <v>7700</v>
      </c>
      <c r="BC60" s="83">
        <v>85261</v>
      </c>
      <c r="BD60" s="83">
        <v>9188</v>
      </c>
      <c r="BE60" s="5">
        <f t="shared" si="0"/>
        <v>666031</v>
      </c>
      <c r="BF60" s="5"/>
      <c r="BG60" s="5">
        <f t="shared" si="1"/>
        <v>666031</v>
      </c>
      <c r="BH60" s="66">
        <f>BE60-'TB 17.05.24'!BD55</f>
        <v>0</v>
      </c>
    </row>
    <row r="61" spans="1:63" ht="15" hidden="1" customHeight="1" x14ac:dyDescent="0.35">
      <c r="A61" s="3" t="s">
        <v>134</v>
      </c>
      <c r="B61" s="4" t="s">
        <v>135</v>
      </c>
      <c r="C61" s="4" t="s">
        <v>314</v>
      </c>
      <c r="D61" s="4" t="s">
        <v>322</v>
      </c>
      <c r="E61" s="83">
        <v>0</v>
      </c>
      <c r="F61" s="83">
        <v>0</v>
      </c>
      <c r="G61" s="83">
        <v>0</v>
      </c>
      <c r="H61" s="83">
        <v>0</v>
      </c>
      <c r="I61" s="83">
        <v>0</v>
      </c>
      <c r="J61" s="83">
        <v>0</v>
      </c>
      <c r="K61" s="83">
        <v>0</v>
      </c>
      <c r="L61" s="83">
        <v>0</v>
      </c>
      <c r="M61" s="83">
        <v>0</v>
      </c>
      <c r="N61" s="83">
        <v>0</v>
      </c>
      <c r="O61" s="83">
        <v>0</v>
      </c>
      <c r="P61" s="83">
        <v>0</v>
      </c>
      <c r="Q61" s="83">
        <v>0</v>
      </c>
      <c r="R61" s="83">
        <v>0</v>
      </c>
      <c r="S61" s="83">
        <v>0</v>
      </c>
      <c r="T61" s="83">
        <v>0</v>
      </c>
      <c r="U61" s="83">
        <v>0</v>
      </c>
      <c r="V61" s="83">
        <v>0</v>
      </c>
      <c r="W61" s="83">
        <v>0</v>
      </c>
      <c r="X61" s="83">
        <v>0</v>
      </c>
      <c r="Y61" s="83">
        <v>0</v>
      </c>
      <c r="Z61" s="83">
        <v>0</v>
      </c>
      <c r="AA61" s="83">
        <v>0</v>
      </c>
      <c r="AB61" s="83">
        <v>0</v>
      </c>
      <c r="AC61" s="83">
        <v>0</v>
      </c>
      <c r="AD61" s="83">
        <v>0</v>
      </c>
      <c r="AE61" s="83">
        <v>0</v>
      </c>
      <c r="AF61" s="83">
        <v>0</v>
      </c>
      <c r="AG61" s="83">
        <v>0</v>
      </c>
      <c r="AH61" s="83">
        <v>0</v>
      </c>
      <c r="AI61" s="83">
        <v>0</v>
      </c>
      <c r="AJ61" s="83">
        <v>0</v>
      </c>
      <c r="AK61" s="83">
        <v>0</v>
      </c>
      <c r="AL61" s="83">
        <v>0</v>
      </c>
      <c r="AM61" s="83">
        <v>0</v>
      </c>
      <c r="AN61" s="83">
        <v>0</v>
      </c>
      <c r="AO61" s="83">
        <v>0</v>
      </c>
      <c r="AP61" s="83">
        <v>0</v>
      </c>
      <c r="AQ61" s="83">
        <v>0</v>
      </c>
      <c r="AR61" s="83">
        <v>0</v>
      </c>
      <c r="AS61" s="83">
        <v>0</v>
      </c>
      <c r="AT61" s="83">
        <v>1133</v>
      </c>
      <c r="AU61" s="83">
        <v>0</v>
      </c>
      <c r="AV61" s="83">
        <v>300</v>
      </c>
      <c r="AW61" s="83">
        <v>4818</v>
      </c>
      <c r="AX61" s="83">
        <v>0</v>
      </c>
      <c r="AY61" s="83">
        <v>0</v>
      </c>
      <c r="AZ61" s="83">
        <v>0</v>
      </c>
      <c r="BA61" s="83">
        <v>2786</v>
      </c>
      <c r="BB61" s="83">
        <v>0</v>
      </c>
      <c r="BC61" s="83">
        <v>1590</v>
      </c>
      <c r="BD61" s="83">
        <v>1094</v>
      </c>
      <c r="BE61" s="83">
        <f t="shared" si="0"/>
        <v>11721</v>
      </c>
      <c r="BF61" s="5"/>
      <c r="BG61" s="5">
        <f t="shared" si="1"/>
        <v>11721</v>
      </c>
      <c r="BH61" s="66">
        <f>BE61-'TB 17.05.24'!BD56</f>
        <v>0</v>
      </c>
    </row>
    <row r="62" spans="1:63" ht="15" hidden="1" customHeight="1" x14ac:dyDescent="0.35">
      <c r="A62" s="3" t="s">
        <v>136</v>
      </c>
      <c r="B62" s="4" t="s">
        <v>137</v>
      </c>
      <c r="C62" s="4" t="s">
        <v>314</v>
      </c>
      <c r="D62" s="4" t="s">
        <v>322</v>
      </c>
      <c r="E62" s="83">
        <v>0</v>
      </c>
      <c r="F62" s="83">
        <v>0</v>
      </c>
      <c r="G62" s="83">
        <v>0</v>
      </c>
      <c r="H62" s="83">
        <v>0</v>
      </c>
      <c r="I62" s="83">
        <v>0</v>
      </c>
      <c r="J62" s="83">
        <v>0</v>
      </c>
      <c r="K62" s="83">
        <v>0</v>
      </c>
      <c r="L62" s="83">
        <v>0</v>
      </c>
      <c r="M62" s="83">
        <v>0</v>
      </c>
      <c r="N62" s="83">
        <v>0</v>
      </c>
      <c r="O62" s="83">
        <v>0</v>
      </c>
      <c r="P62" s="83">
        <v>0</v>
      </c>
      <c r="Q62" s="83">
        <v>0</v>
      </c>
      <c r="R62" s="83">
        <v>0</v>
      </c>
      <c r="S62" s="83">
        <v>0</v>
      </c>
      <c r="T62" s="83">
        <v>0</v>
      </c>
      <c r="U62" s="83">
        <v>0</v>
      </c>
      <c r="V62" s="83">
        <v>0</v>
      </c>
      <c r="W62" s="83">
        <v>0</v>
      </c>
      <c r="X62" s="83">
        <v>0</v>
      </c>
      <c r="Y62" s="83">
        <v>0</v>
      </c>
      <c r="Z62" s="83">
        <v>0</v>
      </c>
      <c r="AA62" s="83">
        <v>0</v>
      </c>
      <c r="AB62" s="83">
        <v>0</v>
      </c>
      <c r="AC62" s="83">
        <v>0</v>
      </c>
      <c r="AD62" s="83">
        <v>0</v>
      </c>
      <c r="AE62" s="83">
        <v>0</v>
      </c>
      <c r="AF62" s="83">
        <v>0</v>
      </c>
      <c r="AG62" s="83">
        <v>0</v>
      </c>
      <c r="AH62" s="83">
        <v>0</v>
      </c>
      <c r="AI62" s="83">
        <v>0</v>
      </c>
      <c r="AJ62" s="83">
        <v>0</v>
      </c>
      <c r="AK62" s="83">
        <v>0</v>
      </c>
      <c r="AL62" s="83">
        <v>0</v>
      </c>
      <c r="AM62" s="83">
        <v>0</v>
      </c>
      <c r="AN62" s="83">
        <v>0</v>
      </c>
      <c r="AO62" s="83">
        <v>0</v>
      </c>
      <c r="AP62" s="83">
        <v>0</v>
      </c>
      <c r="AQ62" s="83">
        <v>0</v>
      </c>
      <c r="AR62" s="83">
        <v>0</v>
      </c>
      <c r="AS62" s="83">
        <v>350</v>
      </c>
      <c r="AT62" s="83">
        <v>0</v>
      </c>
      <c r="AU62" s="83">
        <v>0</v>
      </c>
      <c r="AV62" s="83">
        <v>760</v>
      </c>
      <c r="AW62" s="83">
        <v>0</v>
      </c>
      <c r="AX62" s="83">
        <v>0</v>
      </c>
      <c r="AY62" s="83">
        <v>0</v>
      </c>
      <c r="AZ62" s="83">
        <v>0</v>
      </c>
      <c r="BA62" s="83">
        <v>0</v>
      </c>
      <c r="BB62" s="83">
        <v>0</v>
      </c>
      <c r="BC62" s="83">
        <v>0</v>
      </c>
      <c r="BD62" s="83">
        <v>0</v>
      </c>
      <c r="BE62" s="5">
        <f t="shared" si="0"/>
        <v>1110</v>
      </c>
      <c r="BF62" s="5"/>
      <c r="BG62" s="5">
        <f t="shared" si="1"/>
        <v>1110</v>
      </c>
      <c r="BH62" s="66">
        <f>BE62-'TB 17.05.24'!BD57</f>
        <v>0</v>
      </c>
    </row>
    <row r="63" spans="1:63" ht="15" hidden="1" customHeight="1" x14ac:dyDescent="0.35">
      <c r="A63" s="3" t="s">
        <v>138</v>
      </c>
      <c r="B63" s="4" t="s">
        <v>139</v>
      </c>
      <c r="C63" s="4" t="s">
        <v>314</v>
      </c>
      <c r="D63" s="4" t="s">
        <v>294</v>
      </c>
      <c r="E63" s="83">
        <f>'REV &amp; COGS'!C24</f>
        <v>2288</v>
      </c>
      <c r="F63" s="83">
        <f>'REV &amp; COGS'!D24</f>
        <v>3014</v>
      </c>
      <c r="G63" s="83">
        <f>'REV &amp; COGS'!E24</f>
        <v>0</v>
      </c>
      <c r="H63" s="83">
        <f>'REV &amp; COGS'!F24</f>
        <v>3356</v>
      </c>
      <c r="I63" s="83">
        <f>'REV &amp; COGS'!G24</f>
        <v>1673</v>
      </c>
      <c r="J63" s="83">
        <f>'REV &amp; COGS'!H24</f>
        <v>9792</v>
      </c>
      <c r="K63" s="83">
        <f>'REV &amp; COGS'!I24</f>
        <v>5481.9</v>
      </c>
      <c r="L63" s="83">
        <f>'REV &amp; COGS'!J24</f>
        <v>0</v>
      </c>
      <c r="M63" s="83">
        <f>'REV &amp; COGS'!K24</f>
        <v>13973.6</v>
      </c>
      <c r="N63" s="83">
        <f>'REV &amp; COGS'!L24</f>
        <v>7188.9</v>
      </c>
      <c r="O63" s="83">
        <f>998059.27-'REV &amp; COGS'!BC22</f>
        <v>471309.098</v>
      </c>
      <c r="P63" s="83">
        <v>0</v>
      </c>
      <c r="Q63" s="83">
        <v>0</v>
      </c>
      <c r="R63" s="83">
        <f>'REV &amp; COGS'!O24</f>
        <v>0</v>
      </c>
      <c r="S63" s="83">
        <f>'REV &amp; COGS'!P24</f>
        <v>10552.5</v>
      </c>
      <c r="T63" s="83">
        <f>'REV &amp; COGS'!Q24</f>
        <v>0</v>
      </c>
      <c r="U63" s="83">
        <f>'REV &amp; COGS'!R24</f>
        <v>3990</v>
      </c>
      <c r="V63" s="83">
        <f>'REV &amp; COGS'!S24</f>
        <v>0</v>
      </c>
      <c r="W63" s="83">
        <f>'REV &amp; COGS'!T24</f>
        <v>346</v>
      </c>
      <c r="X63" s="83">
        <f>'REV &amp; COGS'!U24</f>
        <v>2031</v>
      </c>
      <c r="Y63" s="83">
        <f>'REV &amp; COGS'!V24</f>
        <v>5151</v>
      </c>
      <c r="Z63" s="83">
        <f>'REV &amp; COGS'!W24</f>
        <v>16912.199999999997</v>
      </c>
      <c r="AA63" s="83">
        <f>'REV &amp; COGS'!X24</f>
        <v>1016</v>
      </c>
      <c r="AB63" s="83">
        <f>'REV &amp; COGS'!Y24</f>
        <v>1016</v>
      </c>
      <c r="AC63" s="83">
        <f>'REV &amp; COGS'!Z24</f>
        <v>1023</v>
      </c>
      <c r="AD63" s="83">
        <f>'REV &amp; COGS'!AA24</f>
        <v>3016</v>
      </c>
      <c r="AE63" s="83">
        <f>'REV &amp; COGS'!AB24</f>
        <v>7628</v>
      </c>
      <c r="AF63" s="83">
        <f>'REV &amp; COGS'!AC24</f>
        <v>3436.4</v>
      </c>
      <c r="AG63" s="83">
        <f>'REV &amp; COGS'!AD24</f>
        <v>3014</v>
      </c>
      <c r="AH63" s="83">
        <f>'REV &amp; COGS'!AE24</f>
        <v>1680.1</v>
      </c>
      <c r="AI63" s="83">
        <f>'REV &amp; COGS'!AF24</f>
        <v>52756.7</v>
      </c>
      <c r="AJ63" s="83">
        <f>'REV &amp; COGS'!AG24</f>
        <v>135614.772</v>
      </c>
      <c r="AK63" s="83">
        <f>'REV &amp; COGS'!AH24</f>
        <v>0</v>
      </c>
      <c r="AL63" s="83">
        <f>'REV &amp; COGS'!AI24</f>
        <v>0</v>
      </c>
      <c r="AM63" s="83">
        <f>'REV &amp; COGS'!AJ24</f>
        <v>0</v>
      </c>
      <c r="AN63" s="83">
        <f>'REV &amp; COGS'!AK24</f>
        <v>0</v>
      </c>
      <c r="AO63" s="83">
        <f>'REV &amp; COGS'!AL24</f>
        <v>54718.5</v>
      </c>
      <c r="AP63" s="83">
        <f>'REV &amp; COGS'!AM24</f>
        <v>251136</v>
      </c>
      <c r="AQ63" s="83">
        <f>'REV &amp; COGS'!AN24</f>
        <v>0</v>
      </c>
      <c r="AR63" s="83">
        <f>'REV &amp; COGS'!AO24</f>
        <v>74788.799999999988</v>
      </c>
      <c r="AS63" s="83">
        <f>'REV &amp; COGS'!AP24</f>
        <v>193750.2</v>
      </c>
      <c r="AT63" s="83">
        <f>'REV &amp; COGS'!AQ24</f>
        <v>13065.3</v>
      </c>
      <c r="AU63" s="83">
        <f>'REV &amp; COGS'!AR24</f>
        <v>2031</v>
      </c>
      <c r="AV63" s="83">
        <f>'REV &amp; COGS'!AS24</f>
        <v>5651.4</v>
      </c>
      <c r="AW63" s="83">
        <f>'REV &amp; COGS'!AT24</f>
        <v>28806</v>
      </c>
      <c r="AX63" s="83">
        <f>'REV &amp; COGS'!AU24</f>
        <v>6346.5</v>
      </c>
      <c r="AY63" s="83">
        <f>'REV &amp; COGS'!AV24</f>
        <v>2100</v>
      </c>
      <c r="AZ63" s="83">
        <f>'REV &amp; COGS'!AW24</f>
        <v>0</v>
      </c>
      <c r="BA63" s="83">
        <f>'REV &amp; COGS'!AX24</f>
        <v>19872</v>
      </c>
      <c r="BB63" s="83">
        <f>'REV &amp; COGS'!AY24</f>
        <v>10037</v>
      </c>
      <c r="BC63" s="83">
        <f>'REV &amp; COGS'!AZ24</f>
        <v>8544</v>
      </c>
      <c r="BD63" s="83">
        <f>'REV &amp; COGS'!BA24</f>
        <v>4142.3999999999996</v>
      </c>
      <c r="BE63" s="83">
        <f t="shared" si="0"/>
        <v>1442249.2699999998</v>
      </c>
      <c r="BF63" s="5"/>
      <c r="BG63" s="5">
        <f t="shared" si="1"/>
        <v>1442249.2699999998</v>
      </c>
      <c r="BH63" s="66">
        <f>BE63-'TB 17.05.24'!BD58</f>
        <v>0</v>
      </c>
    </row>
    <row r="64" spans="1:63" ht="15" hidden="1" customHeight="1" x14ac:dyDescent="0.35">
      <c r="A64" s="3" t="s">
        <v>140</v>
      </c>
      <c r="B64" s="4" t="s">
        <v>141</v>
      </c>
      <c r="C64" s="4" t="s">
        <v>314</v>
      </c>
      <c r="D64" s="4" t="s">
        <v>268</v>
      </c>
      <c r="E64" s="83">
        <v>126941.62360000001</v>
      </c>
      <c r="F64" s="83">
        <v>172760.5055</v>
      </c>
      <c r="G64" s="83">
        <v>0</v>
      </c>
      <c r="H64" s="83">
        <v>318429.67969999998</v>
      </c>
      <c r="I64" s="83">
        <v>102935.14219999999</v>
      </c>
      <c r="J64" s="83">
        <v>241568.4656</v>
      </c>
      <c r="K64" s="83">
        <v>350886.81429999997</v>
      </c>
      <c r="L64" s="83">
        <v>0</v>
      </c>
      <c r="M64" s="83">
        <v>394426.67989999999</v>
      </c>
      <c r="N64" s="83">
        <v>293750.2194</v>
      </c>
      <c r="O64" s="376">
        <v>0</v>
      </c>
      <c r="P64" s="83">
        <v>0</v>
      </c>
      <c r="Q64" s="83">
        <v>0</v>
      </c>
      <c r="R64" s="83">
        <v>306191.87940000003</v>
      </c>
      <c r="S64" s="83">
        <v>235790.53410000002</v>
      </c>
      <c r="T64" s="83">
        <v>0</v>
      </c>
      <c r="U64" s="83">
        <v>387072.87520000001</v>
      </c>
      <c r="V64" s="83">
        <v>0</v>
      </c>
      <c r="W64" s="83">
        <v>92433.987900000007</v>
      </c>
      <c r="X64" s="83">
        <v>173950.02269999997</v>
      </c>
      <c r="Y64" s="83">
        <v>149467.48469999997</v>
      </c>
      <c r="Z64" s="83">
        <v>126103.62419999999</v>
      </c>
      <c r="AA64" s="83">
        <v>159345.49590000001</v>
      </c>
      <c r="AB64" s="376">
        <v>0</v>
      </c>
      <c r="AC64" s="83">
        <v>314534.04839999997</v>
      </c>
      <c r="AD64" s="83">
        <v>356909.80590000004</v>
      </c>
      <c r="AE64" s="83">
        <v>28294.983</v>
      </c>
      <c r="AF64" s="83">
        <v>176435.34389999998</v>
      </c>
      <c r="AG64" s="83">
        <v>137259.74609999999</v>
      </c>
      <c r="AH64" s="83">
        <v>159809.70689999999</v>
      </c>
      <c r="AI64" s="83">
        <v>201563.58309999999</v>
      </c>
      <c r="AJ64" s="83">
        <v>239133.14809999999</v>
      </c>
      <c r="AK64" s="83">
        <v>0</v>
      </c>
      <c r="AL64" s="83">
        <v>0</v>
      </c>
      <c r="AM64" s="83">
        <v>0</v>
      </c>
      <c r="AN64" s="83">
        <v>0</v>
      </c>
      <c r="AO64" s="83">
        <v>512478.54020000005</v>
      </c>
      <c r="AP64" s="83">
        <v>25020.446</v>
      </c>
      <c r="AQ64" s="83">
        <v>0</v>
      </c>
      <c r="AR64" s="83">
        <v>590303.16070000001</v>
      </c>
      <c r="AS64" s="83">
        <v>224462.51190000001</v>
      </c>
      <c r="AT64" s="83">
        <v>168301.07139999999</v>
      </c>
      <c r="AU64" s="83">
        <v>0</v>
      </c>
      <c r="AV64" s="83">
        <v>220965.43150000001</v>
      </c>
      <c r="AW64" s="83">
        <v>220505.27619999999</v>
      </c>
      <c r="AX64" s="83">
        <v>118991.35709999998</v>
      </c>
      <c r="AY64" s="83">
        <v>0</v>
      </c>
      <c r="AZ64" s="83">
        <v>0</v>
      </c>
      <c r="BA64" s="83">
        <v>280381.45189999999</v>
      </c>
      <c r="BB64" s="83">
        <v>130078.5398</v>
      </c>
      <c r="BC64" s="83">
        <v>411508.51280000003</v>
      </c>
      <c r="BD64" s="83">
        <v>64138.322599999992</v>
      </c>
      <c r="BE64" s="5">
        <f t="shared" si="0"/>
        <v>8213130.0217999993</v>
      </c>
      <c r="BF64" s="346">
        <v>-5107316</v>
      </c>
      <c r="BG64" s="5">
        <f t="shared" si="1"/>
        <v>3105814.0217999993</v>
      </c>
      <c r="BH64" s="66">
        <f>BE64-'TB 17.05.24'!BD59</f>
        <v>2.1799999289214611E-2</v>
      </c>
      <c r="BI64">
        <v>8240381</v>
      </c>
      <c r="BJ64">
        <v>-5107316</v>
      </c>
      <c r="BK64">
        <v>3133065</v>
      </c>
    </row>
    <row r="65" spans="1:63" ht="15" hidden="1" customHeight="1" x14ac:dyDescent="0.35">
      <c r="A65" s="3" t="s">
        <v>142</v>
      </c>
      <c r="B65" s="4" t="s">
        <v>143</v>
      </c>
      <c r="C65" s="4" t="s">
        <v>314</v>
      </c>
      <c r="D65" s="4" t="s">
        <v>269</v>
      </c>
      <c r="E65" s="83">
        <v>84876</v>
      </c>
      <c r="F65" s="83">
        <v>108720</v>
      </c>
      <c r="G65" s="83">
        <v>0</v>
      </c>
      <c r="H65" s="83">
        <v>120444</v>
      </c>
      <c r="I65" s="83">
        <v>50806</v>
      </c>
      <c r="J65" s="83">
        <v>72886</v>
      </c>
      <c r="K65" s="83">
        <v>72886</v>
      </c>
      <c r="L65" s="83">
        <v>0</v>
      </c>
      <c r="M65" s="83">
        <v>72886</v>
      </c>
      <c r="N65" s="83">
        <v>72886</v>
      </c>
      <c r="O65" s="83">
        <v>0</v>
      </c>
      <c r="P65" s="83">
        <v>0</v>
      </c>
      <c r="Q65" s="83">
        <v>0</v>
      </c>
      <c r="R65" s="83">
        <v>82044</v>
      </c>
      <c r="S65" s="83">
        <v>299598</v>
      </c>
      <c r="T65" s="83">
        <v>0</v>
      </c>
      <c r="U65" s="83">
        <v>157066</v>
      </c>
      <c r="V65" s="83">
        <v>0</v>
      </c>
      <c r="W65" s="83">
        <v>116405</v>
      </c>
      <c r="X65" s="83">
        <v>150958</v>
      </c>
      <c r="Y65" s="83">
        <v>116405</v>
      </c>
      <c r="Z65" s="83">
        <v>47380</v>
      </c>
      <c r="AA65" s="83">
        <v>45942</v>
      </c>
      <c r="AB65" s="83">
        <v>0</v>
      </c>
      <c r="AC65" s="83">
        <v>112062.10092261345</v>
      </c>
      <c r="AD65" s="83">
        <v>127864.64131048767</v>
      </c>
      <c r="AE65" s="83">
        <v>69044.074311178061</v>
      </c>
      <c r="AF65" s="83">
        <v>142251.18345572083</v>
      </c>
      <c r="AG65" s="83">
        <v>52455</v>
      </c>
      <c r="AH65" s="83">
        <v>59449</v>
      </c>
      <c r="AI65" s="83">
        <v>114354</v>
      </c>
      <c r="AJ65" s="83">
        <v>69448</v>
      </c>
      <c r="AK65" s="83">
        <v>0</v>
      </c>
      <c r="AL65" s="83">
        <v>0</v>
      </c>
      <c r="AM65" s="83">
        <v>0</v>
      </c>
      <c r="AN65" s="83">
        <v>0</v>
      </c>
      <c r="AO65" s="83">
        <v>156928</v>
      </c>
      <c r="AP65" s="83">
        <v>53123</v>
      </c>
      <c r="AQ65" s="83">
        <v>0</v>
      </c>
      <c r="AR65" s="83">
        <v>165676</v>
      </c>
      <c r="AS65" s="83">
        <v>159265</v>
      </c>
      <c r="AT65" s="83">
        <v>101584</v>
      </c>
      <c r="AU65" s="83">
        <v>0</v>
      </c>
      <c r="AV65" s="83">
        <v>83603</v>
      </c>
      <c r="AW65" s="83">
        <v>83603</v>
      </c>
      <c r="AX65" s="83">
        <v>102581</v>
      </c>
      <c r="AY65" s="83">
        <v>0</v>
      </c>
      <c r="AZ65" s="83">
        <v>0</v>
      </c>
      <c r="BA65" s="83">
        <v>102581</v>
      </c>
      <c r="BB65" s="83">
        <v>62304</v>
      </c>
      <c r="BC65" s="83">
        <v>111797</v>
      </c>
      <c r="BD65" s="83">
        <v>111797</v>
      </c>
      <c r="BE65" s="83">
        <f t="shared" si="0"/>
        <v>3713958</v>
      </c>
      <c r="BF65" s="5">
        <v>1839331</v>
      </c>
      <c r="BG65" s="5">
        <f t="shared" si="1"/>
        <v>5553289</v>
      </c>
      <c r="BH65" s="66">
        <f>BE65-'TB 17.05.24'!BD60</f>
        <v>0</v>
      </c>
    </row>
    <row r="66" spans="1:63" ht="15" hidden="1" customHeight="1" x14ac:dyDescent="0.35">
      <c r="A66" s="3" t="s">
        <v>144</v>
      </c>
      <c r="B66" s="4" t="s">
        <v>145</v>
      </c>
      <c r="C66" s="4" t="s">
        <v>314</v>
      </c>
      <c r="D66" s="4" t="s">
        <v>287</v>
      </c>
      <c r="E66" s="83">
        <v>42332</v>
      </c>
      <c r="F66" s="83">
        <v>54225</v>
      </c>
      <c r="G66" s="83">
        <v>0</v>
      </c>
      <c r="H66" s="83">
        <v>60072</v>
      </c>
      <c r="I66" s="83">
        <v>25340</v>
      </c>
      <c r="J66" s="83">
        <v>47144</v>
      </c>
      <c r="K66" s="83">
        <v>47144</v>
      </c>
      <c r="L66" s="83">
        <v>0</v>
      </c>
      <c r="M66" s="83">
        <v>47144</v>
      </c>
      <c r="N66" s="83">
        <v>47144</v>
      </c>
      <c r="O66" s="83">
        <v>0</v>
      </c>
      <c r="P66" s="83">
        <v>0</v>
      </c>
      <c r="Q66" s="83">
        <v>0</v>
      </c>
      <c r="R66" s="83">
        <v>39312</v>
      </c>
      <c r="S66" s="83">
        <v>143557</v>
      </c>
      <c r="T66" s="83">
        <v>0</v>
      </c>
      <c r="U66" s="83">
        <v>71677</v>
      </c>
      <c r="V66" s="83">
        <v>0</v>
      </c>
      <c r="W66" s="83">
        <v>23296.875</v>
      </c>
      <c r="X66" s="83">
        <v>30211.22</v>
      </c>
      <c r="Y66" s="83">
        <v>23296.875</v>
      </c>
      <c r="Z66" s="83">
        <v>30797</v>
      </c>
      <c r="AA66" s="83">
        <v>28440</v>
      </c>
      <c r="AB66" s="83">
        <v>0</v>
      </c>
      <c r="AC66" s="83">
        <v>72840.53944643194</v>
      </c>
      <c r="AD66" s="83">
        <v>83112.215213707401</v>
      </c>
      <c r="AE66" s="83">
        <v>44878.755413293162</v>
      </c>
      <c r="AF66" s="83">
        <v>92463.489926567505</v>
      </c>
      <c r="AG66" s="83">
        <v>32472</v>
      </c>
      <c r="AH66" s="83">
        <v>40148</v>
      </c>
      <c r="AI66" s="83">
        <v>9266</v>
      </c>
      <c r="AJ66" s="83">
        <v>0</v>
      </c>
      <c r="AK66" s="83">
        <v>0</v>
      </c>
      <c r="AL66" s="83">
        <v>0</v>
      </c>
      <c r="AM66" s="83">
        <v>0</v>
      </c>
      <c r="AN66" s="83">
        <v>0</v>
      </c>
      <c r="AO66" s="83">
        <v>114307</v>
      </c>
      <c r="AP66" s="83">
        <v>0</v>
      </c>
      <c r="AQ66" s="83">
        <v>0</v>
      </c>
      <c r="AR66" s="83">
        <v>138716</v>
      </c>
      <c r="AS66" s="83">
        <v>117301</v>
      </c>
      <c r="AT66" s="83">
        <v>78559</v>
      </c>
      <c r="AU66" s="83">
        <v>0</v>
      </c>
      <c r="AV66" s="83">
        <v>61709.5</v>
      </c>
      <c r="AW66" s="83">
        <v>61709.5</v>
      </c>
      <c r="AX66" s="83">
        <v>47988.5</v>
      </c>
      <c r="AY66" s="83">
        <v>0</v>
      </c>
      <c r="AZ66" s="83">
        <v>0</v>
      </c>
      <c r="BA66" s="83">
        <v>47988.5</v>
      </c>
      <c r="BB66" s="83">
        <v>7780</v>
      </c>
      <c r="BC66" s="83">
        <v>58236</v>
      </c>
      <c r="BD66" s="83">
        <v>58236</v>
      </c>
      <c r="BE66" s="83">
        <f t="shared" si="0"/>
        <v>1928844.97</v>
      </c>
      <c r="BF66" s="5">
        <v>-812400</v>
      </c>
      <c r="BG66" s="5">
        <f t="shared" si="1"/>
        <v>1116444.97</v>
      </c>
      <c r="BH66" s="66">
        <f>BE66-'TB 17.05.24'!BD61</f>
        <v>-3.0000000027939677E-2</v>
      </c>
      <c r="BI66">
        <v>1635907</v>
      </c>
      <c r="BJ66">
        <v>-812400</v>
      </c>
      <c r="BK66">
        <v>823507</v>
      </c>
    </row>
    <row r="67" spans="1:63" ht="15" hidden="1" customHeight="1" x14ac:dyDescent="0.35">
      <c r="A67" s="3" t="s">
        <v>146</v>
      </c>
      <c r="B67" s="4" t="s">
        <v>147</v>
      </c>
      <c r="C67" s="4" t="s">
        <v>314</v>
      </c>
      <c r="D67" s="4" t="s">
        <v>288</v>
      </c>
      <c r="E67" s="83">
        <v>15273.1</v>
      </c>
      <c r="F67" s="83">
        <v>46797.99</v>
      </c>
      <c r="G67" s="83">
        <v>0</v>
      </c>
      <c r="H67" s="83">
        <v>23380.27</v>
      </c>
      <c r="I67" s="83">
        <v>14208.22</v>
      </c>
      <c r="J67" s="83">
        <v>18981.666666666668</v>
      </c>
      <c r="K67" s="83">
        <v>14708</v>
      </c>
      <c r="L67" s="83">
        <v>0</v>
      </c>
      <c r="M67" s="83">
        <v>18981.666666666668</v>
      </c>
      <c r="N67" s="83">
        <v>18981.666666666668</v>
      </c>
      <c r="O67" s="83">
        <v>0</v>
      </c>
      <c r="P67" s="83">
        <v>0</v>
      </c>
      <c r="Q67" s="83">
        <v>0</v>
      </c>
      <c r="R67" s="83">
        <v>13217.25</v>
      </c>
      <c r="S67" s="83">
        <v>48260.25</v>
      </c>
      <c r="T67" s="83">
        <v>0</v>
      </c>
      <c r="U67" s="83">
        <v>24095.916666666668</v>
      </c>
      <c r="V67" s="83">
        <v>0</v>
      </c>
      <c r="W67" s="83">
        <v>12578.333333333334</v>
      </c>
      <c r="X67" s="83">
        <v>16056.083333333334</v>
      </c>
      <c r="Y67" s="83">
        <v>12578.333333333334</v>
      </c>
      <c r="Z67" s="83">
        <v>14699.75</v>
      </c>
      <c r="AA67" s="83">
        <v>13570.083333333334</v>
      </c>
      <c r="AB67" s="83">
        <v>0</v>
      </c>
      <c r="AC67" s="83">
        <v>33967.70623862424</v>
      </c>
      <c r="AD67" s="83">
        <v>38757.693623297564</v>
      </c>
      <c r="AE67" s="83">
        <v>20928.296135902427</v>
      </c>
      <c r="AF67" s="83">
        <v>43118.470668842449</v>
      </c>
      <c r="AG67" s="83">
        <v>15491.916666666666</v>
      </c>
      <c r="AH67" s="83">
        <v>19159.583333333332</v>
      </c>
      <c r="AI67" s="83">
        <v>0</v>
      </c>
      <c r="AJ67" s="83">
        <v>69537</v>
      </c>
      <c r="AK67" s="83">
        <v>0</v>
      </c>
      <c r="AL67" s="83">
        <v>0</v>
      </c>
      <c r="AM67" s="83">
        <v>0</v>
      </c>
      <c r="AN67" s="83">
        <v>0</v>
      </c>
      <c r="AO67" s="83">
        <v>0</v>
      </c>
      <c r="AP67" s="83">
        <v>54805</v>
      </c>
      <c r="AQ67" s="83">
        <v>0</v>
      </c>
      <c r="AR67" s="83">
        <v>0</v>
      </c>
      <c r="AS67" s="83">
        <v>23099.75</v>
      </c>
      <c r="AT67" s="83">
        <v>10174.416666666666</v>
      </c>
      <c r="AU67" s="83">
        <v>0</v>
      </c>
      <c r="AV67" s="83">
        <v>7320.541666666667</v>
      </c>
      <c r="AW67" s="83">
        <v>7320.541666666667</v>
      </c>
      <c r="AX67" s="83">
        <v>4569</v>
      </c>
      <c r="AY67" s="83">
        <v>0</v>
      </c>
      <c r="AZ67" s="83">
        <v>0</v>
      </c>
      <c r="BA67" s="83">
        <v>4569</v>
      </c>
      <c r="BB67" s="83">
        <v>3730</v>
      </c>
      <c r="BC67" s="83">
        <v>5346</v>
      </c>
      <c r="BD67" s="83">
        <v>5346</v>
      </c>
      <c r="BE67" s="5">
        <f t="shared" si="0"/>
        <v>693609.49666666647</v>
      </c>
      <c r="BF67" s="5"/>
      <c r="BG67" s="5">
        <f t="shared" si="1"/>
        <v>693609.49666666647</v>
      </c>
      <c r="BH67" s="66">
        <f>BE67-'TB 17.05.24'!BD62</f>
        <v>0.49666666646953672</v>
      </c>
    </row>
    <row r="68" spans="1:63" ht="15" hidden="1" customHeight="1" x14ac:dyDescent="0.35">
      <c r="A68" s="3" t="s">
        <v>148</v>
      </c>
      <c r="B68" s="4" t="s">
        <v>149</v>
      </c>
      <c r="C68" s="4" t="s">
        <v>314</v>
      </c>
      <c r="D68" s="4" t="s">
        <v>287</v>
      </c>
      <c r="E68" s="83">
        <v>74235</v>
      </c>
      <c r="F68" s="83">
        <v>79955</v>
      </c>
      <c r="G68" s="83">
        <v>0</v>
      </c>
      <c r="H68" s="83">
        <v>100583</v>
      </c>
      <c r="I68" s="83">
        <v>47253</v>
      </c>
      <c r="J68" s="83">
        <v>59388.5</v>
      </c>
      <c r="K68" s="83">
        <v>76841.5</v>
      </c>
      <c r="L68" s="83">
        <v>0</v>
      </c>
      <c r="M68" s="83">
        <v>53815.5</v>
      </c>
      <c r="N68" s="83">
        <v>53815.5</v>
      </c>
      <c r="O68" s="376">
        <v>0</v>
      </c>
      <c r="P68" s="83">
        <v>0</v>
      </c>
      <c r="Q68" s="83">
        <v>0</v>
      </c>
      <c r="R68" s="83">
        <v>1932</v>
      </c>
      <c r="S68" s="83">
        <f>0+120309</f>
        <v>120309</v>
      </c>
      <c r="T68" s="83">
        <v>0</v>
      </c>
      <c r="U68" s="83">
        <f>0+140817</f>
        <v>140817</v>
      </c>
      <c r="V68" s="83">
        <v>0</v>
      </c>
      <c r="W68" s="83">
        <v>75404.60500000001</v>
      </c>
      <c r="X68" s="83">
        <v>52620.62</v>
      </c>
      <c r="Y68" s="83">
        <v>75404.60500000001</v>
      </c>
      <c r="Z68" s="83">
        <v>101248</v>
      </c>
      <c r="AA68" s="83">
        <v>175956</v>
      </c>
      <c r="AB68" s="376">
        <v>0</v>
      </c>
      <c r="AC68" s="83">
        <v>115178.67614385238</v>
      </c>
      <c r="AD68" s="83">
        <v>131420.70325739033</v>
      </c>
      <c r="AE68" s="83">
        <v>70964.26900144355</v>
      </c>
      <c r="AF68" s="83">
        <v>146207.35159731374</v>
      </c>
      <c r="AG68" s="83">
        <v>72174</v>
      </c>
      <c r="AH68" s="83">
        <v>172565</v>
      </c>
      <c r="AI68" s="83">
        <v>0</v>
      </c>
      <c r="AJ68" s="83">
        <v>0</v>
      </c>
      <c r="AK68" s="83">
        <v>0</v>
      </c>
      <c r="AL68" s="83">
        <v>0</v>
      </c>
      <c r="AM68" s="83">
        <v>0</v>
      </c>
      <c r="AN68" s="83">
        <v>0</v>
      </c>
      <c r="AO68" s="83">
        <v>232590</v>
      </c>
      <c r="AP68" s="83">
        <v>978</v>
      </c>
      <c r="AQ68" s="83">
        <v>0</v>
      </c>
      <c r="AR68" s="83">
        <v>136150</v>
      </c>
      <c r="AS68" s="83">
        <v>0</v>
      </c>
      <c r="AT68" s="83">
        <v>0</v>
      </c>
      <c r="AU68" s="83">
        <v>0</v>
      </c>
      <c r="AV68" s="83">
        <v>0</v>
      </c>
      <c r="AW68" s="83">
        <v>0</v>
      </c>
      <c r="AX68" s="83">
        <v>7288.1049999999996</v>
      </c>
      <c r="AY68" s="83">
        <v>0</v>
      </c>
      <c r="AZ68" s="83">
        <v>0</v>
      </c>
      <c r="BA68" s="83">
        <v>7288.1049999999996</v>
      </c>
      <c r="BB68" s="83">
        <v>121995</v>
      </c>
      <c r="BC68" s="83">
        <v>108766.5</v>
      </c>
      <c r="BD68" s="83">
        <v>108766.5</v>
      </c>
      <c r="BE68" s="5">
        <f t="shared" si="0"/>
        <v>2721911.04</v>
      </c>
      <c r="BF68" s="346">
        <v>-2321015</v>
      </c>
      <c r="BG68" s="5">
        <f t="shared" si="1"/>
        <v>400896.04000000004</v>
      </c>
      <c r="BH68" s="66">
        <f>BE68-'TB 17.05.24'!BD63</f>
        <v>261126.04000000004</v>
      </c>
      <c r="BI68">
        <v>2246890</v>
      </c>
      <c r="BJ68">
        <v>-2321015</v>
      </c>
      <c r="BK68">
        <v>-74125</v>
      </c>
    </row>
    <row r="69" spans="1:63" ht="15" hidden="1" customHeight="1" x14ac:dyDescent="0.35">
      <c r="A69" s="3" t="s">
        <v>546</v>
      </c>
      <c r="B69" s="4" t="s">
        <v>547</v>
      </c>
      <c r="C69" s="4" t="s">
        <v>314</v>
      </c>
      <c r="D69" s="4" t="s">
        <v>287</v>
      </c>
      <c r="E69" s="83">
        <v>10609</v>
      </c>
      <c r="F69" s="83">
        <v>13591</v>
      </c>
      <c r="G69" s="83">
        <v>0</v>
      </c>
      <c r="H69" s="83">
        <v>15055</v>
      </c>
      <c r="I69" s="83">
        <v>6350</v>
      </c>
      <c r="J69" s="83">
        <v>8282.5</v>
      </c>
      <c r="K69" s="83">
        <v>8282.5</v>
      </c>
      <c r="L69" s="83">
        <v>0</v>
      </c>
      <c r="M69" s="83">
        <v>8282.5</v>
      </c>
      <c r="N69" s="83">
        <v>8282.5</v>
      </c>
      <c r="O69" s="83">
        <v>0</v>
      </c>
      <c r="P69" s="83">
        <v>0</v>
      </c>
      <c r="Q69" s="83">
        <v>0</v>
      </c>
      <c r="R69" s="83">
        <v>10255</v>
      </c>
      <c r="S69" s="83">
        <v>37449</v>
      </c>
      <c r="T69" s="83">
        <v>0</v>
      </c>
      <c r="U69" s="83">
        <v>18698</v>
      </c>
      <c r="V69" s="83">
        <v>0</v>
      </c>
      <c r="W69" s="83">
        <v>15873</v>
      </c>
      <c r="X69" s="83">
        <v>20585</v>
      </c>
      <c r="Y69" s="83">
        <v>15873</v>
      </c>
      <c r="Z69" s="83">
        <v>5282</v>
      </c>
      <c r="AA69" s="83">
        <v>4877</v>
      </c>
      <c r="AB69" s="83">
        <v>0</v>
      </c>
      <c r="AC69" s="83">
        <v>12490.391075127094</v>
      </c>
      <c r="AD69" s="83">
        <v>14251.735078139709</v>
      </c>
      <c r="AE69" s="83">
        <v>7695.6212891483083</v>
      </c>
      <c r="AF69" s="83">
        <v>15855.252557584887</v>
      </c>
      <c r="AG69" s="83">
        <v>5569</v>
      </c>
      <c r="AH69" s="83">
        <v>6885</v>
      </c>
      <c r="AI69" s="83">
        <v>12995</v>
      </c>
      <c r="AJ69" s="83">
        <v>56673</v>
      </c>
      <c r="AK69" s="83">
        <v>0</v>
      </c>
      <c r="AL69" s="83">
        <v>0</v>
      </c>
      <c r="AM69" s="83">
        <v>0</v>
      </c>
      <c r="AN69" s="83">
        <v>0</v>
      </c>
      <c r="AO69" s="83">
        <v>20780</v>
      </c>
      <c r="AP69" s="83">
        <v>39358</v>
      </c>
      <c r="AQ69" s="83">
        <v>0</v>
      </c>
      <c r="AR69" s="83">
        <v>18827</v>
      </c>
      <c r="AS69" s="83">
        <v>20287</v>
      </c>
      <c r="AT69" s="83">
        <v>13586</v>
      </c>
      <c r="AU69" s="83">
        <v>0</v>
      </c>
      <c r="AV69" s="83">
        <v>10650</v>
      </c>
      <c r="AW69" s="83">
        <v>10650</v>
      </c>
      <c r="AX69" s="83">
        <v>13988.5</v>
      </c>
      <c r="AY69" s="83">
        <v>0</v>
      </c>
      <c r="AZ69" s="83">
        <v>0</v>
      </c>
      <c r="BA69" s="83">
        <v>13988.5</v>
      </c>
      <c r="BB69" s="83">
        <v>8496</v>
      </c>
      <c r="BC69" s="83">
        <v>15245.5</v>
      </c>
      <c r="BD69" s="83">
        <v>15245.5</v>
      </c>
      <c r="BE69" s="5">
        <f t="shared" si="0"/>
        <v>541144</v>
      </c>
      <c r="BF69" s="5"/>
      <c r="BG69" s="5">
        <f t="shared" si="1"/>
        <v>541144</v>
      </c>
      <c r="BH69" s="66">
        <f>BE69-'TB 17.05.24'!BD64</f>
        <v>0</v>
      </c>
    </row>
    <row r="70" spans="1:63" ht="15" hidden="1" customHeight="1" x14ac:dyDescent="0.35">
      <c r="A70" s="3" t="s">
        <v>150</v>
      </c>
      <c r="B70" s="4" t="s">
        <v>87</v>
      </c>
      <c r="C70" s="4" t="s">
        <v>314</v>
      </c>
      <c r="D70" s="4" t="s">
        <v>288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47604</v>
      </c>
      <c r="L70" s="83">
        <v>0</v>
      </c>
      <c r="M70" s="83">
        <v>61542.5</v>
      </c>
      <c r="N70" s="83">
        <v>61542.5</v>
      </c>
      <c r="O70" s="83">
        <v>0</v>
      </c>
      <c r="P70" s="83">
        <v>0</v>
      </c>
      <c r="Q70" s="83">
        <v>0</v>
      </c>
      <c r="R70" s="83">
        <v>90542</v>
      </c>
      <c r="S70" s="83">
        <v>58416</v>
      </c>
      <c r="T70" s="83">
        <v>0</v>
      </c>
      <c r="U70" s="83">
        <v>97634</v>
      </c>
      <c r="V70" s="83">
        <v>0</v>
      </c>
      <c r="W70" s="83">
        <v>119232.8</v>
      </c>
      <c r="X70" s="83">
        <v>60119.5</v>
      </c>
      <c r="Y70" s="83">
        <v>119232.8</v>
      </c>
      <c r="Z70" s="83">
        <v>0</v>
      </c>
      <c r="AA70" s="83">
        <v>0</v>
      </c>
      <c r="AB70" s="83">
        <v>0</v>
      </c>
      <c r="AC70" s="83">
        <v>54665.360195820002</v>
      </c>
      <c r="AD70" s="83">
        <v>62374.046318960653</v>
      </c>
      <c r="AE70" s="83">
        <v>33680.603527270447</v>
      </c>
      <c r="AF70" s="83">
        <v>69391.989957948914</v>
      </c>
      <c r="AG70" s="83">
        <v>33089</v>
      </c>
      <c r="AH70" s="83">
        <v>48219</v>
      </c>
      <c r="AI70" s="83">
        <v>0</v>
      </c>
      <c r="AJ70" s="83">
        <v>0</v>
      </c>
      <c r="AK70" s="83">
        <v>0</v>
      </c>
      <c r="AL70" s="83">
        <v>0</v>
      </c>
      <c r="AM70" s="83">
        <v>0</v>
      </c>
      <c r="AN70" s="83">
        <v>0</v>
      </c>
      <c r="AO70" s="83">
        <v>90902</v>
      </c>
      <c r="AP70" s="83">
        <v>0</v>
      </c>
      <c r="AQ70" s="83">
        <v>0</v>
      </c>
      <c r="AR70" s="83">
        <v>210250</v>
      </c>
      <c r="AS70" s="83">
        <v>24509</v>
      </c>
      <c r="AT70" s="83">
        <v>55904</v>
      </c>
      <c r="AU70" s="83">
        <v>0</v>
      </c>
      <c r="AV70" s="83">
        <v>41291</v>
      </c>
      <c r="AW70" s="83">
        <v>41291</v>
      </c>
      <c r="AX70" s="83">
        <v>38623</v>
      </c>
      <c r="AY70" s="83">
        <v>0</v>
      </c>
      <c r="AZ70" s="83">
        <v>0</v>
      </c>
      <c r="BA70" s="83">
        <v>38623</v>
      </c>
      <c r="BB70" s="83">
        <v>0</v>
      </c>
      <c r="BC70" s="83">
        <v>76282</v>
      </c>
      <c r="BD70" s="83">
        <v>76282</v>
      </c>
      <c r="BE70" s="5">
        <f t="shared" si="0"/>
        <v>1711243.1</v>
      </c>
      <c r="BF70" s="5"/>
      <c r="BG70" s="5">
        <f t="shared" si="1"/>
        <v>1711243.1</v>
      </c>
      <c r="BH70" s="66">
        <f>BE70-'TB 17.05.24'!BD65</f>
        <v>0.10000000009313226</v>
      </c>
    </row>
    <row r="71" spans="1:63" ht="15" hidden="1" customHeight="1" x14ac:dyDescent="0.35">
      <c r="A71" s="3" t="s">
        <v>151</v>
      </c>
      <c r="B71" s="4" t="s">
        <v>152</v>
      </c>
      <c r="C71" s="4" t="s">
        <v>314</v>
      </c>
      <c r="D71" s="4" t="s">
        <v>288</v>
      </c>
      <c r="E71" s="83">
        <v>0</v>
      </c>
      <c r="F71" s="83">
        <v>8885</v>
      </c>
      <c r="G71" s="83">
        <v>0</v>
      </c>
      <c r="H71" s="83">
        <v>11934</v>
      </c>
      <c r="I71" s="83">
        <v>2560</v>
      </c>
      <c r="J71" s="83">
        <v>0</v>
      </c>
      <c r="K71" s="83">
        <v>3751</v>
      </c>
      <c r="L71" s="83">
        <v>0</v>
      </c>
      <c r="M71" s="83">
        <v>4116</v>
      </c>
      <c r="N71" s="83">
        <v>4116</v>
      </c>
      <c r="O71" s="83">
        <v>0</v>
      </c>
      <c r="P71" s="83">
        <v>0</v>
      </c>
      <c r="Q71" s="83">
        <v>0</v>
      </c>
      <c r="R71" s="83">
        <v>6769</v>
      </c>
      <c r="S71" s="83">
        <v>4368</v>
      </c>
      <c r="T71" s="83">
        <v>0</v>
      </c>
      <c r="U71" s="83">
        <v>7301</v>
      </c>
      <c r="V71" s="83">
        <v>0</v>
      </c>
      <c r="W71" s="83">
        <v>3721.625</v>
      </c>
      <c r="X71" s="83">
        <v>1876.12</v>
      </c>
      <c r="Y71" s="83">
        <v>3721.625</v>
      </c>
      <c r="Z71" s="83">
        <v>0</v>
      </c>
      <c r="AA71" s="83">
        <v>0</v>
      </c>
      <c r="AB71" s="83">
        <v>0</v>
      </c>
      <c r="AC71" s="83">
        <v>12240.300131801921</v>
      </c>
      <c r="AD71" s="83">
        <v>13966.377330069667</v>
      </c>
      <c r="AE71" s="83">
        <v>7541.5344254063893</v>
      </c>
      <c r="AF71" s="83">
        <v>15537.788112722024</v>
      </c>
      <c r="AG71" s="83">
        <v>5456</v>
      </c>
      <c r="AH71" s="83">
        <v>7220</v>
      </c>
      <c r="AI71" s="83">
        <v>0</v>
      </c>
      <c r="AJ71" s="83">
        <v>0</v>
      </c>
      <c r="AK71" s="83">
        <v>0</v>
      </c>
      <c r="AL71" s="83">
        <v>0</v>
      </c>
      <c r="AM71" s="83">
        <v>0</v>
      </c>
      <c r="AN71" s="83">
        <v>0</v>
      </c>
      <c r="AO71" s="83">
        <v>9876</v>
      </c>
      <c r="AP71" s="83">
        <v>0</v>
      </c>
      <c r="AQ71" s="83">
        <v>0</v>
      </c>
      <c r="AR71" s="83">
        <v>22843</v>
      </c>
      <c r="AS71" s="83">
        <v>2849</v>
      </c>
      <c r="AT71" s="83">
        <v>6505</v>
      </c>
      <c r="AU71" s="83">
        <v>0</v>
      </c>
      <c r="AV71" s="83">
        <v>4802.5</v>
      </c>
      <c r="AW71" s="83">
        <v>4802.5</v>
      </c>
      <c r="AX71" s="83">
        <v>3377.5</v>
      </c>
      <c r="AY71" s="83">
        <v>0</v>
      </c>
      <c r="AZ71" s="83">
        <v>0</v>
      </c>
      <c r="BA71" s="83">
        <v>3377.5</v>
      </c>
      <c r="BB71" s="83">
        <v>0</v>
      </c>
      <c r="BC71" s="83">
        <v>8963</v>
      </c>
      <c r="BD71" s="83">
        <v>8963</v>
      </c>
      <c r="BE71" s="5">
        <f t="shared" si="0"/>
        <v>201440.37</v>
      </c>
      <c r="BF71" s="5"/>
      <c r="BG71" s="5">
        <f t="shared" si="1"/>
        <v>201440.37</v>
      </c>
      <c r="BH71" s="66">
        <f>BE71-'TB 17.05.24'!BD66</f>
        <v>0.36999999999534339</v>
      </c>
    </row>
    <row r="72" spans="1:63" ht="15" hidden="1" customHeight="1" x14ac:dyDescent="0.35">
      <c r="A72" s="3" t="s">
        <v>153</v>
      </c>
      <c r="B72" s="4" t="s">
        <v>154</v>
      </c>
      <c r="C72" s="4" t="s">
        <v>314</v>
      </c>
      <c r="D72" s="4" t="s">
        <v>288</v>
      </c>
      <c r="E72" s="83">
        <v>4138</v>
      </c>
      <c r="F72" s="83">
        <v>12222</v>
      </c>
      <c r="G72" s="83">
        <v>0</v>
      </c>
      <c r="H72" s="83">
        <v>12346</v>
      </c>
      <c r="I72" s="83">
        <v>3996</v>
      </c>
      <c r="J72" s="83">
        <v>7769</v>
      </c>
      <c r="K72" s="83">
        <v>40548.160000000003</v>
      </c>
      <c r="L72" s="83">
        <v>0</v>
      </c>
      <c r="M72" s="83">
        <v>11238.34</v>
      </c>
      <c r="N72" s="83">
        <v>11236.34</v>
      </c>
      <c r="O72" s="83">
        <v>0</v>
      </c>
      <c r="P72" s="83">
        <v>0</v>
      </c>
      <c r="Q72" s="83">
        <v>0</v>
      </c>
      <c r="R72" s="83">
        <v>17823</v>
      </c>
      <c r="S72" s="83">
        <v>14021</v>
      </c>
      <c r="T72" s="83">
        <v>0</v>
      </c>
      <c r="U72" s="83">
        <v>20850</v>
      </c>
      <c r="V72" s="83">
        <v>0</v>
      </c>
      <c r="W72" s="83">
        <v>4980</v>
      </c>
      <c r="X72" s="83">
        <v>27284.880000000001</v>
      </c>
      <c r="Y72" s="83">
        <v>4980</v>
      </c>
      <c r="Z72" s="83">
        <v>9123</v>
      </c>
      <c r="AA72" s="83">
        <v>13960</v>
      </c>
      <c r="AB72" s="83">
        <v>0</v>
      </c>
      <c r="AC72" s="83">
        <v>9302.5386932781021</v>
      </c>
      <c r="AD72" s="83">
        <v>10614.344756166447</v>
      </c>
      <c r="AE72" s="83">
        <v>5731.5110776376077</v>
      </c>
      <c r="AF72" s="83">
        <v>11808.605472917843</v>
      </c>
      <c r="AG72" s="83">
        <v>18333</v>
      </c>
      <c r="AH72" s="83">
        <v>11598</v>
      </c>
      <c r="AI72" s="83">
        <v>0</v>
      </c>
      <c r="AJ72" s="83">
        <v>0</v>
      </c>
      <c r="AK72" s="83">
        <v>0</v>
      </c>
      <c r="AL72" s="83">
        <v>0</v>
      </c>
      <c r="AM72" s="83">
        <v>0</v>
      </c>
      <c r="AN72" s="83">
        <v>0</v>
      </c>
      <c r="AO72" s="83">
        <v>139192</v>
      </c>
      <c r="AP72" s="83">
        <v>0</v>
      </c>
      <c r="AQ72" s="83">
        <v>0</v>
      </c>
      <c r="AR72" s="83">
        <v>44714</v>
      </c>
      <c r="AS72" s="83">
        <v>13062</v>
      </c>
      <c r="AT72" s="83">
        <v>30668</v>
      </c>
      <c r="AU72" s="83">
        <v>0</v>
      </c>
      <c r="AV72" s="83">
        <v>19712</v>
      </c>
      <c r="AW72" s="83">
        <v>19712</v>
      </c>
      <c r="AX72" s="83">
        <v>2716</v>
      </c>
      <c r="AY72" s="83">
        <v>0</v>
      </c>
      <c r="AZ72" s="83">
        <v>0</v>
      </c>
      <c r="BA72" s="83">
        <v>2716</v>
      </c>
      <c r="BB72" s="83">
        <v>10225</v>
      </c>
      <c r="BC72" s="83">
        <v>61777</v>
      </c>
      <c r="BD72" s="83">
        <v>61777</v>
      </c>
      <c r="BE72" s="5">
        <f t="shared" si="0"/>
        <v>690174.72</v>
      </c>
      <c r="BF72" s="5"/>
      <c r="BG72" s="5">
        <f t="shared" si="1"/>
        <v>690174.72</v>
      </c>
      <c r="BH72" s="66">
        <f>BE72-'TB 17.05.24'!BD67</f>
        <v>-0.28000000002793968</v>
      </c>
    </row>
    <row r="73" spans="1:63" ht="15" hidden="1" customHeight="1" x14ac:dyDescent="0.35">
      <c r="A73" s="3" t="s">
        <v>155</v>
      </c>
      <c r="B73" s="4" t="s">
        <v>156</v>
      </c>
      <c r="C73" s="4" t="s">
        <v>314</v>
      </c>
      <c r="D73" s="4" t="s">
        <v>288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4476.01</v>
      </c>
      <c r="K73" s="83">
        <v>3993.97</v>
      </c>
      <c r="L73" s="83">
        <v>0</v>
      </c>
      <c r="M73" s="83">
        <v>4476.01</v>
      </c>
      <c r="N73" s="83">
        <v>4476.01</v>
      </c>
      <c r="O73" s="83">
        <v>0</v>
      </c>
      <c r="P73" s="83">
        <v>0</v>
      </c>
      <c r="Q73" s="83">
        <v>0</v>
      </c>
      <c r="R73" s="83">
        <v>0</v>
      </c>
      <c r="S73" s="83">
        <v>0</v>
      </c>
      <c r="T73" s="83">
        <v>0</v>
      </c>
      <c r="U73" s="83">
        <v>0</v>
      </c>
      <c r="V73" s="83">
        <v>0</v>
      </c>
      <c r="W73" s="83">
        <v>0</v>
      </c>
      <c r="X73" s="83">
        <v>0</v>
      </c>
      <c r="Y73" s="83">
        <v>0</v>
      </c>
      <c r="Z73" s="83">
        <v>0</v>
      </c>
      <c r="AA73" s="83">
        <v>0</v>
      </c>
      <c r="AB73" s="83">
        <v>0</v>
      </c>
      <c r="AC73" s="83">
        <v>0</v>
      </c>
      <c r="AD73" s="83">
        <v>0</v>
      </c>
      <c r="AE73" s="83">
        <v>0</v>
      </c>
      <c r="AF73" s="83">
        <v>0</v>
      </c>
      <c r="AG73" s="83">
        <v>0</v>
      </c>
      <c r="AH73" s="83">
        <v>0</v>
      </c>
      <c r="AI73" s="83">
        <v>0</v>
      </c>
      <c r="AJ73" s="83">
        <v>0</v>
      </c>
      <c r="AK73" s="83">
        <v>0</v>
      </c>
      <c r="AL73" s="83">
        <v>0</v>
      </c>
      <c r="AM73" s="83">
        <v>0</v>
      </c>
      <c r="AN73" s="83">
        <v>0</v>
      </c>
      <c r="AO73" s="83">
        <v>2497</v>
      </c>
      <c r="AP73" s="83">
        <v>0</v>
      </c>
      <c r="AQ73" s="83">
        <v>0</v>
      </c>
      <c r="AR73" s="83">
        <v>0</v>
      </c>
      <c r="AS73" s="83">
        <v>2011</v>
      </c>
      <c r="AT73" s="83">
        <v>1276</v>
      </c>
      <c r="AU73" s="83">
        <v>0</v>
      </c>
      <c r="AV73" s="83">
        <v>970</v>
      </c>
      <c r="AW73" s="83">
        <v>970</v>
      </c>
      <c r="AX73" s="83">
        <v>0</v>
      </c>
      <c r="AY73" s="83">
        <v>0</v>
      </c>
      <c r="AZ73" s="83">
        <v>0</v>
      </c>
      <c r="BA73" s="83">
        <v>0</v>
      </c>
      <c r="BB73" s="83">
        <v>177</v>
      </c>
      <c r="BC73" s="83">
        <v>616</v>
      </c>
      <c r="BD73" s="83">
        <v>616</v>
      </c>
      <c r="BE73" s="5">
        <f t="shared" si="0"/>
        <v>26555</v>
      </c>
      <c r="BF73" s="5"/>
      <c r="BG73" s="5">
        <f t="shared" si="1"/>
        <v>26555</v>
      </c>
      <c r="BH73" s="66">
        <f>BE73-'TB 17.05.24'!BD68</f>
        <v>0</v>
      </c>
    </row>
    <row r="74" spans="1:63" ht="15" hidden="1" customHeight="1" x14ac:dyDescent="0.35">
      <c r="A74" s="3" t="s">
        <v>157</v>
      </c>
      <c r="B74" s="4" t="s">
        <v>158</v>
      </c>
      <c r="C74" s="4" t="s">
        <v>314</v>
      </c>
      <c r="D74" s="4" t="s">
        <v>972</v>
      </c>
      <c r="E74" s="83">
        <v>0</v>
      </c>
      <c r="F74" s="83">
        <v>0</v>
      </c>
      <c r="G74" s="83">
        <v>0</v>
      </c>
      <c r="H74" s="83">
        <v>0</v>
      </c>
      <c r="I74" s="83">
        <v>0</v>
      </c>
      <c r="J74" s="83">
        <v>0</v>
      </c>
      <c r="K74" s="83">
        <v>5000</v>
      </c>
      <c r="L74" s="83">
        <v>0</v>
      </c>
      <c r="M74" s="83">
        <v>148500</v>
      </c>
      <c r="N74" s="83">
        <v>0</v>
      </c>
      <c r="O74" s="83">
        <v>125000</v>
      </c>
      <c r="P74" s="83">
        <v>0</v>
      </c>
      <c r="Q74" s="83">
        <v>0</v>
      </c>
      <c r="R74" s="83">
        <v>0</v>
      </c>
      <c r="S74" s="83">
        <v>27000</v>
      </c>
      <c r="T74" s="83">
        <v>0</v>
      </c>
      <c r="U74" s="83">
        <v>35000</v>
      </c>
      <c r="V74" s="83">
        <v>0</v>
      </c>
      <c r="W74" s="83">
        <v>99000</v>
      </c>
      <c r="X74" s="83">
        <v>0</v>
      </c>
      <c r="Y74" s="83">
        <v>0</v>
      </c>
      <c r="Z74" s="83">
        <v>0</v>
      </c>
      <c r="AA74" s="83">
        <v>0</v>
      </c>
      <c r="AB74" s="83">
        <v>0</v>
      </c>
      <c r="AC74" s="83">
        <v>35000</v>
      </c>
      <c r="AD74" s="83">
        <v>0</v>
      </c>
      <c r="AE74" s="83">
        <v>0</v>
      </c>
      <c r="AF74" s="83">
        <v>0</v>
      </c>
      <c r="AG74" s="83">
        <v>0</v>
      </c>
      <c r="AH74" s="83">
        <v>0</v>
      </c>
      <c r="AI74" s="83">
        <f>21451/5</f>
        <v>4290.2</v>
      </c>
      <c r="AJ74" s="83">
        <f>21451/5</f>
        <v>4290.2</v>
      </c>
      <c r="AK74" s="83">
        <v>0</v>
      </c>
      <c r="AL74" s="83">
        <v>0</v>
      </c>
      <c r="AM74" s="83">
        <f>21451*0</f>
        <v>0</v>
      </c>
      <c r="AN74" s="83">
        <v>0</v>
      </c>
      <c r="AO74" s="83">
        <f>3000+(21451/5)</f>
        <v>7290.2</v>
      </c>
      <c r="AP74" s="83">
        <f>21451/5</f>
        <v>4290.2</v>
      </c>
      <c r="AQ74" s="83">
        <v>0</v>
      </c>
      <c r="AR74" s="83">
        <f>21451/5</f>
        <v>4290.2</v>
      </c>
      <c r="AS74" s="83">
        <v>0</v>
      </c>
      <c r="AT74" s="83">
        <v>0</v>
      </c>
      <c r="AU74" s="83">
        <v>0</v>
      </c>
      <c r="AV74" s="83">
        <v>60000</v>
      </c>
      <c r="AW74" s="83">
        <v>0</v>
      </c>
      <c r="AX74" s="83">
        <v>0</v>
      </c>
      <c r="AY74" s="83">
        <v>0</v>
      </c>
      <c r="AZ74" s="83">
        <v>0</v>
      </c>
      <c r="BA74" s="83">
        <v>0</v>
      </c>
      <c r="BB74" s="83">
        <v>0</v>
      </c>
      <c r="BC74" s="83">
        <v>0</v>
      </c>
      <c r="BD74" s="83">
        <v>0</v>
      </c>
      <c r="BE74" s="5">
        <f t="shared" si="0"/>
        <v>558951</v>
      </c>
      <c r="BF74" s="5"/>
      <c r="BG74" s="5">
        <f t="shared" si="1"/>
        <v>558951</v>
      </c>
      <c r="BH74" s="66">
        <f>BE74-'TB 17.05.24'!BD69</f>
        <v>0</v>
      </c>
    </row>
    <row r="75" spans="1:63" ht="15" hidden="1" customHeight="1" x14ac:dyDescent="0.35">
      <c r="A75" s="3" t="s">
        <v>159</v>
      </c>
      <c r="B75" s="4" t="s">
        <v>160</v>
      </c>
      <c r="C75" s="4" t="s">
        <v>314</v>
      </c>
      <c r="D75" s="4" t="s">
        <v>323</v>
      </c>
      <c r="E75" s="83">
        <v>2761</v>
      </c>
      <c r="F75" s="83">
        <v>0</v>
      </c>
      <c r="G75" s="83">
        <v>0</v>
      </c>
      <c r="H75" s="83">
        <v>0</v>
      </c>
      <c r="I75" s="83">
        <v>80</v>
      </c>
      <c r="J75" s="83">
        <v>14430</v>
      </c>
      <c r="K75" s="83">
        <v>2900</v>
      </c>
      <c r="L75" s="83">
        <v>0</v>
      </c>
      <c r="M75" s="83">
        <v>3000</v>
      </c>
      <c r="N75" s="83">
        <v>18470</v>
      </c>
      <c r="O75" s="83">
        <v>0</v>
      </c>
      <c r="P75" s="83">
        <v>0</v>
      </c>
      <c r="Q75" s="83">
        <v>0</v>
      </c>
      <c r="R75" s="83">
        <v>0</v>
      </c>
      <c r="S75" s="83">
        <v>4885</v>
      </c>
      <c r="T75" s="83">
        <v>0</v>
      </c>
      <c r="U75" s="83">
        <v>51276</v>
      </c>
      <c r="V75" s="83">
        <v>0</v>
      </c>
      <c r="W75" s="83">
        <v>6800</v>
      </c>
      <c r="X75" s="83">
        <v>0</v>
      </c>
      <c r="Y75" s="83">
        <v>1250</v>
      </c>
      <c r="Z75" s="83">
        <v>0</v>
      </c>
      <c r="AA75" s="83">
        <v>0</v>
      </c>
      <c r="AB75" s="83">
        <v>0</v>
      </c>
      <c r="AC75" s="83">
        <v>1400</v>
      </c>
      <c r="AD75" s="83">
        <v>0</v>
      </c>
      <c r="AE75" s="83">
        <v>0</v>
      </c>
      <c r="AF75" s="83">
        <v>39115</v>
      </c>
      <c r="AG75" s="83">
        <v>0</v>
      </c>
      <c r="AH75" s="83">
        <v>0</v>
      </c>
      <c r="AI75" s="83">
        <f>17000/5</f>
        <v>3400</v>
      </c>
      <c r="AJ75" s="83">
        <f>17000/5</f>
        <v>3400</v>
      </c>
      <c r="AK75" s="83">
        <v>0</v>
      </c>
      <c r="AL75" s="83">
        <f>17000*0</f>
        <v>0</v>
      </c>
      <c r="AM75" s="83">
        <v>0</v>
      </c>
      <c r="AN75" s="83">
        <v>0</v>
      </c>
      <c r="AO75" s="83">
        <f>17000/5</f>
        <v>3400</v>
      </c>
      <c r="AP75" s="83">
        <f>17000/5</f>
        <v>3400</v>
      </c>
      <c r="AQ75" s="83">
        <v>0</v>
      </c>
      <c r="AR75" s="83">
        <f>17000/5</f>
        <v>3400</v>
      </c>
      <c r="AS75" s="83">
        <v>0</v>
      </c>
      <c r="AT75" s="83">
        <v>0</v>
      </c>
      <c r="AU75" s="83">
        <v>0</v>
      </c>
      <c r="AV75" s="83">
        <v>0</v>
      </c>
      <c r="AW75" s="83">
        <v>0</v>
      </c>
      <c r="AX75" s="83">
        <v>0</v>
      </c>
      <c r="AY75" s="83">
        <v>0</v>
      </c>
      <c r="AZ75" s="83">
        <v>0</v>
      </c>
      <c r="BA75" s="83">
        <v>0</v>
      </c>
      <c r="BB75" s="83">
        <v>0</v>
      </c>
      <c r="BC75" s="83">
        <v>0</v>
      </c>
      <c r="BD75" s="83">
        <v>0</v>
      </c>
      <c r="BE75" s="5">
        <f t="shared" si="0"/>
        <v>163367</v>
      </c>
      <c r="BF75" s="5"/>
      <c r="BG75" s="5">
        <f t="shared" si="1"/>
        <v>163367</v>
      </c>
      <c r="BH75" s="66">
        <f>BE75-'TB 17.05.24'!BD70</f>
        <v>0</v>
      </c>
    </row>
    <row r="76" spans="1:63" ht="15" hidden="1" customHeight="1" x14ac:dyDescent="0.35">
      <c r="A76" s="3" t="s">
        <v>548</v>
      </c>
      <c r="B76" s="4" t="s">
        <v>549</v>
      </c>
      <c r="C76" s="4" t="s">
        <v>314</v>
      </c>
      <c r="D76" s="4" t="s">
        <v>297</v>
      </c>
      <c r="E76" s="83">
        <v>0</v>
      </c>
      <c r="F76" s="83">
        <v>0</v>
      </c>
      <c r="G76" s="83">
        <v>0</v>
      </c>
      <c r="H76" s="83">
        <v>0</v>
      </c>
      <c r="I76" s="83">
        <v>0</v>
      </c>
      <c r="J76" s="83">
        <v>17674</v>
      </c>
      <c r="K76" s="83">
        <v>17674</v>
      </c>
      <c r="L76" s="83">
        <v>0</v>
      </c>
      <c r="M76" s="83">
        <v>17674</v>
      </c>
      <c r="N76" s="83">
        <v>17674</v>
      </c>
      <c r="O76" s="83">
        <v>0</v>
      </c>
      <c r="P76" s="83">
        <v>0</v>
      </c>
      <c r="Q76" s="83">
        <v>0</v>
      </c>
      <c r="R76" s="83">
        <v>4504</v>
      </c>
      <c r="S76" s="83">
        <v>74224</v>
      </c>
      <c r="T76" s="83">
        <v>0</v>
      </c>
      <c r="U76" s="83">
        <v>83366</v>
      </c>
      <c r="V76" s="83">
        <v>0</v>
      </c>
      <c r="W76" s="83">
        <v>62261</v>
      </c>
      <c r="X76" s="83">
        <v>124522</v>
      </c>
      <c r="Y76" s="83">
        <v>62261</v>
      </c>
      <c r="Z76" s="83">
        <v>52303</v>
      </c>
      <c r="AA76" s="83">
        <v>0</v>
      </c>
      <c r="AB76" s="83">
        <v>0</v>
      </c>
      <c r="AC76" s="83">
        <v>19680</v>
      </c>
      <c r="AD76" s="83">
        <v>19680</v>
      </c>
      <c r="AE76" s="83">
        <v>19680</v>
      </c>
      <c r="AF76" s="83">
        <v>19680</v>
      </c>
      <c r="AG76" s="83">
        <v>0</v>
      </c>
      <c r="AH76" s="83">
        <v>73048</v>
      </c>
      <c r="AI76" s="83">
        <v>0</v>
      </c>
      <c r="AJ76" s="83">
        <v>0</v>
      </c>
      <c r="AK76" s="83">
        <v>0</v>
      </c>
      <c r="AL76" s="83">
        <v>0</v>
      </c>
      <c r="AM76" s="83">
        <v>0</v>
      </c>
      <c r="AN76" s="83">
        <v>0</v>
      </c>
      <c r="AO76" s="83">
        <v>0</v>
      </c>
      <c r="AP76" s="83">
        <v>0</v>
      </c>
      <c r="AQ76" s="83">
        <v>0</v>
      </c>
      <c r="AR76" s="83">
        <v>0</v>
      </c>
      <c r="AS76" s="83">
        <v>74223</v>
      </c>
      <c r="AT76" s="83">
        <v>74264</v>
      </c>
      <c r="AU76" s="83">
        <v>0</v>
      </c>
      <c r="AV76" s="83">
        <v>38935</v>
      </c>
      <c r="AW76" s="83">
        <v>38935</v>
      </c>
      <c r="AX76" s="83">
        <v>34029</v>
      </c>
      <c r="AY76" s="83">
        <v>0</v>
      </c>
      <c r="AZ76" s="83">
        <v>0</v>
      </c>
      <c r="BA76" s="83">
        <v>34029</v>
      </c>
      <c r="BB76" s="83">
        <v>0</v>
      </c>
      <c r="BC76" s="83">
        <v>34029</v>
      </c>
      <c r="BD76" s="83">
        <v>34029</v>
      </c>
      <c r="BE76" s="5">
        <f t="shared" si="0"/>
        <v>1048378</v>
      </c>
      <c r="BF76" s="5"/>
      <c r="BG76" s="5">
        <f t="shared" si="1"/>
        <v>1048378</v>
      </c>
      <c r="BH76" s="66">
        <f>BE76-'TB 17.05.24'!BD71</f>
        <v>0</v>
      </c>
    </row>
    <row r="77" spans="1:63" ht="15" hidden="1" customHeight="1" x14ac:dyDescent="0.35">
      <c r="A77" s="3" t="s">
        <v>484</v>
      </c>
      <c r="B77" s="4" t="s">
        <v>485</v>
      </c>
      <c r="C77" s="4" t="s">
        <v>314</v>
      </c>
      <c r="D77" s="4" t="s">
        <v>297</v>
      </c>
      <c r="E77" s="83">
        <v>0</v>
      </c>
      <c r="F77" s="83">
        <v>0</v>
      </c>
      <c r="G77" s="83">
        <v>0</v>
      </c>
      <c r="H77" s="83">
        <v>50043</v>
      </c>
      <c r="I77" s="83">
        <v>0</v>
      </c>
      <c r="J77" s="83">
        <v>0</v>
      </c>
      <c r="K77" s="83">
        <v>0</v>
      </c>
      <c r="L77" s="83">
        <v>0</v>
      </c>
      <c r="M77" s="83">
        <v>0</v>
      </c>
      <c r="N77" s="83">
        <v>46150</v>
      </c>
      <c r="O77" s="83">
        <v>0</v>
      </c>
      <c r="P77" s="83">
        <v>0</v>
      </c>
      <c r="Q77" s="83">
        <v>0</v>
      </c>
      <c r="R77" s="83">
        <v>0</v>
      </c>
      <c r="S77" s="83">
        <v>0</v>
      </c>
      <c r="T77" s="83">
        <v>0</v>
      </c>
      <c r="U77" s="83">
        <v>60782</v>
      </c>
      <c r="V77" s="83">
        <v>0</v>
      </c>
      <c r="W77" s="83">
        <v>0</v>
      </c>
      <c r="X77" s="83">
        <v>0</v>
      </c>
      <c r="Y77" s="83">
        <v>28626</v>
      </c>
      <c r="Z77" s="83">
        <v>0</v>
      </c>
      <c r="AA77" s="83">
        <v>0</v>
      </c>
      <c r="AB77" s="83">
        <v>0</v>
      </c>
      <c r="AC77" s="83">
        <v>0</v>
      </c>
      <c r="AD77" s="83">
        <v>0</v>
      </c>
      <c r="AE77" s="83">
        <v>0</v>
      </c>
      <c r="AF77" s="83">
        <v>0</v>
      </c>
      <c r="AG77" s="83">
        <v>0</v>
      </c>
      <c r="AH77" s="83">
        <v>0</v>
      </c>
      <c r="AI77" s="83">
        <v>0</v>
      </c>
      <c r="AJ77" s="83">
        <v>0</v>
      </c>
      <c r="AK77" s="83">
        <v>0</v>
      </c>
      <c r="AL77" s="83">
        <v>0</v>
      </c>
      <c r="AM77" s="83">
        <v>0</v>
      </c>
      <c r="AN77" s="83">
        <v>0</v>
      </c>
      <c r="AO77" s="83">
        <v>0</v>
      </c>
      <c r="AP77" s="83">
        <v>0</v>
      </c>
      <c r="AQ77" s="83">
        <v>0</v>
      </c>
      <c r="AR77" s="83">
        <v>92609</v>
      </c>
      <c r="AS77" s="83">
        <v>0</v>
      </c>
      <c r="AT77" s="83">
        <v>0</v>
      </c>
      <c r="AU77" s="83">
        <v>0</v>
      </c>
      <c r="AV77" s="83">
        <v>0</v>
      </c>
      <c r="AW77" s="83">
        <v>34877</v>
      </c>
      <c r="AX77" s="83">
        <v>0</v>
      </c>
      <c r="AY77" s="83">
        <v>0</v>
      </c>
      <c r="AZ77" s="83">
        <v>0</v>
      </c>
      <c r="BA77" s="83">
        <v>0</v>
      </c>
      <c r="BB77" s="83">
        <v>0</v>
      </c>
      <c r="BC77" s="83">
        <v>64404</v>
      </c>
      <c r="BD77" s="83">
        <v>0</v>
      </c>
      <c r="BE77" s="5">
        <f t="shared" si="0"/>
        <v>377491</v>
      </c>
      <c r="BF77" s="5"/>
      <c r="BG77" s="5">
        <f t="shared" si="1"/>
        <v>377491</v>
      </c>
      <c r="BH77" s="66">
        <f>BE77-'TB 17.05.24'!BD72</f>
        <v>0</v>
      </c>
    </row>
    <row r="78" spans="1:63" ht="15" customHeight="1" x14ac:dyDescent="0.35">
      <c r="A78" s="3" t="s">
        <v>479</v>
      </c>
      <c r="B78" s="4" t="s">
        <v>480</v>
      </c>
      <c r="C78" s="4" t="s">
        <v>314</v>
      </c>
      <c r="D78" s="4" t="s">
        <v>297</v>
      </c>
      <c r="E78" s="83">
        <v>0</v>
      </c>
      <c r="F78" s="83">
        <v>0</v>
      </c>
      <c r="G78" s="83">
        <v>0</v>
      </c>
      <c r="H78" s="83">
        <v>0</v>
      </c>
      <c r="I78" s="83">
        <v>0</v>
      </c>
      <c r="J78" s="83">
        <v>0</v>
      </c>
      <c r="K78" s="83">
        <v>0</v>
      </c>
      <c r="L78" s="83">
        <v>0</v>
      </c>
      <c r="M78" s="83">
        <v>0</v>
      </c>
      <c r="N78" s="83">
        <v>0</v>
      </c>
      <c r="O78" s="83">
        <v>0</v>
      </c>
      <c r="P78" s="83">
        <v>0</v>
      </c>
      <c r="Q78" s="83">
        <v>0</v>
      </c>
      <c r="R78" s="83">
        <f>420415/2</f>
        <v>210207.5</v>
      </c>
      <c r="S78" s="83">
        <v>0</v>
      </c>
      <c r="T78" s="83">
        <v>0</v>
      </c>
      <c r="U78" s="83">
        <v>0</v>
      </c>
      <c r="V78" s="83">
        <v>0</v>
      </c>
      <c r="W78" s="83">
        <v>0</v>
      </c>
      <c r="X78" s="83">
        <v>0</v>
      </c>
      <c r="Y78" s="83">
        <v>0</v>
      </c>
      <c r="Z78" s="83">
        <v>0</v>
      </c>
      <c r="AA78" s="83">
        <v>0</v>
      </c>
      <c r="AB78" s="83">
        <v>0</v>
      </c>
      <c r="AC78" s="83">
        <v>0</v>
      </c>
      <c r="AD78" s="83">
        <v>0</v>
      </c>
      <c r="AE78" s="83">
        <v>0</v>
      </c>
      <c r="AF78" s="83">
        <v>0</v>
      </c>
      <c r="AG78" s="83">
        <v>0</v>
      </c>
      <c r="AH78" s="83">
        <v>0</v>
      </c>
      <c r="AI78" s="83">
        <v>0</v>
      </c>
      <c r="AJ78" s="83">
        <v>0</v>
      </c>
      <c r="AK78" s="83">
        <v>0</v>
      </c>
      <c r="AL78" s="83">
        <v>0</v>
      </c>
      <c r="AM78" s="83">
        <v>0</v>
      </c>
      <c r="AN78" s="83">
        <v>0</v>
      </c>
      <c r="AO78" s="83">
        <v>0</v>
      </c>
      <c r="AP78" s="83">
        <v>0</v>
      </c>
      <c r="AQ78" s="83">
        <v>0</v>
      </c>
      <c r="AR78" s="83">
        <v>0</v>
      </c>
      <c r="AS78" s="83">
        <v>0</v>
      </c>
      <c r="AT78" s="83">
        <v>0</v>
      </c>
      <c r="AU78" s="83">
        <v>0</v>
      </c>
      <c r="AV78" s="83">
        <v>0</v>
      </c>
      <c r="AW78" s="83">
        <v>0</v>
      </c>
      <c r="AX78" s="83">
        <v>0</v>
      </c>
      <c r="AY78" s="83">
        <v>0</v>
      </c>
      <c r="AZ78" s="83">
        <v>0</v>
      </c>
      <c r="BA78" s="83">
        <v>0</v>
      </c>
      <c r="BB78" s="83">
        <v>0</v>
      </c>
      <c r="BC78" s="83">
        <v>0</v>
      </c>
      <c r="BD78" s="83">
        <v>0</v>
      </c>
      <c r="BE78" s="5"/>
      <c r="BF78" s="5"/>
      <c r="BG78" s="5"/>
      <c r="BH78" s="66"/>
    </row>
    <row r="79" spans="1:63" ht="15" hidden="1" customHeight="1" x14ac:dyDescent="0.35">
      <c r="A79" s="3" t="s">
        <v>161</v>
      </c>
      <c r="B79" s="4" t="s">
        <v>162</v>
      </c>
      <c r="C79" s="4" t="s">
        <v>314</v>
      </c>
      <c r="D79" s="4" t="s">
        <v>323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7953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  <c r="R79" s="83">
        <v>0</v>
      </c>
      <c r="S79" s="83">
        <v>0</v>
      </c>
      <c r="T79" s="83">
        <v>0</v>
      </c>
      <c r="U79" s="83">
        <v>103252</v>
      </c>
      <c r="V79" s="83">
        <v>0</v>
      </c>
      <c r="W79" s="83">
        <v>925</v>
      </c>
      <c r="X79" s="83">
        <v>2000</v>
      </c>
      <c r="Y79" s="83">
        <v>0</v>
      </c>
      <c r="Z79" s="83">
        <v>0</v>
      </c>
      <c r="AA79" s="83">
        <v>0</v>
      </c>
      <c r="AB79" s="83">
        <v>0</v>
      </c>
      <c r="AC79" s="83">
        <v>195</v>
      </c>
      <c r="AD79" s="83">
        <v>0</v>
      </c>
      <c r="AE79" s="83">
        <v>0</v>
      </c>
      <c r="AF79" s="83">
        <v>111731</v>
      </c>
      <c r="AG79" s="83">
        <v>0</v>
      </c>
      <c r="AH79" s="83">
        <v>0</v>
      </c>
      <c r="AI79" s="83">
        <v>0</v>
      </c>
      <c r="AJ79" s="83">
        <v>0</v>
      </c>
      <c r="AK79" s="83">
        <v>0</v>
      </c>
      <c r="AL79" s="83">
        <v>0</v>
      </c>
      <c r="AM79" s="83">
        <v>0</v>
      </c>
      <c r="AN79" s="83">
        <v>0</v>
      </c>
      <c r="AO79" s="83">
        <v>0</v>
      </c>
      <c r="AP79" s="83">
        <v>0</v>
      </c>
      <c r="AQ79" s="83">
        <v>0</v>
      </c>
      <c r="AR79" s="83">
        <v>0</v>
      </c>
      <c r="AS79" s="83">
        <v>0</v>
      </c>
      <c r="AT79" s="83">
        <v>0</v>
      </c>
      <c r="AU79" s="83">
        <v>0</v>
      </c>
      <c r="AV79" s="83">
        <v>0</v>
      </c>
      <c r="AW79" s="83">
        <v>0</v>
      </c>
      <c r="AX79" s="83">
        <v>0</v>
      </c>
      <c r="AY79" s="83">
        <v>0</v>
      </c>
      <c r="AZ79" s="83">
        <v>0</v>
      </c>
      <c r="BA79" s="83">
        <v>0</v>
      </c>
      <c r="BB79" s="83">
        <v>8700</v>
      </c>
      <c r="BC79" s="83">
        <v>24310</v>
      </c>
      <c r="BD79" s="83">
        <v>0</v>
      </c>
      <c r="BE79" s="5">
        <f t="shared" si="0"/>
        <v>259066</v>
      </c>
      <c r="BF79" s="5"/>
      <c r="BG79" s="5">
        <f t="shared" si="1"/>
        <v>259066</v>
      </c>
      <c r="BH79" s="66">
        <f>BE79-'TB 17.05.24'!BD73</f>
        <v>0</v>
      </c>
    </row>
    <row r="80" spans="1:63" ht="15" hidden="1" customHeight="1" x14ac:dyDescent="0.35">
      <c r="A80" s="3" t="s">
        <v>163</v>
      </c>
      <c r="B80" s="4" t="s">
        <v>164</v>
      </c>
      <c r="C80" s="4" t="s">
        <v>314</v>
      </c>
      <c r="D80" s="4" t="s">
        <v>319</v>
      </c>
      <c r="E80" s="83">
        <v>0</v>
      </c>
      <c r="F80" s="83">
        <v>0</v>
      </c>
      <c r="G80" s="83">
        <v>0</v>
      </c>
      <c r="H80" s="83">
        <v>0</v>
      </c>
      <c r="I80" s="83">
        <v>0</v>
      </c>
      <c r="J80" s="83">
        <v>0</v>
      </c>
      <c r="K80" s="83">
        <v>8620</v>
      </c>
      <c r="L80" s="83">
        <v>0</v>
      </c>
      <c r="M80" s="83">
        <v>36700</v>
      </c>
      <c r="N80" s="83">
        <v>0</v>
      </c>
      <c r="O80" s="83">
        <v>0</v>
      </c>
      <c r="P80" s="83">
        <v>0</v>
      </c>
      <c r="Q80" s="83">
        <v>0</v>
      </c>
      <c r="R80" s="83">
        <v>1300</v>
      </c>
      <c r="S80" s="83">
        <v>26593</v>
      </c>
      <c r="T80" s="83">
        <v>0</v>
      </c>
      <c r="U80" s="83">
        <v>29666</v>
      </c>
      <c r="V80" s="83">
        <v>0</v>
      </c>
      <c r="W80" s="83">
        <v>0</v>
      </c>
      <c r="X80" s="83">
        <v>1500</v>
      </c>
      <c r="Y80" s="83">
        <v>0</v>
      </c>
      <c r="Z80" s="83">
        <v>2400</v>
      </c>
      <c r="AA80" s="83">
        <v>0</v>
      </c>
      <c r="AB80" s="83">
        <v>0</v>
      </c>
      <c r="AC80" s="83">
        <v>0</v>
      </c>
      <c r="AD80" s="83">
        <v>0</v>
      </c>
      <c r="AE80" s="83">
        <v>0</v>
      </c>
      <c r="AF80" s="83">
        <v>0</v>
      </c>
      <c r="AG80" s="83">
        <v>10440</v>
      </c>
      <c r="AH80" s="83">
        <v>0</v>
      </c>
      <c r="AI80" s="83">
        <v>0</v>
      </c>
      <c r="AJ80" s="83">
        <v>2000</v>
      </c>
      <c r="AK80" s="83">
        <v>0</v>
      </c>
      <c r="AL80" s="83">
        <v>0</v>
      </c>
      <c r="AM80" s="83">
        <v>0</v>
      </c>
      <c r="AN80" s="83">
        <v>0</v>
      </c>
      <c r="AO80" s="83">
        <v>0</v>
      </c>
      <c r="AP80" s="83">
        <v>0</v>
      </c>
      <c r="AQ80" s="83">
        <v>0</v>
      </c>
      <c r="AR80" s="83">
        <v>3000</v>
      </c>
      <c r="AS80" s="83">
        <v>0</v>
      </c>
      <c r="AT80" s="83">
        <v>0</v>
      </c>
      <c r="AU80" s="83">
        <v>0</v>
      </c>
      <c r="AV80" s="83">
        <v>0</v>
      </c>
      <c r="AW80" s="83">
        <v>0</v>
      </c>
      <c r="AX80" s="83">
        <v>0</v>
      </c>
      <c r="AY80" s="83">
        <v>0</v>
      </c>
      <c r="AZ80" s="83">
        <v>0</v>
      </c>
      <c r="BA80" s="83">
        <v>0</v>
      </c>
      <c r="BB80" s="83">
        <v>0</v>
      </c>
      <c r="BC80" s="83">
        <v>0</v>
      </c>
      <c r="BD80" s="83">
        <v>0</v>
      </c>
      <c r="BE80" s="5">
        <f t="shared" si="0"/>
        <v>122219</v>
      </c>
      <c r="BF80" s="5"/>
      <c r="BG80" s="5">
        <f t="shared" si="1"/>
        <v>122219</v>
      </c>
      <c r="BH80" s="66">
        <f>BE80-'TB 17.05.24'!BD74</f>
        <v>0</v>
      </c>
    </row>
    <row r="81" spans="1:60" ht="15" hidden="1" customHeight="1" x14ac:dyDescent="0.35">
      <c r="A81" s="3" t="s">
        <v>975</v>
      </c>
      <c r="B81" s="4" t="s">
        <v>976</v>
      </c>
      <c r="C81" s="4" t="s">
        <v>314</v>
      </c>
      <c r="D81" s="4" t="s">
        <v>298</v>
      </c>
      <c r="E81" s="83">
        <v>3214.3</v>
      </c>
      <c r="F81" s="83">
        <v>6008.890000000004</v>
      </c>
      <c r="G81" s="83">
        <v>0</v>
      </c>
      <c r="H81" s="83">
        <v>9561.41</v>
      </c>
      <c r="I81" s="83">
        <v>1023.28</v>
      </c>
      <c r="J81" s="83">
        <v>11868.739999999985</v>
      </c>
      <c r="K81" s="83">
        <v>19721.169999999998</v>
      </c>
      <c r="L81" s="83">
        <v>0</v>
      </c>
      <c r="M81" s="83">
        <v>17428.739999999991</v>
      </c>
      <c r="N81" s="83">
        <v>13881.249999999996</v>
      </c>
      <c r="O81" s="83">
        <v>0</v>
      </c>
      <c r="P81" s="83">
        <v>0</v>
      </c>
      <c r="Q81" s="83">
        <v>0</v>
      </c>
      <c r="R81" s="83">
        <v>12268.539999999999</v>
      </c>
      <c r="S81" s="83">
        <v>7911.0399999999972</v>
      </c>
      <c r="T81" s="83">
        <v>0</v>
      </c>
      <c r="U81" s="83">
        <v>11227.690000000002</v>
      </c>
      <c r="V81" s="83">
        <v>0</v>
      </c>
      <c r="W81" s="83">
        <v>2842.5299999999997</v>
      </c>
      <c r="X81" s="83">
        <v>8919.0500000000011</v>
      </c>
      <c r="Y81" s="83">
        <v>8322.6999999999971</v>
      </c>
      <c r="Z81" s="83">
        <v>4956.800000000002</v>
      </c>
      <c r="AA81" s="83">
        <v>5188.5000000000027</v>
      </c>
      <c r="AB81" s="83">
        <v>0</v>
      </c>
      <c r="AC81" s="83">
        <v>19662.099999999999</v>
      </c>
      <c r="AD81" s="83">
        <v>20056.03000000001</v>
      </c>
      <c r="AE81" s="83">
        <v>944.89000000000021</v>
      </c>
      <c r="AF81" s="83">
        <v>11922.380000000001</v>
      </c>
      <c r="AG81" s="83">
        <v>3458.67</v>
      </c>
      <c r="AH81" s="83">
        <v>3875.7899999999991</v>
      </c>
      <c r="AI81" s="83">
        <v>18340.419999999998</v>
      </c>
      <c r="AJ81" s="83">
        <v>0</v>
      </c>
      <c r="AK81" s="83">
        <v>0</v>
      </c>
      <c r="AL81" s="83">
        <v>0</v>
      </c>
      <c r="AM81" s="83">
        <v>0</v>
      </c>
      <c r="AN81" s="83">
        <v>0</v>
      </c>
      <c r="AO81" s="83">
        <v>37679.630000000012</v>
      </c>
      <c r="AP81" s="83">
        <v>0</v>
      </c>
      <c r="AQ81" s="83">
        <v>0</v>
      </c>
      <c r="AR81" s="83">
        <v>38376.499999999971</v>
      </c>
      <c r="AS81" s="83">
        <v>7229.2999999999984</v>
      </c>
      <c r="AT81" s="83">
        <v>5865.4800000000014</v>
      </c>
      <c r="AU81" s="83">
        <v>0</v>
      </c>
      <c r="AV81" s="83">
        <v>15880.770000000004</v>
      </c>
      <c r="AW81" s="83">
        <v>8229.76</v>
      </c>
      <c r="AX81" s="83">
        <v>8802.6799999999912</v>
      </c>
      <c r="AY81" s="83">
        <v>0</v>
      </c>
      <c r="AZ81" s="83">
        <v>0</v>
      </c>
      <c r="BA81" s="83">
        <v>12990.830000000004</v>
      </c>
      <c r="BB81" s="83">
        <v>4708.0300000000007</v>
      </c>
      <c r="BC81" s="83">
        <v>20559.149999999991</v>
      </c>
      <c r="BD81" s="83">
        <v>2821.7499999999995</v>
      </c>
      <c r="BE81" s="83">
        <f t="shared" si="0"/>
        <v>385748.78999999992</v>
      </c>
      <c r="BF81" s="5"/>
      <c r="BG81" s="5">
        <f t="shared" si="1"/>
        <v>385748.78999999992</v>
      </c>
      <c r="BH81" s="66"/>
    </row>
    <row r="82" spans="1:60" ht="15" hidden="1" customHeight="1" x14ac:dyDescent="0.35">
      <c r="A82" s="3" t="s">
        <v>977</v>
      </c>
      <c r="B82" s="4" t="s">
        <v>978</v>
      </c>
      <c r="C82" s="4" t="s">
        <v>314</v>
      </c>
      <c r="D82" s="4" t="s">
        <v>298</v>
      </c>
      <c r="E82" s="83">
        <v>29034.739999999998</v>
      </c>
      <c r="F82" s="83">
        <v>29385.350000000013</v>
      </c>
      <c r="G82" s="83">
        <v>0</v>
      </c>
      <c r="H82" s="83">
        <v>19332.66</v>
      </c>
      <c r="I82" s="83">
        <v>97630.600000000079</v>
      </c>
      <c r="J82" s="83">
        <v>42058.239999999983</v>
      </c>
      <c r="K82" s="83">
        <v>86591.519999999975</v>
      </c>
      <c r="L82" s="83">
        <v>0</v>
      </c>
      <c r="M82" s="83">
        <v>47747.370000000024</v>
      </c>
      <c r="N82" s="83">
        <v>7183.91</v>
      </c>
      <c r="O82" s="83">
        <v>0</v>
      </c>
      <c r="P82" s="83">
        <v>0</v>
      </c>
      <c r="Q82" s="83">
        <v>0</v>
      </c>
      <c r="R82" s="83">
        <v>83449.640000000014</v>
      </c>
      <c r="S82" s="83">
        <v>36912.249999999993</v>
      </c>
      <c r="T82" s="83">
        <v>0</v>
      </c>
      <c r="U82" s="83">
        <v>33213.909999999996</v>
      </c>
      <c r="V82" s="83">
        <v>0</v>
      </c>
      <c r="W82" s="83">
        <v>8989.1299999999974</v>
      </c>
      <c r="X82" s="83">
        <v>32140.73</v>
      </c>
      <c r="Y82" s="83">
        <v>9042.9</v>
      </c>
      <c r="Z82" s="83">
        <v>58844.009999999995</v>
      </c>
      <c r="AA82" s="83">
        <v>88135.539999999979</v>
      </c>
      <c r="AB82" s="83">
        <v>0</v>
      </c>
      <c r="AC82" s="83">
        <v>102485.90999999995</v>
      </c>
      <c r="AD82" s="83">
        <v>167447.77000000008</v>
      </c>
      <c r="AE82" s="83">
        <v>7432.1299999999992</v>
      </c>
      <c r="AF82" s="83">
        <v>9125.0400000000009</v>
      </c>
      <c r="AG82" s="83">
        <v>24374.409999999996</v>
      </c>
      <c r="AH82" s="83">
        <v>135242.97000000015</v>
      </c>
      <c r="AI82" s="83">
        <v>0</v>
      </c>
      <c r="AJ82" s="83">
        <v>0</v>
      </c>
      <c r="AK82" s="83">
        <v>0</v>
      </c>
      <c r="AL82" s="83">
        <v>0</v>
      </c>
      <c r="AM82" s="83">
        <v>0</v>
      </c>
      <c r="AN82" s="83">
        <v>0</v>
      </c>
      <c r="AO82" s="83">
        <v>0</v>
      </c>
      <c r="AP82" s="83">
        <v>0</v>
      </c>
      <c r="AQ82" s="83">
        <v>0</v>
      </c>
      <c r="AR82" s="83">
        <v>0</v>
      </c>
      <c r="AS82" s="83">
        <v>43123.01999999999</v>
      </c>
      <c r="AT82" s="83">
        <v>81474.47</v>
      </c>
      <c r="AU82" s="83">
        <v>0</v>
      </c>
      <c r="AV82" s="83">
        <v>24312.19</v>
      </c>
      <c r="AW82" s="83">
        <v>13235.480000000003</v>
      </c>
      <c r="AX82" s="83">
        <v>0</v>
      </c>
      <c r="AY82" s="83">
        <v>0</v>
      </c>
      <c r="AZ82" s="83">
        <v>0</v>
      </c>
      <c r="BA82" s="83">
        <v>0</v>
      </c>
      <c r="BB82" s="83">
        <v>0</v>
      </c>
      <c r="BC82" s="83">
        <v>0</v>
      </c>
      <c r="BD82" s="83">
        <v>0</v>
      </c>
      <c r="BE82" s="83">
        <f t="shared" si="0"/>
        <v>1317945.8900000001</v>
      </c>
      <c r="BF82" s="5"/>
      <c r="BG82" s="5">
        <f t="shared" si="1"/>
        <v>1317945.8900000001</v>
      </c>
      <c r="BH82" s="66"/>
    </row>
    <row r="83" spans="1:60" ht="15" hidden="1" customHeight="1" x14ac:dyDescent="0.35">
      <c r="A83" s="3" t="s">
        <v>165</v>
      </c>
      <c r="B83" s="4" t="s">
        <v>166</v>
      </c>
      <c r="C83" s="4" t="s">
        <v>314</v>
      </c>
      <c r="D83" s="4" t="s">
        <v>1059</v>
      </c>
      <c r="E83" s="83">
        <v>31267</v>
      </c>
      <c r="F83" s="83">
        <v>28391</v>
      </c>
      <c r="G83" s="83">
        <v>0</v>
      </c>
      <c r="H83" s="83">
        <v>29594</v>
      </c>
      <c r="I83" s="83">
        <v>13760</v>
      </c>
      <c r="J83" s="83">
        <f>14449+(21620/4)</f>
        <v>19854</v>
      </c>
      <c r="K83" s="83">
        <f>100+(21620/4)</f>
        <v>5505</v>
      </c>
      <c r="L83" s="83">
        <f>21620*0</f>
        <v>0</v>
      </c>
      <c r="M83" s="83">
        <f>21620/4</f>
        <v>5405</v>
      </c>
      <c r="N83" s="83">
        <f>5086+(21620/4)</f>
        <v>10491</v>
      </c>
      <c r="O83" s="83">
        <f>27602</f>
        <v>27602</v>
      </c>
      <c r="P83" s="83">
        <v>0</v>
      </c>
      <c r="Q83" s="83">
        <v>0</v>
      </c>
      <c r="R83" s="83">
        <f>0+2319</f>
        <v>2319</v>
      </c>
      <c r="S83" s="83">
        <v>0</v>
      </c>
      <c r="T83" s="83">
        <f>2319*0</f>
        <v>0</v>
      </c>
      <c r="U83" s="83">
        <v>0</v>
      </c>
      <c r="V83" s="83">
        <f>72042*0</f>
        <v>0</v>
      </c>
      <c r="W83" s="83">
        <f>1478+(72042/3)</f>
        <v>25492</v>
      </c>
      <c r="X83" s="83">
        <f>72042/3</f>
        <v>24014</v>
      </c>
      <c r="Y83" s="83">
        <f>500+(72042/3)</f>
        <v>24514</v>
      </c>
      <c r="Z83" s="83">
        <v>1128</v>
      </c>
      <c r="AA83" s="83">
        <v>10747</v>
      </c>
      <c r="AB83" s="83">
        <v>0</v>
      </c>
      <c r="AC83" s="83">
        <v>3130</v>
      </c>
      <c r="AD83" s="83">
        <v>26745</v>
      </c>
      <c r="AE83" s="83">
        <v>20690</v>
      </c>
      <c r="AF83" s="83">
        <v>3265</v>
      </c>
      <c r="AG83" s="83">
        <v>0</v>
      </c>
      <c r="AH83" s="83">
        <v>29233</v>
      </c>
      <c r="AI83" s="83">
        <f>50561+(7840/5)+(617965/5)</f>
        <v>175722</v>
      </c>
      <c r="AJ83" s="83">
        <f>1220+(7840/5)+(617965/5)</f>
        <v>126381</v>
      </c>
      <c r="AK83" s="83">
        <v>0</v>
      </c>
      <c r="AL83" s="83">
        <f>7840*0</f>
        <v>0</v>
      </c>
      <c r="AM83" s="83">
        <f>617965*0</f>
        <v>0</v>
      </c>
      <c r="AN83" s="83">
        <v>0</v>
      </c>
      <c r="AO83" s="83">
        <f>32814+(7840/5)+(617965/5)</f>
        <v>157975</v>
      </c>
      <c r="AP83" s="83">
        <f>240+(7840/5)+(617965/5)</f>
        <v>125401</v>
      </c>
      <c r="AQ83" s="83">
        <f>29170*0</f>
        <v>0</v>
      </c>
      <c r="AR83" s="83">
        <f>99755+(7840/5)+(617965/5)</f>
        <v>224916</v>
      </c>
      <c r="AS83" s="83">
        <f>8825+(7840/5)</f>
        <v>10393</v>
      </c>
      <c r="AT83" s="83">
        <v>15402</v>
      </c>
      <c r="AU83" s="83">
        <v>0</v>
      </c>
      <c r="AV83" s="83">
        <v>9658</v>
      </c>
      <c r="AW83" s="83">
        <v>9658</v>
      </c>
      <c r="AX83" s="83">
        <v>30253</v>
      </c>
      <c r="AY83" s="83">
        <v>0</v>
      </c>
      <c r="AZ83" s="83">
        <v>0</v>
      </c>
      <c r="BA83" s="83">
        <v>130657</v>
      </c>
      <c r="BB83" s="83">
        <v>57042</v>
      </c>
      <c r="BC83" s="83">
        <v>137691</v>
      </c>
      <c r="BD83" s="83">
        <v>81547</v>
      </c>
      <c r="BE83" s="5">
        <f t="shared" si="0"/>
        <v>1635842</v>
      </c>
      <c r="BF83" s="5"/>
      <c r="BG83" s="5">
        <f t="shared" si="1"/>
        <v>1635842</v>
      </c>
      <c r="BH83" s="66">
        <f>BE83-'TB 17.05.24'!BD75</f>
        <v>0</v>
      </c>
    </row>
    <row r="84" spans="1:60" ht="15" hidden="1" customHeight="1" x14ac:dyDescent="0.35">
      <c r="A84" s="3" t="s">
        <v>167</v>
      </c>
      <c r="B84" s="4" t="s">
        <v>168</v>
      </c>
      <c r="C84" s="4" t="s">
        <v>314</v>
      </c>
      <c r="D84" s="4" t="s">
        <v>322</v>
      </c>
      <c r="E84" s="83">
        <v>0</v>
      </c>
      <c r="F84" s="83">
        <v>0</v>
      </c>
      <c r="G84" s="83">
        <v>0</v>
      </c>
      <c r="H84" s="83">
        <v>0</v>
      </c>
      <c r="I84" s="83">
        <v>28900</v>
      </c>
      <c r="J84" s="83">
        <v>8249</v>
      </c>
      <c r="K84" s="83">
        <v>9646</v>
      </c>
      <c r="L84" s="83">
        <v>0</v>
      </c>
      <c r="M84" s="83">
        <v>6708</v>
      </c>
      <c r="N84" s="83">
        <v>8695</v>
      </c>
      <c r="O84" s="83">
        <v>0</v>
      </c>
      <c r="P84" s="83">
        <v>0</v>
      </c>
      <c r="Q84" s="83">
        <v>0</v>
      </c>
      <c r="R84" s="83">
        <v>0</v>
      </c>
      <c r="S84" s="83">
        <v>0</v>
      </c>
      <c r="T84" s="83">
        <v>0</v>
      </c>
      <c r="U84" s="83">
        <v>0</v>
      </c>
      <c r="V84" s="83">
        <v>0</v>
      </c>
      <c r="W84" s="83">
        <v>0</v>
      </c>
      <c r="X84" s="83">
        <v>0</v>
      </c>
      <c r="Y84" s="83">
        <v>0</v>
      </c>
      <c r="Z84" s="83">
        <v>2598</v>
      </c>
      <c r="AA84" s="83">
        <v>0</v>
      </c>
      <c r="AB84" s="83">
        <v>0</v>
      </c>
      <c r="AC84" s="83">
        <v>6488</v>
      </c>
      <c r="AD84" s="83">
        <v>6806</v>
      </c>
      <c r="AE84" s="83">
        <v>0</v>
      </c>
      <c r="AF84" s="83">
        <v>0</v>
      </c>
      <c r="AG84" s="83">
        <v>0</v>
      </c>
      <c r="AH84" s="83">
        <v>0</v>
      </c>
      <c r="AI84" s="83">
        <v>0</v>
      </c>
      <c r="AJ84" s="83">
        <v>0</v>
      </c>
      <c r="AK84" s="83">
        <v>0</v>
      </c>
      <c r="AL84" s="83">
        <v>0</v>
      </c>
      <c r="AM84" s="83">
        <v>0</v>
      </c>
      <c r="AN84" s="83">
        <v>0</v>
      </c>
      <c r="AO84" s="83">
        <v>0</v>
      </c>
      <c r="AP84" s="83">
        <v>0</v>
      </c>
      <c r="AQ84" s="83">
        <v>0</v>
      </c>
      <c r="AR84" s="83">
        <v>0</v>
      </c>
      <c r="AS84" s="83">
        <v>10799</v>
      </c>
      <c r="AT84" s="83">
        <v>9779</v>
      </c>
      <c r="AU84" s="83">
        <v>0</v>
      </c>
      <c r="AV84" s="83">
        <v>9269.5</v>
      </c>
      <c r="AW84" s="83">
        <v>9269.5</v>
      </c>
      <c r="AX84" s="83">
        <v>0</v>
      </c>
      <c r="AY84" s="83">
        <v>0</v>
      </c>
      <c r="AZ84" s="83">
        <v>0</v>
      </c>
      <c r="BA84" s="83">
        <v>0</v>
      </c>
      <c r="BB84" s="83">
        <v>0</v>
      </c>
      <c r="BC84" s="83">
        <v>0</v>
      </c>
      <c r="BD84" s="83">
        <v>0</v>
      </c>
      <c r="BE84" s="5">
        <f t="shared" si="0"/>
        <v>117207</v>
      </c>
      <c r="BF84" s="5"/>
      <c r="BG84" s="5">
        <f t="shared" si="1"/>
        <v>117207</v>
      </c>
      <c r="BH84" s="66">
        <f>BE84-'TB 17.05.24'!BD76</f>
        <v>0</v>
      </c>
    </row>
    <row r="85" spans="1:60" ht="15" hidden="1" customHeight="1" x14ac:dyDescent="0.35">
      <c r="A85" s="3" t="s">
        <v>169</v>
      </c>
      <c r="B85" s="4" t="s">
        <v>170</v>
      </c>
      <c r="C85" s="4" t="s">
        <v>314</v>
      </c>
      <c r="D85" s="4" t="s">
        <v>1059</v>
      </c>
      <c r="E85" s="83">
        <v>11703</v>
      </c>
      <c r="F85" s="83">
        <v>26270</v>
      </c>
      <c r="G85" s="83">
        <v>0</v>
      </c>
      <c r="H85" s="83">
        <v>9945</v>
      </c>
      <c r="I85" s="83">
        <v>30232</v>
      </c>
      <c r="J85" s="83">
        <f>15930/4</f>
        <v>3982.5</v>
      </c>
      <c r="K85" s="83">
        <f>15930/4</f>
        <v>3982.5</v>
      </c>
      <c r="L85" s="83">
        <f>15930*0</f>
        <v>0</v>
      </c>
      <c r="M85" s="83">
        <f>15930/4</f>
        <v>3982.5</v>
      </c>
      <c r="N85" s="83">
        <f>15930/4</f>
        <v>3982.5</v>
      </c>
      <c r="O85" s="83">
        <v>0</v>
      </c>
      <c r="P85" s="83">
        <v>0</v>
      </c>
      <c r="Q85" s="83">
        <v>0</v>
      </c>
      <c r="R85" s="83">
        <v>10620</v>
      </c>
      <c r="S85" s="83">
        <v>29654</v>
      </c>
      <c r="T85" s="83">
        <v>0</v>
      </c>
      <c r="U85" s="83">
        <v>9055</v>
      </c>
      <c r="V85" s="83">
        <f>26954*0</f>
        <v>0</v>
      </c>
      <c r="W85" s="83">
        <f>925+(26954/3)</f>
        <v>9909.6666666666661</v>
      </c>
      <c r="X85" s="83">
        <f>26954/3</f>
        <v>8984.6666666666661</v>
      </c>
      <c r="Y85" s="83">
        <f>26954/3</f>
        <v>8984.6666666666661</v>
      </c>
      <c r="Z85" s="83">
        <v>14285</v>
      </c>
      <c r="AA85" s="83">
        <v>9150</v>
      </c>
      <c r="AB85" s="83">
        <v>0</v>
      </c>
      <c r="AC85" s="83">
        <v>7520</v>
      </c>
      <c r="AD85" s="83">
        <v>54119</v>
      </c>
      <c r="AE85" s="83">
        <v>28209</v>
      </c>
      <c r="AF85" s="83">
        <v>16120</v>
      </c>
      <c r="AG85" s="83">
        <v>25343</v>
      </c>
      <c r="AH85" s="83">
        <v>94749</v>
      </c>
      <c r="AI85" s="83">
        <f>(5813/5)+(130482/5)</f>
        <v>27259</v>
      </c>
      <c r="AJ85" s="83">
        <f>(5813/5)+(130482/5)</f>
        <v>27259</v>
      </c>
      <c r="AK85" s="83">
        <v>0</v>
      </c>
      <c r="AL85" s="83">
        <f>5813*0</f>
        <v>0</v>
      </c>
      <c r="AM85" s="83">
        <f>130482*0</f>
        <v>0</v>
      </c>
      <c r="AN85" s="83">
        <v>0</v>
      </c>
      <c r="AO85" s="83">
        <f>(5813/5)+(130482/5)</f>
        <v>27259</v>
      </c>
      <c r="AP85" s="83">
        <f>(5813/5)+(130482/5)</f>
        <v>27259</v>
      </c>
      <c r="AQ85" s="83">
        <v>0</v>
      </c>
      <c r="AR85" s="83">
        <f>18250+(5813/5)+(130482/5)</f>
        <v>45509</v>
      </c>
      <c r="AS85" s="83">
        <v>16350</v>
      </c>
      <c r="AT85" s="83">
        <v>35401</v>
      </c>
      <c r="AU85" s="83">
        <v>0</v>
      </c>
      <c r="AV85" s="83">
        <v>13903</v>
      </c>
      <c r="AW85" s="83">
        <v>13903</v>
      </c>
      <c r="AX85" s="83">
        <v>104180</v>
      </c>
      <c r="AY85" s="83">
        <v>0</v>
      </c>
      <c r="AZ85" s="83">
        <v>0</v>
      </c>
      <c r="BA85" s="83">
        <v>82145</v>
      </c>
      <c r="BB85" s="83">
        <v>228404</v>
      </c>
      <c r="BC85" s="83">
        <v>80288</v>
      </c>
      <c r="BD85" s="83">
        <v>106082</v>
      </c>
      <c r="BE85" s="5">
        <f t="shared" si="0"/>
        <v>1255984</v>
      </c>
      <c r="BF85" s="5"/>
      <c r="BG85" s="5">
        <f t="shared" si="1"/>
        <v>1255984</v>
      </c>
      <c r="BH85" s="66">
        <f>BE85-'TB 17.05.24'!BD77</f>
        <v>0</v>
      </c>
    </row>
    <row r="86" spans="1:60" ht="15" hidden="1" customHeight="1" x14ac:dyDescent="0.35">
      <c r="A86" s="3" t="s">
        <v>171</v>
      </c>
      <c r="B86" s="4" t="s">
        <v>172</v>
      </c>
      <c r="C86" s="4" t="s">
        <v>314</v>
      </c>
      <c r="D86" s="4" t="s">
        <v>303</v>
      </c>
      <c r="E86" s="83">
        <v>0</v>
      </c>
      <c r="F86" s="83">
        <v>0</v>
      </c>
      <c r="G86" s="83">
        <v>0</v>
      </c>
      <c r="H86" s="83">
        <v>0</v>
      </c>
      <c r="I86" s="83">
        <v>0</v>
      </c>
      <c r="J86" s="83">
        <v>66361</v>
      </c>
      <c r="K86" s="83">
        <v>92447</v>
      </c>
      <c r="L86" s="83">
        <v>0</v>
      </c>
      <c r="M86" s="83">
        <v>117197</v>
      </c>
      <c r="N86" s="83">
        <v>0</v>
      </c>
      <c r="O86" s="83">
        <v>0</v>
      </c>
      <c r="P86" s="83">
        <v>0</v>
      </c>
      <c r="Q86" s="83">
        <v>0</v>
      </c>
      <c r="R86" s="83">
        <v>0</v>
      </c>
      <c r="S86" s="83">
        <v>0</v>
      </c>
      <c r="T86" s="83">
        <v>0</v>
      </c>
      <c r="U86" s="83">
        <v>0</v>
      </c>
      <c r="V86" s="83">
        <v>0</v>
      </c>
      <c r="W86" s="83">
        <v>0</v>
      </c>
      <c r="X86" s="83">
        <v>0</v>
      </c>
      <c r="Y86" s="83">
        <v>0</v>
      </c>
      <c r="Z86" s="83">
        <v>0</v>
      </c>
      <c r="AA86" s="83">
        <v>0</v>
      </c>
      <c r="AB86" s="83">
        <v>0</v>
      </c>
      <c r="AC86" s="83">
        <v>0</v>
      </c>
      <c r="AD86" s="83">
        <v>0</v>
      </c>
      <c r="AE86" s="83">
        <v>0</v>
      </c>
      <c r="AF86" s="83">
        <v>0</v>
      </c>
      <c r="AG86" s="83">
        <v>0</v>
      </c>
      <c r="AH86" s="83">
        <v>0</v>
      </c>
      <c r="AI86" s="83">
        <v>0</v>
      </c>
      <c r="AJ86" s="83">
        <v>0</v>
      </c>
      <c r="AK86" s="83">
        <v>0</v>
      </c>
      <c r="AL86" s="83">
        <v>0</v>
      </c>
      <c r="AM86" s="83">
        <v>0</v>
      </c>
      <c r="AN86" s="83">
        <v>0</v>
      </c>
      <c r="AO86" s="83">
        <v>0</v>
      </c>
      <c r="AP86" s="83">
        <v>0</v>
      </c>
      <c r="AQ86" s="83">
        <v>0</v>
      </c>
      <c r="AR86" s="83">
        <v>0</v>
      </c>
      <c r="AS86" s="83">
        <v>0</v>
      </c>
      <c r="AT86" s="83">
        <v>0</v>
      </c>
      <c r="AU86" s="83">
        <v>0</v>
      </c>
      <c r="AV86" s="83">
        <v>0</v>
      </c>
      <c r="AW86" s="83">
        <v>0</v>
      </c>
      <c r="AX86" s="83">
        <v>0</v>
      </c>
      <c r="AY86" s="83">
        <v>0</v>
      </c>
      <c r="AZ86" s="83">
        <v>0</v>
      </c>
      <c r="BA86" s="83">
        <v>0</v>
      </c>
      <c r="BB86" s="83">
        <v>0</v>
      </c>
      <c r="BC86" s="83">
        <v>0</v>
      </c>
      <c r="BD86" s="83">
        <v>0</v>
      </c>
      <c r="BE86" s="5">
        <f t="shared" si="0"/>
        <v>276005</v>
      </c>
      <c r="BF86" s="5"/>
      <c r="BG86" s="5">
        <f t="shared" si="1"/>
        <v>276005</v>
      </c>
      <c r="BH86" s="66">
        <f>BE86-'TB 17.05.24'!BD78</f>
        <v>0</v>
      </c>
    </row>
    <row r="87" spans="1:60" ht="15" hidden="1" customHeight="1" x14ac:dyDescent="0.35">
      <c r="A87" s="3" t="s">
        <v>173</v>
      </c>
      <c r="B87" s="4" t="s">
        <v>174</v>
      </c>
      <c r="C87" s="4" t="s">
        <v>314</v>
      </c>
      <c r="D87" s="4" t="s">
        <v>257</v>
      </c>
      <c r="E87" s="83">
        <v>0</v>
      </c>
      <c r="F87" s="83">
        <v>0</v>
      </c>
      <c r="G87" s="83">
        <v>0</v>
      </c>
      <c r="H87" s="83">
        <v>0</v>
      </c>
      <c r="I87" s="83">
        <v>0</v>
      </c>
      <c r="J87" s="83">
        <v>0</v>
      </c>
      <c r="K87" s="83">
        <v>0</v>
      </c>
      <c r="L87" s="83">
        <v>0</v>
      </c>
      <c r="M87" s="83">
        <v>0</v>
      </c>
      <c r="N87" s="83">
        <v>0</v>
      </c>
      <c r="O87" s="83">
        <v>0</v>
      </c>
      <c r="P87" s="83">
        <v>0</v>
      </c>
      <c r="Q87" s="83">
        <v>0</v>
      </c>
      <c r="R87" s="83">
        <v>0</v>
      </c>
      <c r="S87" s="83">
        <v>0</v>
      </c>
      <c r="T87" s="83">
        <v>0</v>
      </c>
      <c r="U87" s="83">
        <v>0</v>
      </c>
      <c r="V87" s="83">
        <v>0</v>
      </c>
      <c r="W87" s="83">
        <v>0</v>
      </c>
      <c r="X87" s="83">
        <v>0</v>
      </c>
      <c r="Y87" s="83">
        <v>0</v>
      </c>
      <c r="Z87" s="83">
        <v>0</v>
      </c>
      <c r="AA87" s="83">
        <v>0</v>
      </c>
      <c r="AB87" s="83">
        <v>0</v>
      </c>
      <c r="AC87" s="83">
        <f>16903*0</f>
        <v>0</v>
      </c>
      <c r="AD87" s="83">
        <v>0</v>
      </c>
      <c r="AE87" s="83">
        <v>0</v>
      </c>
      <c r="AF87" s="83">
        <v>0</v>
      </c>
      <c r="AG87" s="83">
        <v>0</v>
      </c>
      <c r="AH87" s="83">
        <v>0</v>
      </c>
      <c r="AI87" s="83">
        <v>0</v>
      </c>
      <c r="AJ87" s="83">
        <v>0</v>
      </c>
      <c r="AK87" s="83">
        <v>0</v>
      </c>
      <c r="AL87" s="83">
        <v>0</v>
      </c>
      <c r="AM87" s="83">
        <v>0</v>
      </c>
      <c r="AN87" s="83">
        <v>0</v>
      </c>
      <c r="AO87" s="83">
        <v>0</v>
      </c>
      <c r="AP87" s="83">
        <v>0</v>
      </c>
      <c r="AQ87" s="83">
        <v>0</v>
      </c>
      <c r="AR87" s="83">
        <v>0</v>
      </c>
      <c r="AS87" s="83">
        <v>0</v>
      </c>
      <c r="AT87" s="83">
        <v>0</v>
      </c>
      <c r="AU87" s="83">
        <v>0</v>
      </c>
      <c r="AV87" s="83">
        <v>0</v>
      </c>
      <c r="AW87" s="83">
        <v>0</v>
      </c>
      <c r="AX87" s="83">
        <v>0</v>
      </c>
      <c r="AY87" s="83">
        <v>0</v>
      </c>
      <c r="AZ87" s="83">
        <v>0</v>
      </c>
      <c r="BA87" s="83">
        <v>0</v>
      </c>
      <c r="BB87" s="83">
        <v>0</v>
      </c>
      <c r="BC87" s="83">
        <v>0</v>
      </c>
      <c r="BD87" s="83">
        <v>0</v>
      </c>
      <c r="BE87" s="5">
        <f t="shared" si="0"/>
        <v>0</v>
      </c>
      <c r="BF87" s="5">
        <f>16903</f>
        <v>16903</v>
      </c>
      <c r="BG87" s="5">
        <f t="shared" si="1"/>
        <v>16903</v>
      </c>
      <c r="BH87" s="66">
        <f>BE87-'TB 17.05.24'!BD79</f>
        <v>-16903</v>
      </c>
    </row>
    <row r="88" spans="1:60" ht="15" hidden="1" customHeight="1" x14ac:dyDescent="0.35">
      <c r="A88" s="3" t="s">
        <v>175</v>
      </c>
      <c r="B88" s="4" t="s">
        <v>176</v>
      </c>
      <c r="C88" s="4" t="s">
        <v>314</v>
      </c>
      <c r="D88" s="4" t="s">
        <v>257</v>
      </c>
      <c r="E88" s="83">
        <v>0</v>
      </c>
      <c r="F88" s="83">
        <v>0</v>
      </c>
      <c r="G88" s="83">
        <v>0</v>
      </c>
      <c r="H88" s="83">
        <v>0</v>
      </c>
      <c r="I88" s="83">
        <v>0</v>
      </c>
      <c r="J88" s="83">
        <v>0</v>
      </c>
      <c r="K88" s="83">
        <v>0</v>
      </c>
      <c r="L88" s="83">
        <v>0</v>
      </c>
      <c r="M88" s="83">
        <v>0</v>
      </c>
      <c r="N88" s="83">
        <v>0</v>
      </c>
      <c r="O88" s="83">
        <v>0</v>
      </c>
      <c r="P88" s="83">
        <v>0</v>
      </c>
      <c r="Q88" s="83">
        <v>0</v>
      </c>
      <c r="R88" s="83">
        <v>0</v>
      </c>
      <c r="S88" s="83">
        <v>0</v>
      </c>
      <c r="T88" s="83">
        <v>0</v>
      </c>
      <c r="U88" s="83">
        <v>0</v>
      </c>
      <c r="V88" s="83">
        <v>0</v>
      </c>
      <c r="W88" s="83">
        <v>0</v>
      </c>
      <c r="X88" s="83">
        <v>0</v>
      </c>
      <c r="Y88" s="83">
        <v>0</v>
      </c>
      <c r="Z88" s="83">
        <v>0</v>
      </c>
      <c r="AA88" s="83">
        <v>0</v>
      </c>
      <c r="AB88" s="83">
        <v>0</v>
      </c>
      <c r="AC88" s="83">
        <v>0</v>
      </c>
      <c r="AD88" s="83">
        <v>0</v>
      </c>
      <c r="AE88" s="83">
        <v>0</v>
      </c>
      <c r="AF88" s="83">
        <f>12000*0</f>
        <v>0</v>
      </c>
      <c r="AG88" s="83">
        <v>0</v>
      </c>
      <c r="AH88" s="83">
        <v>0</v>
      </c>
      <c r="AI88" s="83">
        <v>0</v>
      </c>
      <c r="AJ88" s="83">
        <v>0</v>
      </c>
      <c r="AK88" s="83">
        <v>0</v>
      </c>
      <c r="AL88" s="83">
        <v>0</v>
      </c>
      <c r="AM88" s="83">
        <v>0</v>
      </c>
      <c r="AN88" s="83">
        <v>0</v>
      </c>
      <c r="AO88" s="83">
        <v>0</v>
      </c>
      <c r="AP88" s="83">
        <v>0</v>
      </c>
      <c r="AQ88" s="83">
        <v>0</v>
      </c>
      <c r="AR88" s="83">
        <v>0</v>
      </c>
      <c r="AS88" s="83">
        <v>0</v>
      </c>
      <c r="AT88" s="83">
        <v>0</v>
      </c>
      <c r="AU88" s="83">
        <v>0</v>
      </c>
      <c r="AV88" s="83">
        <v>0</v>
      </c>
      <c r="AW88" s="83">
        <v>0</v>
      </c>
      <c r="AX88" s="83">
        <v>0</v>
      </c>
      <c r="AY88" s="83">
        <v>0</v>
      </c>
      <c r="AZ88" s="83">
        <v>0</v>
      </c>
      <c r="BA88" s="83">
        <v>0</v>
      </c>
      <c r="BB88" s="83">
        <v>0</v>
      </c>
      <c r="BC88" s="83">
        <v>0</v>
      </c>
      <c r="BD88" s="83">
        <v>0</v>
      </c>
      <c r="BE88" s="5">
        <f t="shared" si="0"/>
        <v>0</v>
      </c>
      <c r="BF88" s="5">
        <f>12000</f>
        <v>12000</v>
      </c>
      <c r="BG88" s="5">
        <f t="shared" si="1"/>
        <v>12000</v>
      </c>
      <c r="BH88" s="66">
        <f>BE88-'TB 17.05.24'!BD80</f>
        <v>-12000</v>
      </c>
    </row>
    <row r="89" spans="1:60" ht="15" hidden="1" customHeight="1" x14ac:dyDescent="0.35">
      <c r="A89" s="3" t="s">
        <v>177</v>
      </c>
      <c r="B89" s="4" t="s">
        <v>178</v>
      </c>
      <c r="C89" s="4" t="s">
        <v>314</v>
      </c>
      <c r="D89" s="4" t="s">
        <v>257</v>
      </c>
      <c r="E89" s="83">
        <f>900*0</f>
        <v>0</v>
      </c>
      <c r="F89" s="83">
        <f>1725*0</f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  <c r="R89" s="83">
        <v>0</v>
      </c>
      <c r="S89" s="83">
        <f>500*0</f>
        <v>0</v>
      </c>
      <c r="T89" s="83">
        <v>0</v>
      </c>
      <c r="U89" s="83">
        <f>281*0</f>
        <v>0</v>
      </c>
      <c r="V89" s="83">
        <v>0</v>
      </c>
      <c r="W89" s="83">
        <v>0</v>
      </c>
      <c r="X89" s="83">
        <v>0</v>
      </c>
      <c r="Y89" s="83">
        <v>0</v>
      </c>
      <c r="Z89" s="83">
        <v>0</v>
      </c>
      <c r="AA89" s="83">
        <v>0</v>
      </c>
      <c r="AB89" s="83">
        <v>0</v>
      </c>
      <c r="AC89" s="83">
        <v>0</v>
      </c>
      <c r="AD89" s="83">
        <v>0</v>
      </c>
      <c r="AE89" s="83">
        <v>0</v>
      </c>
      <c r="AF89" s="83">
        <v>0</v>
      </c>
      <c r="AG89" s="83">
        <v>0</v>
      </c>
      <c r="AH89" s="83">
        <v>0</v>
      </c>
      <c r="AI89" s="83">
        <f>450*0</f>
        <v>0</v>
      </c>
      <c r="AJ89" s="83">
        <v>0</v>
      </c>
      <c r="AK89" s="83">
        <v>0</v>
      </c>
      <c r="AL89" s="83">
        <v>0</v>
      </c>
      <c r="AM89" s="83">
        <v>0</v>
      </c>
      <c r="AN89" s="83">
        <v>0</v>
      </c>
      <c r="AO89" s="83">
        <v>0</v>
      </c>
      <c r="AP89" s="83">
        <v>0</v>
      </c>
      <c r="AQ89" s="83">
        <v>0</v>
      </c>
      <c r="AR89" s="83">
        <f>2250*0</f>
        <v>0</v>
      </c>
      <c r="AS89" s="83">
        <v>0</v>
      </c>
      <c r="AT89" s="83">
        <v>0</v>
      </c>
      <c r="AU89" s="83">
        <v>0</v>
      </c>
      <c r="AV89" s="83">
        <v>0</v>
      </c>
      <c r="AW89" s="83">
        <v>0</v>
      </c>
      <c r="AX89" s="83">
        <v>0</v>
      </c>
      <c r="AY89" s="83">
        <v>0</v>
      </c>
      <c r="AZ89" s="83">
        <v>0</v>
      </c>
      <c r="BA89" s="83">
        <f>300*0</f>
        <v>0</v>
      </c>
      <c r="BB89" s="83">
        <f>4495*0</f>
        <v>0</v>
      </c>
      <c r="BC89" s="83">
        <f>3016*0</f>
        <v>0</v>
      </c>
      <c r="BD89" s="83">
        <f>2473*0</f>
        <v>0</v>
      </c>
      <c r="BE89" s="5">
        <f t="shared" si="0"/>
        <v>0</v>
      </c>
      <c r="BF89" s="5">
        <f>900+1725+500+281+450+2250+300+4495+3016+2473</f>
        <v>16390</v>
      </c>
      <c r="BG89" s="5">
        <f t="shared" si="1"/>
        <v>16390</v>
      </c>
      <c r="BH89" s="66">
        <f>BE89-'TB 17.05.24'!BD81</f>
        <v>-16390</v>
      </c>
    </row>
    <row r="90" spans="1:60" ht="15" hidden="1" customHeight="1" x14ac:dyDescent="0.35">
      <c r="A90" s="3" t="s">
        <v>179</v>
      </c>
      <c r="B90" s="4" t="s">
        <v>180</v>
      </c>
      <c r="C90" s="4" t="s">
        <v>314</v>
      </c>
      <c r="D90" s="4" t="s">
        <v>322</v>
      </c>
      <c r="E90" s="83">
        <v>0</v>
      </c>
      <c r="F90" s="83">
        <v>0</v>
      </c>
      <c r="G90" s="83">
        <v>0</v>
      </c>
      <c r="H90" s="83">
        <v>0</v>
      </c>
      <c r="I90" s="83">
        <v>0</v>
      </c>
      <c r="J90" s="83">
        <v>1000</v>
      </c>
      <c r="K90" s="83">
        <v>0</v>
      </c>
      <c r="L90" s="83">
        <v>0</v>
      </c>
      <c r="M90" s="83">
        <v>0</v>
      </c>
      <c r="N90" s="83">
        <v>0</v>
      </c>
      <c r="O90" s="83">
        <v>0</v>
      </c>
      <c r="P90" s="83">
        <v>0</v>
      </c>
      <c r="Q90" s="83">
        <v>0</v>
      </c>
      <c r="R90" s="83">
        <v>356</v>
      </c>
      <c r="S90" s="83">
        <v>1300</v>
      </c>
      <c r="T90" s="83">
        <v>0</v>
      </c>
      <c r="U90" s="83">
        <v>500</v>
      </c>
      <c r="V90" s="83">
        <v>0</v>
      </c>
      <c r="W90" s="83">
        <v>0</v>
      </c>
      <c r="X90" s="83">
        <v>0</v>
      </c>
      <c r="Y90" s="83">
        <v>0</v>
      </c>
      <c r="Z90" s="83">
        <v>0</v>
      </c>
      <c r="AA90" s="83">
        <v>0</v>
      </c>
      <c r="AB90" s="83">
        <v>0</v>
      </c>
      <c r="AC90" s="83">
        <v>0</v>
      </c>
      <c r="AD90" s="83">
        <v>0</v>
      </c>
      <c r="AE90" s="83">
        <v>0</v>
      </c>
      <c r="AF90" s="83">
        <v>0</v>
      </c>
      <c r="AG90" s="83">
        <v>0</v>
      </c>
      <c r="AH90" s="83">
        <v>0</v>
      </c>
      <c r="AI90" s="83">
        <v>0</v>
      </c>
      <c r="AJ90" s="83">
        <v>0</v>
      </c>
      <c r="AK90" s="83">
        <v>0</v>
      </c>
      <c r="AL90" s="83">
        <v>0</v>
      </c>
      <c r="AM90" s="83">
        <v>0</v>
      </c>
      <c r="AN90" s="83">
        <v>0</v>
      </c>
      <c r="AO90" s="83">
        <v>0</v>
      </c>
      <c r="AP90" s="83">
        <v>0</v>
      </c>
      <c r="AQ90" s="83">
        <v>0</v>
      </c>
      <c r="AR90" s="83">
        <v>0</v>
      </c>
      <c r="AS90" s="83">
        <v>0</v>
      </c>
      <c r="AT90" s="83">
        <v>480</v>
      </c>
      <c r="AU90" s="83">
        <v>0</v>
      </c>
      <c r="AV90" s="83">
        <v>1000</v>
      </c>
      <c r="AW90" s="83">
        <v>0</v>
      </c>
      <c r="AX90" s="83">
        <v>0</v>
      </c>
      <c r="AY90" s="83">
        <v>0</v>
      </c>
      <c r="AZ90" s="83">
        <v>0</v>
      </c>
      <c r="BA90" s="83">
        <v>0</v>
      </c>
      <c r="BB90" s="83">
        <v>0</v>
      </c>
      <c r="BC90" s="83">
        <v>0</v>
      </c>
      <c r="BD90" s="83">
        <v>0</v>
      </c>
      <c r="BE90" s="5">
        <f t="shared" si="0"/>
        <v>4636</v>
      </c>
      <c r="BF90" s="5"/>
      <c r="BG90" s="5">
        <f t="shared" si="1"/>
        <v>4636</v>
      </c>
      <c r="BH90" s="66">
        <f>BE90-'TB 17.05.24'!BD82</f>
        <v>0</v>
      </c>
    </row>
    <row r="91" spans="1:60" ht="15" hidden="1" customHeight="1" x14ac:dyDescent="0.35">
      <c r="A91" s="3" t="s">
        <v>181</v>
      </c>
      <c r="B91" s="4" t="s">
        <v>182</v>
      </c>
      <c r="C91" s="4" t="s">
        <v>314</v>
      </c>
      <c r="D91" s="4" t="s">
        <v>290</v>
      </c>
      <c r="E91" s="83">
        <v>2970</v>
      </c>
      <c r="F91" s="83">
        <v>2970</v>
      </c>
      <c r="G91" s="83">
        <v>0</v>
      </c>
      <c r="H91" s="83">
        <v>2970</v>
      </c>
      <c r="I91" s="83">
        <v>2970</v>
      </c>
      <c r="J91" s="83">
        <v>0</v>
      </c>
      <c r="K91" s="83">
        <v>0</v>
      </c>
      <c r="L91" s="83">
        <v>0</v>
      </c>
      <c r="M91" s="83">
        <v>0</v>
      </c>
      <c r="N91" s="83">
        <v>0</v>
      </c>
      <c r="O91" s="83">
        <v>0</v>
      </c>
      <c r="P91" s="83">
        <v>0</v>
      </c>
      <c r="Q91" s="83">
        <v>0</v>
      </c>
      <c r="R91" s="83">
        <v>0</v>
      </c>
      <c r="S91" s="83">
        <v>0</v>
      </c>
      <c r="T91" s="83">
        <v>0</v>
      </c>
      <c r="U91" s="83">
        <v>0</v>
      </c>
      <c r="V91" s="83">
        <v>0</v>
      </c>
      <c r="W91" s="83">
        <v>0</v>
      </c>
      <c r="X91" s="83">
        <v>0</v>
      </c>
      <c r="Y91" s="83">
        <v>2252</v>
      </c>
      <c r="Z91" s="83">
        <v>0</v>
      </c>
      <c r="AA91" s="83">
        <v>3910</v>
      </c>
      <c r="AB91" s="83">
        <v>0</v>
      </c>
      <c r="AC91" s="83">
        <v>0</v>
      </c>
      <c r="AD91" s="83">
        <v>0</v>
      </c>
      <c r="AE91" s="83">
        <v>0</v>
      </c>
      <c r="AF91" s="83">
        <v>0</v>
      </c>
      <c r="AG91" s="83">
        <v>0</v>
      </c>
      <c r="AH91" s="83">
        <v>0</v>
      </c>
      <c r="AI91" s="83">
        <v>0</v>
      </c>
      <c r="AJ91" s="83">
        <v>0</v>
      </c>
      <c r="AK91" s="83">
        <v>0</v>
      </c>
      <c r="AL91" s="83">
        <v>0</v>
      </c>
      <c r="AM91" s="83">
        <v>0</v>
      </c>
      <c r="AN91" s="83">
        <v>0</v>
      </c>
      <c r="AO91" s="83">
        <v>0</v>
      </c>
      <c r="AP91" s="83">
        <v>0</v>
      </c>
      <c r="AQ91" s="83">
        <v>0</v>
      </c>
      <c r="AR91" s="83">
        <v>17040</v>
      </c>
      <c r="AS91" s="83">
        <v>3210</v>
      </c>
      <c r="AT91" s="83">
        <v>2638</v>
      </c>
      <c r="AU91" s="83">
        <v>0</v>
      </c>
      <c r="AV91" s="83">
        <v>7340</v>
      </c>
      <c r="AW91" s="83">
        <v>7340</v>
      </c>
      <c r="AX91" s="83">
        <v>0</v>
      </c>
      <c r="AY91" s="83">
        <v>0</v>
      </c>
      <c r="AZ91" s="83">
        <v>0</v>
      </c>
      <c r="BA91" s="83">
        <v>0</v>
      </c>
      <c r="BB91" s="83">
        <v>0</v>
      </c>
      <c r="BC91" s="83">
        <v>0</v>
      </c>
      <c r="BD91" s="83">
        <v>0</v>
      </c>
      <c r="BE91" s="5">
        <f t="shared" ref="BE91:BE103" si="3">SUM(E91:BD91)</f>
        <v>55610</v>
      </c>
      <c r="BF91" s="5"/>
      <c r="BG91" s="5">
        <f t="shared" ref="BG91:BG103" si="4">BE91+BF91</f>
        <v>55610</v>
      </c>
      <c r="BH91" s="66">
        <f>BE91-'TB 17.05.24'!BD83</f>
        <v>0</v>
      </c>
    </row>
    <row r="92" spans="1:60" ht="15" hidden="1" customHeight="1" x14ac:dyDescent="0.35">
      <c r="A92" s="3" t="s">
        <v>183</v>
      </c>
      <c r="B92" s="4" t="s">
        <v>184</v>
      </c>
      <c r="C92" s="4" t="s">
        <v>314</v>
      </c>
      <c r="D92" s="4" t="s">
        <v>290</v>
      </c>
      <c r="E92" s="83">
        <v>0</v>
      </c>
      <c r="F92" s="83">
        <v>0</v>
      </c>
      <c r="G92" s="83">
        <v>0</v>
      </c>
      <c r="H92" s="83">
        <v>0</v>
      </c>
      <c r="I92" s="83">
        <v>0</v>
      </c>
      <c r="J92" s="83">
        <v>2700</v>
      </c>
      <c r="K92" s="83">
        <v>2700</v>
      </c>
      <c r="L92" s="83">
        <v>0</v>
      </c>
      <c r="M92" s="83">
        <v>2700</v>
      </c>
      <c r="N92" s="83">
        <v>2700</v>
      </c>
      <c r="O92" s="83">
        <v>0</v>
      </c>
      <c r="P92" s="83">
        <v>0</v>
      </c>
      <c r="Q92" s="83">
        <v>0</v>
      </c>
      <c r="R92" s="83">
        <v>0</v>
      </c>
      <c r="S92" s="83">
        <v>0</v>
      </c>
      <c r="T92" s="83">
        <v>0</v>
      </c>
      <c r="U92" s="83">
        <v>0</v>
      </c>
      <c r="V92" s="83">
        <v>0</v>
      </c>
      <c r="W92" s="83">
        <v>0</v>
      </c>
      <c r="X92" s="83">
        <v>0</v>
      </c>
      <c r="Y92" s="83">
        <v>0</v>
      </c>
      <c r="Z92" s="83">
        <v>0</v>
      </c>
      <c r="AA92" s="83">
        <v>0</v>
      </c>
      <c r="AB92" s="83">
        <v>0</v>
      </c>
      <c r="AC92" s="83">
        <v>0</v>
      </c>
      <c r="AD92" s="83">
        <v>0</v>
      </c>
      <c r="AE92" s="83">
        <v>0</v>
      </c>
      <c r="AF92" s="83">
        <v>0</v>
      </c>
      <c r="AG92" s="83">
        <v>0</v>
      </c>
      <c r="AH92" s="83">
        <v>0</v>
      </c>
      <c r="AI92" s="83">
        <v>0</v>
      </c>
      <c r="AJ92" s="83">
        <v>0</v>
      </c>
      <c r="AK92" s="83">
        <v>0</v>
      </c>
      <c r="AL92" s="83">
        <v>0</v>
      </c>
      <c r="AM92" s="83">
        <v>0</v>
      </c>
      <c r="AN92" s="83">
        <v>0</v>
      </c>
      <c r="AO92" s="83">
        <v>0</v>
      </c>
      <c r="AP92" s="83">
        <v>0</v>
      </c>
      <c r="AQ92" s="83">
        <v>0</v>
      </c>
      <c r="AR92" s="83">
        <v>0</v>
      </c>
      <c r="AS92" s="83">
        <v>0</v>
      </c>
      <c r="AT92" s="83">
        <v>0</v>
      </c>
      <c r="AU92" s="83">
        <v>0</v>
      </c>
      <c r="AV92" s="83">
        <v>0</v>
      </c>
      <c r="AW92" s="83">
        <v>0</v>
      </c>
      <c r="AX92" s="83">
        <v>0</v>
      </c>
      <c r="AY92" s="83">
        <v>0</v>
      </c>
      <c r="AZ92" s="83">
        <v>0</v>
      </c>
      <c r="BA92" s="83">
        <v>0</v>
      </c>
      <c r="BB92" s="83">
        <v>0</v>
      </c>
      <c r="BC92" s="83">
        <v>0</v>
      </c>
      <c r="BD92" s="83">
        <v>0</v>
      </c>
      <c r="BE92" s="5">
        <f t="shared" si="3"/>
        <v>10800</v>
      </c>
      <c r="BF92" s="5"/>
      <c r="BG92" s="5">
        <f t="shared" si="4"/>
        <v>10800</v>
      </c>
      <c r="BH92" s="66">
        <f>BE92-'TB 17.05.24'!BD84</f>
        <v>0</v>
      </c>
    </row>
    <row r="93" spans="1:60" ht="15" hidden="1" customHeight="1" x14ac:dyDescent="0.35">
      <c r="A93" s="3" t="s">
        <v>185</v>
      </c>
      <c r="B93" s="4" t="s">
        <v>186</v>
      </c>
      <c r="C93" s="4" t="s">
        <v>314</v>
      </c>
      <c r="D93" s="4" t="s">
        <v>290</v>
      </c>
      <c r="E93" s="83">
        <f>4125+11000+7000+6375+9075</f>
        <v>37575</v>
      </c>
      <c r="F93" s="83">
        <f>4125+11000+7000+6375+9075</f>
        <v>37575</v>
      </c>
      <c r="G93" s="83">
        <f>133800*0</f>
        <v>0</v>
      </c>
      <c r="H93" s="83">
        <f>4125+11000+7000+6375+9075</f>
        <v>37575</v>
      </c>
      <c r="I93" s="83">
        <f>4125+11000+7000+6375+9075</f>
        <v>37575</v>
      </c>
      <c r="J93" s="83">
        <v>74998.5</v>
      </c>
      <c r="K93" s="83">
        <v>79998.5</v>
      </c>
      <c r="L93" s="83">
        <v>0</v>
      </c>
      <c r="M93" s="83">
        <v>79998.5</v>
      </c>
      <c r="N93" s="83">
        <v>74998.5</v>
      </c>
      <c r="O93" s="83">
        <v>0</v>
      </c>
      <c r="P93" s="83">
        <v>0</v>
      </c>
      <c r="Q93" s="83">
        <v>0</v>
      </c>
      <c r="R93" s="83">
        <v>0</v>
      </c>
      <c r="S93" s="83">
        <v>0</v>
      </c>
      <c r="T93" s="83">
        <v>0</v>
      </c>
      <c r="U93" s="83">
        <v>0</v>
      </c>
      <c r="V93" s="83">
        <v>0</v>
      </c>
      <c r="W93" s="83">
        <v>33632</v>
      </c>
      <c r="X93" s="83">
        <v>33633</v>
      </c>
      <c r="Y93" s="83">
        <v>33635</v>
      </c>
      <c r="Z93" s="83">
        <f>20000/8</f>
        <v>2500</v>
      </c>
      <c r="AA93" s="83">
        <f>20000/8</f>
        <v>2500</v>
      </c>
      <c r="AB93" s="83">
        <f>40000-20000-20000</f>
        <v>0</v>
      </c>
      <c r="AC93" s="83">
        <f>20000/8</f>
        <v>2500</v>
      </c>
      <c r="AD93" s="83">
        <f>0+20000+(20000/8)</f>
        <v>22500</v>
      </c>
      <c r="AE93" s="83">
        <f>20000/8</f>
        <v>2500</v>
      </c>
      <c r="AF93" s="83">
        <f>20000/8</f>
        <v>2500</v>
      </c>
      <c r="AG93" s="83">
        <f>20000/8</f>
        <v>2500</v>
      </c>
      <c r="AH93" s="83">
        <f>20000/8</f>
        <v>2500</v>
      </c>
      <c r="AI93" s="83">
        <f>10000+(494450/5)</f>
        <v>108890</v>
      </c>
      <c r="AJ93" s="83">
        <f>2500+(494450/5)</f>
        <v>101390</v>
      </c>
      <c r="AK93" s="83">
        <v>0</v>
      </c>
      <c r="AL93" s="83">
        <v>0</v>
      </c>
      <c r="AM93" s="83">
        <f>494450*0</f>
        <v>0</v>
      </c>
      <c r="AN93" s="83">
        <v>0</v>
      </c>
      <c r="AO93" s="83">
        <f>494450/5</f>
        <v>98890</v>
      </c>
      <c r="AP93" s="83">
        <f>494450/5</f>
        <v>98890</v>
      </c>
      <c r="AQ93" s="83">
        <v>0</v>
      </c>
      <c r="AR93" s="83">
        <f>11500+(494450/5)</f>
        <v>110390</v>
      </c>
      <c r="AS93" s="83">
        <v>22700</v>
      </c>
      <c r="AT93" s="83">
        <v>47700</v>
      </c>
      <c r="AU93" s="83">
        <v>0</v>
      </c>
      <c r="AV93" s="83">
        <v>68850</v>
      </c>
      <c r="AW93" s="83">
        <v>68850</v>
      </c>
      <c r="AX93" s="83">
        <v>33000</v>
      </c>
      <c r="AY93" s="83">
        <v>0</v>
      </c>
      <c r="AZ93" s="83">
        <v>0</v>
      </c>
      <c r="BA93" s="83">
        <v>87833</v>
      </c>
      <c r="BB93" s="83">
        <v>87833</v>
      </c>
      <c r="BC93" s="83">
        <v>87833</v>
      </c>
      <c r="BD93" s="83">
        <v>33000</v>
      </c>
      <c r="BE93" s="5">
        <f t="shared" si="3"/>
        <v>1657243</v>
      </c>
      <c r="BF93" s="5"/>
      <c r="BG93" s="5">
        <f t="shared" si="4"/>
        <v>1657243</v>
      </c>
      <c r="BH93" s="66">
        <f>BE93-'TB 17.05.24'!BD85</f>
        <v>0</v>
      </c>
    </row>
    <row r="94" spans="1:60" ht="15" hidden="1" customHeight="1" x14ac:dyDescent="0.35">
      <c r="A94" s="3" t="s">
        <v>187</v>
      </c>
      <c r="B94" s="4" t="s">
        <v>188</v>
      </c>
      <c r="C94" s="4" t="s">
        <v>314</v>
      </c>
      <c r="D94" s="4" t="s">
        <v>955</v>
      </c>
      <c r="E94" s="83">
        <f>'REV &amp; COGS'!C21</f>
        <v>44285</v>
      </c>
      <c r="F94" s="83">
        <f>'REV &amp; COGS'!D21</f>
        <v>58641</v>
      </c>
      <c r="G94" s="83">
        <f>'REV &amp; COGS'!E21</f>
        <v>0</v>
      </c>
      <c r="H94" s="83">
        <f>'REV &amp; COGS'!F21</f>
        <v>75179</v>
      </c>
      <c r="I94" s="83">
        <f>'REV &amp; COGS'!G21</f>
        <v>35472</v>
      </c>
      <c r="J94" s="83">
        <f>'REV &amp; COGS'!H21</f>
        <v>51034.14</v>
      </c>
      <c r="K94" s="83">
        <f>'REV &amp; COGS'!I21</f>
        <v>54717.96</v>
      </c>
      <c r="L94" s="83">
        <f>'REV &amp; COGS'!J21</f>
        <v>0</v>
      </c>
      <c r="M94" s="83">
        <f>'REV &amp; COGS'!K21</f>
        <v>78410.260000000009</v>
      </c>
      <c r="N94" s="83">
        <f>'REV &amp; COGS'!L21</f>
        <v>95093.549999999988</v>
      </c>
      <c r="O94" s="83">
        <f>1805882.72-'REV &amp; COGS'!BC21</f>
        <v>3335.4384666664992</v>
      </c>
      <c r="P94" s="83">
        <v>0</v>
      </c>
      <c r="Q94" s="83">
        <v>0</v>
      </c>
      <c r="R94" s="83">
        <f>'REV &amp; COGS'!O21</f>
        <v>40782.400000000001</v>
      </c>
      <c r="S94" s="83">
        <f>'REV &amp; COGS'!P21</f>
        <v>36256.004999999997</v>
      </c>
      <c r="T94" s="83">
        <f>'REV &amp; COGS'!Q21</f>
        <v>0</v>
      </c>
      <c r="U94" s="83">
        <f>'REV &amp; COGS'!R21</f>
        <v>71734.399999999994</v>
      </c>
      <c r="V94" s="83">
        <f>'REV &amp; COGS'!S21</f>
        <v>0</v>
      </c>
      <c r="W94" s="83">
        <f>'REV &amp; COGS'!T21</f>
        <v>60816</v>
      </c>
      <c r="X94" s="83">
        <f>'REV &amp; COGS'!U21</f>
        <v>91375</v>
      </c>
      <c r="Y94" s="83">
        <f>'REV &amp; COGS'!V21</f>
        <v>85042</v>
      </c>
      <c r="Z94" s="83">
        <f>'REV &amp; COGS'!W21</f>
        <v>22355</v>
      </c>
      <c r="AA94" s="83">
        <f>'REV &amp; COGS'!X21</f>
        <v>33415</v>
      </c>
      <c r="AB94" s="83">
        <f>'REV &amp; COGS'!Y21</f>
        <v>0</v>
      </c>
      <c r="AC94" s="83">
        <f>'REV &amp; COGS'!Z21</f>
        <v>68047</v>
      </c>
      <c r="AD94" s="83">
        <f>'REV &amp; COGS'!AA21</f>
        <v>18838.5</v>
      </c>
      <c r="AE94" s="83">
        <f>'REV &amp; COGS'!AB21</f>
        <v>2835.2999999999997</v>
      </c>
      <c r="AF94" s="83">
        <f>'REV &amp; COGS'!AC21</f>
        <v>64119.043999999994</v>
      </c>
      <c r="AG94" s="83">
        <f>'REV &amp; COGS'!AD21</f>
        <v>28148</v>
      </c>
      <c r="AH94" s="83">
        <f>'REV &amp; COGS'!AE21</f>
        <v>24404.126000000004</v>
      </c>
      <c r="AI94" s="83">
        <f>'REV &amp; COGS'!AF21</f>
        <v>33159.629999999997</v>
      </c>
      <c r="AJ94" s="83">
        <f>'REV &amp; COGS'!AG21</f>
        <v>37480</v>
      </c>
      <c r="AK94" s="83">
        <f>'REV &amp; COGS'!AH21</f>
        <v>0</v>
      </c>
      <c r="AL94" s="83">
        <f>'REV &amp; COGS'!AI21</f>
        <v>0</v>
      </c>
      <c r="AM94" s="83">
        <f>'REV &amp; COGS'!AJ21</f>
        <v>0</v>
      </c>
      <c r="AN94" s="83">
        <f>'REV &amp; COGS'!AK21</f>
        <v>0</v>
      </c>
      <c r="AO94" s="83">
        <f>'REV &amp; COGS'!AL21</f>
        <v>53600</v>
      </c>
      <c r="AP94" s="83">
        <f>'REV &amp; COGS'!AM21</f>
        <v>16834</v>
      </c>
      <c r="AQ94" s="83">
        <f>'REV &amp; COGS'!AN21</f>
        <v>0</v>
      </c>
      <c r="AR94" s="83">
        <f>'REV &amp; COGS'!AO21</f>
        <v>56198.8</v>
      </c>
      <c r="AS94" s="83">
        <f>'REV &amp; COGS'!AP21</f>
        <v>37975.975400000003</v>
      </c>
      <c r="AT94" s="83">
        <f>'REV &amp; COGS'!AQ21</f>
        <v>52453.760133333315</v>
      </c>
      <c r="AU94" s="83">
        <f>'REV &amp; COGS'!AR21</f>
        <v>0</v>
      </c>
      <c r="AV94" s="83">
        <f>'REV &amp; COGS'!AS21</f>
        <v>43521.557879802647</v>
      </c>
      <c r="AW94" s="83">
        <f>'REV &amp; COGS'!AT21</f>
        <v>57287.592120197354</v>
      </c>
      <c r="AX94" s="83">
        <f>'REV &amp; COGS'!AU21</f>
        <v>47525.974999999999</v>
      </c>
      <c r="AY94" s="83">
        <f>'REV &amp; COGS'!AV21</f>
        <v>0</v>
      </c>
      <c r="AZ94" s="83">
        <f>'REV &amp; COGS'!AW21</f>
        <v>0</v>
      </c>
      <c r="BA94" s="83">
        <f>'REV &amp; COGS'!AX21</f>
        <v>81042.100000000006</v>
      </c>
      <c r="BB94" s="83">
        <f>'REV &amp; COGS'!AY21</f>
        <v>24855.88</v>
      </c>
      <c r="BC94" s="83">
        <f>'REV &amp; COGS'!AZ21</f>
        <v>77482.100000000006</v>
      </c>
      <c r="BD94" s="83">
        <f>'REV &amp; COGS'!BA21</f>
        <v>42129.226000000002</v>
      </c>
      <c r="BE94" s="346">
        <f t="shared" si="3"/>
        <v>1805882.72</v>
      </c>
      <c r="BF94" s="5"/>
      <c r="BG94" s="5">
        <f t="shared" si="4"/>
        <v>1805882.72</v>
      </c>
      <c r="BH94" s="66">
        <f>BE94-'TB 17.05.24'!BD86</f>
        <v>0</v>
      </c>
    </row>
    <row r="95" spans="1:60" ht="15" hidden="1" customHeight="1" x14ac:dyDescent="0.35">
      <c r="A95" s="3" t="s">
        <v>189</v>
      </c>
      <c r="B95" s="4" t="s">
        <v>190</v>
      </c>
      <c r="C95" s="4" t="s">
        <v>314</v>
      </c>
      <c r="D95" s="4" t="s">
        <v>985</v>
      </c>
      <c r="E95" s="83">
        <f>54802*0</f>
        <v>0</v>
      </c>
      <c r="F95" s="83">
        <f>131736*0</f>
        <v>0</v>
      </c>
      <c r="G95" s="83">
        <v>0</v>
      </c>
      <c r="H95" s="83">
        <f>148860*0</f>
        <v>0</v>
      </c>
      <c r="I95" s="83">
        <f>32871*0</f>
        <v>0</v>
      </c>
      <c r="J95" s="83">
        <f>61756*0</f>
        <v>0</v>
      </c>
      <c r="K95" s="83">
        <f>102191*0</f>
        <v>0</v>
      </c>
      <c r="L95" s="83">
        <f>76022*0</f>
        <v>0</v>
      </c>
      <c r="M95" s="83">
        <f>140096*0</f>
        <v>0</v>
      </c>
      <c r="N95" s="83">
        <f>150226*0</f>
        <v>0</v>
      </c>
      <c r="O95" s="83">
        <v>0</v>
      </c>
      <c r="P95" s="83">
        <v>0</v>
      </c>
      <c r="Q95" s="83">
        <v>0</v>
      </c>
      <c r="R95" s="83">
        <f>131764*0</f>
        <v>0</v>
      </c>
      <c r="S95" s="83">
        <f>42454*0</f>
        <v>0</v>
      </c>
      <c r="T95" s="83">
        <v>0</v>
      </c>
      <c r="U95" s="83">
        <f>147011*0</f>
        <v>0</v>
      </c>
      <c r="V95" s="83">
        <f>16770*0</f>
        <v>0</v>
      </c>
      <c r="W95" s="83">
        <f>45359*0</f>
        <v>0</v>
      </c>
      <c r="X95" s="83">
        <f>92536*0</f>
        <v>0</v>
      </c>
      <c r="Y95" s="83">
        <f>80754*0</f>
        <v>0</v>
      </c>
      <c r="Z95" s="83">
        <f>124351*0</f>
        <v>0</v>
      </c>
      <c r="AA95" s="83">
        <f>119358*0</f>
        <v>0</v>
      </c>
      <c r="AB95" s="83">
        <v>0</v>
      </c>
      <c r="AC95" s="83">
        <f>147260*0</f>
        <v>0</v>
      </c>
      <c r="AD95" s="83">
        <f>343644*0</f>
        <v>0</v>
      </c>
      <c r="AE95" s="83">
        <f>27900*0</f>
        <v>0</v>
      </c>
      <c r="AF95" s="83">
        <f>210495*0</f>
        <v>0</v>
      </c>
      <c r="AG95" s="83">
        <f>71682*0</f>
        <v>0</v>
      </c>
      <c r="AH95" s="83">
        <f>49663*0</f>
        <v>0</v>
      </c>
      <c r="AI95" s="83">
        <f>6604*0</f>
        <v>0</v>
      </c>
      <c r="AJ95" s="83">
        <f>3658*0</f>
        <v>0</v>
      </c>
      <c r="AK95" s="83">
        <v>0</v>
      </c>
      <c r="AL95" s="83">
        <f>7355*0</f>
        <v>0</v>
      </c>
      <c r="AM95" s="83">
        <v>0</v>
      </c>
      <c r="AN95" s="83">
        <f>5433*0</f>
        <v>0</v>
      </c>
      <c r="AO95" s="83">
        <f>62563*0</f>
        <v>0</v>
      </c>
      <c r="AP95" s="83">
        <f>263*0</f>
        <v>0</v>
      </c>
      <c r="AQ95" s="83">
        <v>0</v>
      </c>
      <c r="AR95" s="83">
        <f>88073*0</f>
        <v>0</v>
      </c>
      <c r="AS95" s="83">
        <f>140868*0</f>
        <v>0</v>
      </c>
      <c r="AT95" s="83">
        <f>67138*0</f>
        <v>0</v>
      </c>
      <c r="AU95" s="83">
        <f>41250*0</f>
        <v>0</v>
      </c>
      <c r="AV95" s="83">
        <f>93154*0</f>
        <v>0</v>
      </c>
      <c r="AW95" s="83">
        <f>92671*0</f>
        <v>0</v>
      </c>
      <c r="AX95" s="83">
        <f>67867*0</f>
        <v>0</v>
      </c>
      <c r="AY95" s="83">
        <v>0</v>
      </c>
      <c r="AZ95" s="83">
        <v>0</v>
      </c>
      <c r="BA95" s="83">
        <f>353872*0</f>
        <v>0</v>
      </c>
      <c r="BB95" s="83">
        <f>76776*0</f>
        <v>0</v>
      </c>
      <c r="BC95" s="83">
        <f>216451*0</f>
        <v>0</v>
      </c>
      <c r="BD95" s="83">
        <f>25077*0</f>
        <v>0</v>
      </c>
      <c r="BE95" s="5">
        <f t="shared" si="3"/>
        <v>0</v>
      </c>
      <c r="BF95" s="5">
        <f>54802+131736+148860+32871+61756+102191+76022+140096+150226+131764+42454+147011+16770+45359+92536+80754+124351+119358+147260+343644+27900+210495+71682+49663+6604+3658+7355+5433+62563+263+88073+140868+67138+41250+93154+92671+67867+353872+76776+216451+25077</f>
        <v>3898634</v>
      </c>
      <c r="BG95" s="5">
        <f t="shared" si="4"/>
        <v>3898634</v>
      </c>
      <c r="BH95" s="66">
        <f>BE95-'TB 17.05.24'!BD87</f>
        <v>-3893201</v>
      </c>
    </row>
    <row r="96" spans="1:60" ht="15" hidden="1" customHeight="1" x14ac:dyDescent="0.35">
      <c r="A96" s="3" t="s">
        <v>191</v>
      </c>
      <c r="B96" s="4" t="s">
        <v>192</v>
      </c>
      <c r="C96" s="4" t="s">
        <v>314</v>
      </c>
      <c r="D96" s="4" t="s">
        <v>985</v>
      </c>
      <c r="E96" s="83">
        <f>42297*0</f>
        <v>0</v>
      </c>
      <c r="F96" s="83">
        <f>24614*0</f>
        <v>0</v>
      </c>
      <c r="G96" s="83">
        <v>0</v>
      </c>
      <c r="H96" s="83">
        <f>217035*0</f>
        <v>0</v>
      </c>
      <c r="I96" s="83">
        <f>25474*0</f>
        <v>0</v>
      </c>
      <c r="J96" s="83">
        <f>1973*0</f>
        <v>0</v>
      </c>
      <c r="K96" s="83">
        <f>49806*0</f>
        <v>0</v>
      </c>
      <c r="L96" s="83">
        <f>341358*0</f>
        <v>0</v>
      </c>
      <c r="M96" s="83">
        <v>0</v>
      </c>
      <c r="N96" s="83">
        <f>3942*0</f>
        <v>0</v>
      </c>
      <c r="O96" s="83">
        <v>0</v>
      </c>
      <c r="P96" s="83">
        <v>0</v>
      </c>
      <c r="Q96" s="83">
        <v>0</v>
      </c>
      <c r="R96" s="83">
        <f>159041*0</f>
        <v>0</v>
      </c>
      <c r="S96" s="83">
        <f>82989*0</f>
        <v>0</v>
      </c>
      <c r="T96" s="83">
        <v>0</v>
      </c>
      <c r="U96" s="83">
        <f>11095*0</f>
        <v>0</v>
      </c>
      <c r="V96" s="83">
        <f>145945*0</f>
        <v>0</v>
      </c>
      <c r="W96" s="83">
        <f>41332*0</f>
        <v>0</v>
      </c>
      <c r="X96" s="83">
        <f>12086*0</f>
        <v>0</v>
      </c>
      <c r="Y96" s="83">
        <f>30307*0</f>
        <v>0</v>
      </c>
      <c r="Z96" s="83">
        <f>105596*0</f>
        <v>0</v>
      </c>
      <c r="AA96" s="83">
        <f>2949*0</f>
        <v>0</v>
      </c>
      <c r="AB96" s="83">
        <f>213506*0</f>
        <v>0</v>
      </c>
      <c r="AC96" s="83">
        <f>134694*0</f>
        <v>0</v>
      </c>
      <c r="AD96" s="83">
        <f>11224*0</f>
        <v>0</v>
      </c>
      <c r="AE96" s="83">
        <f>16605*0</f>
        <v>0</v>
      </c>
      <c r="AF96" s="83">
        <f>105763*0</f>
        <v>0</v>
      </c>
      <c r="AG96" s="83">
        <f>56813*0</f>
        <v>0</v>
      </c>
      <c r="AH96" s="83">
        <f>11266*0</f>
        <v>0</v>
      </c>
      <c r="AI96" s="83">
        <f>6975*0</f>
        <v>0</v>
      </c>
      <c r="AJ96" s="83">
        <f>5571*0</f>
        <v>0</v>
      </c>
      <c r="AK96" s="83">
        <v>0</v>
      </c>
      <c r="AL96" s="83">
        <f>5355*0</f>
        <v>0</v>
      </c>
      <c r="AM96" s="83">
        <f>101936*0</f>
        <v>0</v>
      </c>
      <c r="AN96" s="83">
        <f>12259*0</f>
        <v>0</v>
      </c>
      <c r="AO96" s="83">
        <f>19683*0</f>
        <v>0</v>
      </c>
      <c r="AP96" s="83">
        <v>0</v>
      </c>
      <c r="AQ96" s="83">
        <v>0</v>
      </c>
      <c r="AR96" s="83">
        <f>111974*0</f>
        <v>0</v>
      </c>
      <c r="AS96" s="83">
        <f>139345*0</f>
        <v>0</v>
      </c>
      <c r="AT96" s="83">
        <f>10561*0</f>
        <v>0</v>
      </c>
      <c r="AU96" s="83">
        <v>0</v>
      </c>
      <c r="AV96" s="83">
        <f>86134*0</f>
        <v>0</v>
      </c>
      <c r="AW96" s="83">
        <f>72405*0</f>
        <v>0</v>
      </c>
      <c r="AX96" s="83">
        <f>156791*0</f>
        <v>0</v>
      </c>
      <c r="AY96" s="83">
        <v>0</v>
      </c>
      <c r="AZ96" s="83">
        <v>0</v>
      </c>
      <c r="BA96" s="83">
        <f>61610*0</f>
        <v>0</v>
      </c>
      <c r="BB96" s="83">
        <f>287352*0</f>
        <v>0</v>
      </c>
      <c r="BC96" s="83">
        <f>309106*0</f>
        <v>0</v>
      </c>
      <c r="BD96" s="83">
        <f>75093*0</f>
        <v>0</v>
      </c>
      <c r="BE96" s="5">
        <f t="shared" si="3"/>
        <v>0</v>
      </c>
      <c r="BF96" s="5">
        <f>42297+24614+217035+25474+1973+49806+341358+3942+159041+82989+11095+145945+41332+12086+30307+105596+2949+213506+134694+11224+16605+105763+56813+11266+6975+5571+5355+101936+12259+19683+111974+139345+10561+86134+72405+156791+61610+287352+309106+75093</f>
        <v>3309860</v>
      </c>
      <c r="BG96" s="5">
        <f t="shared" si="4"/>
        <v>3309860</v>
      </c>
      <c r="BH96" s="66">
        <f>BE96-'TB 17.05.24'!BD88</f>
        <v>-3297601</v>
      </c>
    </row>
    <row r="97" spans="1:61" ht="15" hidden="1" customHeight="1" x14ac:dyDescent="0.35">
      <c r="A97" s="3" t="s">
        <v>193</v>
      </c>
      <c r="B97" s="4" t="s">
        <v>194</v>
      </c>
      <c r="C97" s="4" t="s">
        <v>314</v>
      </c>
      <c r="D97" s="4" t="s">
        <v>985</v>
      </c>
      <c r="E97" s="83">
        <f>(33454*0)+'REV &amp; COGS'!C17:C17</f>
        <v>317569.74000000005</v>
      </c>
      <c r="F97" s="83">
        <f>(126638*0)+'REV &amp; COGS'!D17</f>
        <v>605865.15999999992</v>
      </c>
      <c r="G97" s="83">
        <v>0</v>
      </c>
      <c r="H97" s="83">
        <f>(216969*0)+'REV &amp; COGS'!F17</f>
        <v>797454.98</v>
      </c>
      <c r="I97" s="83">
        <f>(9871*0)+'REV &amp; COGS'!G17</f>
        <v>388169.25</v>
      </c>
      <c r="J97" s="83">
        <f>(-75268*0)+'REV &amp; COGS'!H17</f>
        <v>639044.19715602754</v>
      </c>
      <c r="K97" s="83">
        <f>(-209515*0)+'REV &amp; COGS'!I17</f>
        <v>772814.06943232822</v>
      </c>
      <c r="L97" s="83">
        <f>-113756*0</f>
        <v>0</v>
      </c>
      <c r="M97" s="83">
        <f>(-89159*0)+'REV &amp; COGS'!K17</f>
        <v>545994.59342090331</v>
      </c>
      <c r="N97" s="83">
        <f>(-86372*0)+'REV &amp; COGS'!L17+45294</f>
        <v>912032.348965741</v>
      </c>
      <c r="O97" s="83">
        <f>(-22452139*0)</f>
        <v>0</v>
      </c>
      <c r="P97" s="83">
        <v>0</v>
      </c>
      <c r="Q97" s="83">
        <f>18144*0</f>
        <v>0</v>
      </c>
      <c r="R97" s="83">
        <f>(-43822*0)+'REV &amp; COGS'!O17</f>
        <v>734668</v>
      </c>
      <c r="S97" s="83">
        <f>(17660*0)+'REV &amp; COGS'!P17</f>
        <v>323871</v>
      </c>
      <c r="T97" s="83">
        <f>(2201*0)+'REV &amp; COGS'!Q17</f>
        <v>0</v>
      </c>
      <c r="U97" s="83">
        <f>(138896*0)+'REV &amp; COGS'!R17</f>
        <v>907574</v>
      </c>
      <c r="V97" s="83">
        <f>(-83233*0)</f>
        <v>0</v>
      </c>
      <c r="W97" s="83">
        <f>(-97774*0)+'REV &amp; COGS'!T17</f>
        <v>263247.05</v>
      </c>
      <c r="X97" s="83">
        <f>(-242074*0)+'REV &amp; COGS'!U17</f>
        <v>520454.66000000003</v>
      </c>
      <c r="Y97" s="83">
        <f>(-131651*0)+'REV &amp; COGS'!V17</f>
        <v>421713.72</v>
      </c>
      <c r="Z97" s="83">
        <f>(72733*0)+'REV &amp; COGS'!W17</f>
        <v>379134.26309770124</v>
      </c>
      <c r="AA97" s="83">
        <f>(157205*0)+'REV &amp; COGS'!X17</f>
        <v>509269.27145419095</v>
      </c>
      <c r="AB97" s="83">
        <f>(306194*0)</f>
        <v>0</v>
      </c>
      <c r="AC97" s="83">
        <f>(44488*0)+'REV &amp; COGS'!Z17</f>
        <v>736269.55999999994</v>
      </c>
      <c r="AD97" s="83">
        <f>(-100239*0)+'REV &amp; COGS'!AA17</f>
        <v>1107188.2169805509</v>
      </c>
      <c r="AE97" s="83">
        <f>(-54540*0)+'REV &amp; COGS'!AB17</f>
        <v>181959.88704696088</v>
      </c>
      <c r="AF97" s="83">
        <f>(-163174)*0+'REV &amp; COGS'!AC17</f>
        <v>607737.23557812197</v>
      </c>
      <c r="AG97" s="83">
        <f>(21795*0)+'REV &amp; COGS'!AD17</f>
        <v>498690.33</v>
      </c>
      <c r="AH97" s="83">
        <f>(74606*0)+'REV &amp; COGS'!AE17</f>
        <v>640793.20870957593</v>
      </c>
      <c r="AI97" s="83">
        <f>(-72366*0)+'REV &amp; COGS'!AF17</f>
        <v>496620.55766666663</v>
      </c>
      <c r="AJ97" s="83">
        <f>(-85796*0)+'REV &amp; COGS'!AG17</f>
        <v>842393.92592045874</v>
      </c>
      <c r="AK97" s="83">
        <f>14643*0</f>
        <v>0</v>
      </c>
      <c r="AL97" s="83">
        <v>0</v>
      </c>
      <c r="AM97" s="83">
        <f>-782271*0</f>
        <v>0</v>
      </c>
      <c r="AN97" s="83">
        <f>(580*0)</f>
        <v>0</v>
      </c>
      <c r="AO97" s="83">
        <f>(-493772*0)+'REV &amp; COGS'!AL17</f>
        <v>1226114.3706559343</v>
      </c>
      <c r="AP97" s="83">
        <f>(-268472*0)+'REV &amp; COGS'!AM17</f>
        <v>747120.91500000004</v>
      </c>
      <c r="AQ97" s="83">
        <v>0</v>
      </c>
      <c r="AR97" s="83">
        <f>(-144896*0)+'REV &amp; COGS'!AO17</f>
        <v>1219422.3148638785</v>
      </c>
      <c r="AS97" s="83">
        <f>(-105151*0)+'REV &amp; COGS'!AP17</f>
        <v>424492</v>
      </c>
      <c r="AT97" s="83">
        <f>(-89265*0)+'REV &amp; COGS'!AQ17</f>
        <v>399836</v>
      </c>
      <c r="AU97" s="83">
        <v>0</v>
      </c>
      <c r="AV97" s="83">
        <f>(138321*0)+'REV &amp; COGS'!AS17</f>
        <v>287507</v>
      </c>
      <c r="AW97" s="83">
        <f>(-117925*0)+'REV &amp; COGS'!AT17</f>
        <v>498528</v>
      </c>
      <c r="AX97" s="83">
        <f>(60314*0)+'REV &amp; COGS'!AU17</f>
        <v>290687.07309305889</v>
      </c>
      <c r="AY97" s="83">
        <v>0</v>
      </c>
      <c r="AZ97" s="83">
        <v>0</v>
      </c>
      <c r="BA97" s="83">
        <f>(335423*0)+'REV &amp; COGS'!AX17</f>
        <v>1256073.0853049406</v>
      </c>
      <c r="BB97" s="83">
        <f>(228903*0)+'REV &amp; COGS'!AY17</f>
        <v>345971.58299999993</v>
      </c>
      <c r="BC97" s="83">
        <f>(155237*0)+'REV &amp; COGS'!AZ17</f>
        <v>1029310.1349999992</v>
      </c>
      <c r="BD97" s="83">
        <f>(-91073*0)+'REV &amp; COGS'!BA17</f>
        <v>164896.25111067755</v>
      </c>
      <c r="BE97" s="5">
        <f t="shared" si="3"/>
        <v>22040487.953457717</v>
      </c>
      <c r="BF97" s="5">
        <f>-'REV &amp; COGS'!C17:C17+33454+126638-'REV &amp; COGS'!D17+216969-'REV &amp; COGS'!F17+9871-'REV &amp; COGS'!G17-75268-'REV &amp; COGS'!H17-209515-'REV &amp; COGS'!I17-113756-89159-86372-'REV &amp; COGS'!L17+18144-43822-'REV &amp; COGS'!O17+17660-'REV &amp; COGS'!P17+2201+138896-'REV &amp; COGS'!R17-83233-97774-'REV &amp; COGS'!T17-242074-'REV &amp; COGS'!U17-131651-'REV &amp; COGS'!V17+72733-'REV &amp; COGS'!W17+157205-'REV &amp; COGS'!X17+306194+44488-'REV &amp; COGS'!Z17-100239-'REV &amp; COGS'!AA17-54540-'REV &amp; COGS'!AB17-163174-'REV &amp; COGS'!AC17+21795-'REV &amp; COGS'!AD17+74606-'REV &amp; COGS'!AE17-72366-'REV &amp; COGS'!AF17-85796-'REV &amp; COGS'!AG17+14643-782271+580-493772-'REV &amp; COGS'!AL17-268472-'REV &amp; COGS'!AM17-144896-'REV &amp; COGS'!AO17-105151-'REV &amp; COGS'!AP17-89265-'REV &amp; COGS'!AQ17+138321-'REV &amp; COGS'!AS17-117925-'REV &amp; COGS'!AT17+60314-'REV &amp; COGS'!AU17+335423-'REV &amp; COGS'!AX17+228903-'REV &amp; COGS'!AY17+155237-'REV &amp; COGS'!AZ17-91073-'REV &amp; COGS'!BA17-22452139</f>
        <v>-45468627.360036813</v>
      </c>
      <c r="BG97" s="5">
        <f t="shared" si="4"/>
        <v>-23428139.406579096</v>
      </c>
      <c r="BH97" s="66">
        <f>BE97-'TB 17.05.24'!BD89</f>
        <v>14790378.323457718</v>
      </c>
    </row>
    <row r="98" spans="1:61" ht="15" hidden="1" customHeight="1" x14ac:dyDescent="0.35">
      <c r="A98" s="3" t="s">
        <v>195</v>
      </c>
      <c r="B98" s="4" t="s">
        <v>196</v>
      </c>
      <c r="C98" s="4" t="s">
        <v>314</v>
      </c>
      <c r="D98" s="4" t="s">
        <v>255</v>
      </c>
      <c r="E98" s="83">
        <f>19415*0</f>
        <v>0</v>
      </c>
      <c r="F98" s="83">
        <f>-20516*0</f>
        <v>0</v>
      </c>
      <c r="G98" s="83">
        <f>16682*0</f>
        <v>0</v>
      </c>
      <c r="H98" s="83">
        <f>13830*0</f>
        <v>0</v>
      </c>
      <c r="I98" s="83">
        <f>29386*0</f>
        <v>0</v>
      </c>
      <c r="J98" s="83">
        <f>240*0</f>
        <v>0</v>
      </c>
      <c r="K98" s="83">
        <v>0</v>
      </c>
      <c r="L98" s="83">
        <f>59990*0</f>
        <v>0</v>
      </c>
      <c r="M98" s="83">
        <f>-90795*0</f>
        <v>0</v>
      </c>
      <c r="N98" s="83">
        <f>1152*0</f>
        <v>0</v>
      </c>
      <c r="O98" s="83">
        <v>0</v>
      </c>
      <c r="P98" s="83">
        <v>0</v>
      </c>
      <c r="Q98" s="83">
        <v>0</v>
      </c>
      <c r="R98" s="83">
        <f>-14189*0</f>
        <v>0</v>
      </c>
      <c r="S98" s="83">
        <f>14861*0</f>
        <v>0</v>
      </c>
      <c r="T98" s="83">
        <v>0</v>
      </c>
      <c r="U98" s="83">
        <f>33096*0</f>
        <v>0</v>
      </c>
      <c r="V98" s="83">
        <f>49661*0</f>
        <v>0</v>
      </c>
      <c r="W98" s="83">
        <f>(-20958*0)</f>
        <v>0</v>
      </c>
      <c r="X98" s="83">
        <f>-25873*0</f>
        <v>0</v>
      </c>
      <c r="Y98" s="83">
        <f>-39071*0</f>
        <v>0</v>
      </c>
      <c r="Z98" s="83">
        <f>253731*0</f>
        <v>0</v>
      </c>
      <c r="AA98" s="83">
        <f>5511*0</f>
        <v>0</v>
      </c>
      <c r="AB98" s="83">
        <f>2436*0</f>
        <v>0</v>
      </c>
      <c r="AC98" s="83">
        <f>25226*0</f>
        <v>0</v>
      </c>
      <c r="AD98" s="83">
        <f>3480*0</f>
        <v>0</v>
      </c>
      <c r="AE98" s="83">
        <f>172167*0</f>
        <v>0</v>
      </c>
      <c r="AF98" s="83">
        <f>19*0</f>
        <v>0</v>
      </c>
      <c r="AG98" s="83">
        <f>7360*0</f>
        <v>0</v>
      </c>
      <c r="AH98" s="83">
        <f>-3256*0</f>
        <v>0</v>
      </c>
      <c r="AI98" s="83">
        <f>-25240*0</f>
        <v>0</v>
      </c>
      <c r="AJ98" s="83">
        <f>-17537*0</f>
        <v>0</v>
      </c>
      <c r="AK98" s="83">
        <v>0</v>
      </c>
      <c r="AL98" s="83">
        <f>13500*0</f>
        <v>0</v>
      </c>
      <c r="AM98" s="83">
        <f>-55006*0</f>
        <v>0</v>
      </c>
      <c r="AN98" s="83">
        <v>0</v>
      </c>
      <c r="AO98" s="83">
        <f>5254*0</f>
        <v>0</v>
      </c>
      <c r="AP98" s="83">
        <f>-17157*0</f>
        <v>0</v>
      </c>
      <c r="AQ98" s="83">
        <v>0</v>
      </c>
      <c r="AR98" s="83">
        <f>-27808*0</f>
        <v>0</v>
      </c>
      <c r="AS98" s="83">
        <f>9206*0</f>
        <v>0</v>
      </c>
      <c r="AT98" s="83">
        <f>-48772*0</f>
        <v>0</v>
      </c>
      <c r="AU98" s="83">
        <v>0</v>
      </c>
      <c r="AV98" s="83">
        <f>32778*0</f>
        <v>0</v>
      </c>
      <c r="AW98" s="83">
        <f>-16812*0</f>
        <v>0</v>
      </c>
      <c r="AX98" s="83">
        <f>65354*0</f>
        <v>0</v>
      </c>
      <c r="AY98" s="83">
        <v>0</v>
      </c>
      <c r="AZ98" s="83">
        <v>0</v>
      </c>
      <c r="BA98" s="83">
        <f>7530*0</f>
        <v>0</v>
      </c>
      <c r="BB98" s="83">
        <f>(215636*0)</f>
        <v>0</v>
      </c>
      <c r="BC98" s="83">
        <f>199111*0</f>
        <v>0</v>
      </c>
      <c r="BD98" s="83">
        <v>0</v>
      </c>
      <c r="BE98" s="5">
        <f t="shared" si="3"/>
        <v>0</v>
      </c>
      <c r="BF98" s="5">
        <f>19415-20516+16682+13830+29386+240+59990-90795+1152-14189+14861+33096+49661-20958-25873-39071+253731+5511+2436+25226+3480+172167+19+7360-3256-25240-17537+13500-55006+5254-17157-27808+9206-48772+32778-16812+65354+7530+215636+199111</f>
        <v>833622</v>
      </c>
      <c r="BG98" s="5">
        <f t="shared" si="4"/>
        <v>833622</v>
      </c>
      <c r="BH98" s="66">
        <f>BE98-'TB 17.05.24'!BD90</f>
        <v>-1997289</v>
      </c>
      <c r="BI98" s="66">
        <f>BH98+BG98</f>
        <v>-1163667</v>
      </c>
    </row>
    <row r="99" spans="1:61" ht="15" hidden="1" customHeight="1" x14ac:dyDescent="0.35">
      <c r="A99" s="3" t="s">
        <v>197</v>
      </c>
      <c r="B99" s="4" t="s">
        <v>198</v>
      </c>
      <c r="C99" s="4" t="s">
        <v>314</v>
      </c>
      <c r="D99" s="4" t="s">
        <v>255</v>
      </c>
      <c r="E99" s="83">
        <f>562*0</f>
        <v>0</v>
      </c>
      <c r="F99" s="83">
        <f>12583*0</f>
        <v>0</v>
      </c>
      <c r="G99" s="83">
        <v>0</v>
      </c>
      <c r="H99" s="83">
        <f>3235*0</f>
        <v>0</v>
      </c>
      <c r="I99" s="83">
        <v>0</v>
      </c>
      <c r="J99" s="83">
        <v>0</v>
      </c>
      <c r="K99" s="83">
        <v>0</v>
      </c>
      <c r="L99" s="83">
        <f>2256*0</f>
        <v>0</v>
      </c>
      <c r="M99" s="83">
        <f>1200*0</f>
        <v>0</v>
      </c>
      <c r="N99" s="83">
        <v>0</v>
      </c>
      <c r="O99" s="83">
        <v>0</v>
      </c>
      <c r="P99" s="83">
        <v>0</v>
      </c>
      <c r="Q99" s="83">
        <v>0</v>
      </c>
      <c r="R99" s="83">
        <f>4611*0</f>
        <v>0</v>
      </c>
      <c r="S99" s="83">
        <f>4856*0</f>
        <v>0</v>
      </c>
      <c r="T99" s="83">
        <v>0</v>
      </c>
      <c r="U99" s="83">
        <f>6396*0</f>
        <v>0</v>
      </c>
      <c r="V99" s="83">
        <f>12022*0</f>
        <v>0</v>
      </c>
      <c r="W99" s="83">
        <v>0</v>
      </c>
      <c r="X99" s="83">
        <v>0</v>
      </c>
      <c r="Y99" s="83">
        <v>0</v>
      </c>
      <c r="Z99" s="83">
        <f>1413*0</f>
        <v>0</v>
      </c>
      <c r="AA99" s="83">
        <f>689*0</f>
        <v>0</v>
      </c>
      <c r="AB99" s="83">
        <f>7261*0</f>
        <v>0</v>
      </c>
      <c r="AC99" s="83">
        <f>7338*0</f>
        <v>0</v>
      </c>
      <c r="AD99" s="83">
        <f>4135*0</f>
        <v>0</v>
      </c>
      <c r="AE99" s="83">
        <f>2625*0</f>
        <v>0</v>
      </c>
      <c r="AF99" s="83">
        <f>8181*0</f>
        <v>0</v>
      </c>
      <c r="AG99" s="83">
        <v>0</v>
      </c>
      <c r="AH99" s="83">
        <f>1412*0</f>
        <v>0</v>
      </c>
      <c r="AI99" s="83">
        <v>0</v>
      </c>
      <c r="AJ99" s="83">
        <v>0</v>
      </c>
      <c r="AK99" s="83">
        <v>0</v>
      </c>
      <c r="AL99" s="83">
        <v>0</v>
      </c>
      <c r="AM99" s="83">
        <f>59575*0</f>
        <v>0</v>
      </c>
      <c r="AN99" s="83">
        <v>0</v>
      </c>
      <c r="AO99" s="83">
        <v>0</v>
      </c>
      <c r="AP99" s="83">
        <v>0</v>
      </c>
      <c r="AQ99" s="83">
        <v>0</v>
      </c>
      <c r="AR99" s="83">
        <f>5739*0</f>
        <v>0</v>
      </c>
      <c r="AS99" s="83">
        <v>0</v>
      </c>
      <c r="AT99" s="83">
        <v>0</v>
      </c>
      <c r="AU99" s="83">
        <v>0</v>
      </c>
      <c r="AV99" s="83">
        <f>3311*0</f>
        <v>0</v>
      </c>
      <c r="AW99" s="83">
        <f>3311*0</f>
        <v>0</v>
      </c>
      <c r="AX99" s="83">
        <f>7877*0</f>
        <v>0</v>
      </c>
      <c r="AY99" s="83">
        <v>0</v>
      </c>
      <c r="AZ99" s="83">
        <v>0</v>
      </c>
      <c r="BA99" s="83">
        <f>23058*0</f>
        <v>0</v>
      </c>
      <c r="BB99" s="83">
        <v>0</v>
      </c>
      <c r="BC99" s="83">
        <f>30750*0</f>
        <v>0</v>
      </c>
      <c r="BD99" s="83">
        <v>0</v>
      </c>
      <c r="BE99" s="5">
        <f t="shared" si="3"/>
        <v>0</v>
      </c>
      <c r="BF99" s="5">
        <f>562+12583+3235+2256+1200+4611+4856+6396+12022+1413+689+7261+7338+4135+2625+8181+1412+59575+5739+3311+3311+7877+23058+30750</f>
        <v>214396</v>
      </c>
      <c r="BG99" s="5">
        <f t="shared" si="4"/>
        <v>214396</v>
      </c>
      <c r="BH99" s="66">
        <f>BE99-'TB 17.05.24'!BD91</f>
        <v>-214396</v>
      </c>
    </row>
    <row r="100" spans="1:61" ht="15" hidden="1" customHeight="1" x14ac:dyDescent="0.35">
      <c r="A100" s="3" t="s">
        <v>199</v>
      </c>
      <c r="B100" s="4" t="s">
        <v>200</v>
      </c>
      <c r="C100" s="4" t="s">
        <v>314</v>
      </c>
      <c r="D100" s="4" t="s">
        <v>985</v>
      </c>
      <c r="E100" s="83">
        <f>22541*0</f>
        <v>0</v>
      </c>
      <c r="F100" s="83">
        <f>258053*0</f>
        <v>0</v>
      </c>
      <c r="G100" s="83">
        <v>0</v>
      </c>
      <c r="H100" s="83">
        <f>303783*0</f>
        <v>0</v>
      </c>
      <c r="I100" s="83">
        <f>257186*0</f>
        <v>0</v>
      </c>
      <c r="J100" s="83">
        <v>0</v>
      </c>
      <c r="K100" s="83">
        <f>363239*0</f>
        <v>0</v>
      </c>
      <c r="L100" s="83">
        <f>783369*0</f>
        <v>0</v>
      </c>
      <c r="M100" s="83">
        <f>1690*0</f>
        <v>0</v>
      </c>
      <c r="N100" s="83">
        <v>0</v>
      </c>
      <c r="O100" s="83">
        <v>0</v>
      </c>
      <c r="P100" s="83">
        <v>0</v>
      </c>
      <c r="Q100" s="83">
        <v>0</v>
      </c>
      <c r="R100" s="83">
        <v>0</v>
      </c>
      <c r="S100" s="83">
        <f>189000*0</f>
        <v>0</v>
      </c>
      <c r="T100" s="83">
        <v>0</v>
      </c>
      <c r="U100" s="83">
        <f>196515*0</f>
        <v>0</v>
      </c>
      <c r="V100" s="83">
        <f>8820*0</f>
        <v>0</v>
      </c>
      <c r="W100" s="83">
        <f>65676*0</f>
        <v>0</v>
      </c>
      <c r="X100" s="83">
        <f>92640*0</f>
        <v>0</v>
      </c>
      <c r="Y100" s="83">
        <f>87588*0</f>
        <v>0</v>
      </c>
      <c r="Z100" s="83">
        <f>41850*0</f>
        <v>0</v>
      </c>
      <c r="AA100" s="83">
        <f>246050*0</f>
        <v>0</v>
      </c>
      <c r="AB100" s="83">
        <v>0</v>
      </c>
      <c r="AC100" s="83">
        <f>136327*0</f>
        <v>0</v>
      </c>
      <c r="AD100" s="83">
        <f>399226*0</f>
        <v>0</v>
      </c>
      <c r="AE100" s="83">
        <f>8384*0</f>
        <v>0</v>
      </c>
      <c r="AF100" s="83">
        <f>337233*0</f>
        <v>0</v>
      </c>
      <c r="AG100" s="83">
        <v>0</v>
      </c>
      <c r="AH100" s="83">
        <f>357505*0</f>
        <v>0</v>
      </c>
      <c r="AI100" s="83">
        <f>34522*0</f>
        <v>0</v>
      </c>
      <c r="AJ100" s="83">
        <f>50755*0</f>
        <v>0</v>
      </c>
      <c r="AK100" s="83">
        <f>113783*0</f>
        <v>0</v>
      </c>
      <c r="AL100" s="83">
        <v>0</v>
      </c>
      <c r="AM100" s="83">
        <f>36299*0</f>
        <v>0</v>
      </c>
      <c r="AN100" s="83">
        <f>28434*0</f>
        <v>0</v>
      </c>
      <c r="AO100" s="83">
        <f>229798*0</f>
        <v>0</v>
      </c>
      <c r="AP100" s="83">
        <v>0</v>
      </c>
      <c r="AQ100" s="83">
        <v>0</v>
      </c>
      <c r="AR100" s="83">
        <f>299619*0</f>
        <v>0</v>
      </c>
      <c r="AS100" s="83">
        <f>48058*0</f>
        <v>0</v>
      </c>
      <c r="AT100" s="83">
        <f>100992*0</f>
        <v>0</v>
      </c>
      <c r="AU100" s="83">
        <v>0</v>
      </c>
      <c r="AV100" s="83">
        <f>100341.5*0</f>
        <v>0</v>
      </c>
      <c r="AW100" s="83">
        <f>94426.5*0</f>
        <v>0</v>
      </c>
      <c r="AX100" s="83">
        <f>46482*0</f>
        <v>0</v>
      </c>
      <c r="AY100" s="83">
        <v>0</v>
      </c>
      <c r="AZ100" s="83">
        <v>0</v>
      </c>
      <c r="BA100" s="83">
        <f>386852*0</f>
        <v>0</v>
      </c>
      <c r="BB100" s="83">
        <f>32768*0</f>
        <v>0</v>
      </c>
      <c r="BC100" s="83">
        <f>359642*0</f>
        <v>0</v>
      </c>
      <c r="BD100" s="83">
        <f>125809*0</f>
        <v>0</v>
      </c>
      <c r="BE100" s="5">
        <f t="shared" si="3"/>
        <v>0</v>
      </c>
      <c r="BF100" s="5">
        <f>22541+258053+303783+257186+363239+783369+1690+189000+196515+8820+65676+92640+87588+41850+246050+136327+399226+8384+337233+357505+34522+50755+113783+36299+28434+229798+299619+48058+100992+100341.5+94426.5+46482+386852+32768+359642+125809</f>
        <v>6245256</v>
      </c>
      <c r="BG100" s="5">
        <f t="shared" si="4"/>
        <v>6245256</v>
      </c>
      <c r="BH100" s="66">
        <f>BE100-'TB 17.05.24'!BD92</f>
        <v>-6216822</v>
      </c>
    </row>
    <row r="101" spans="1:61" ht="15" hidden="1" customHeight="1" x14ac:dyDescent="0.35">
      <c r="A101" s="3" t="s">
        <v>201</v>
      </c>
      <c r="B101" s="4" t="s">
        <v>202</v>
      </c>
      <c r="C101" s="4" t="s">
        <v>314</v>
      </c>
      <c r="D101" s="4" t="s">
        <v>985</v>
      </c>
      <c r="E101" s="83">
        <v>0</v>
      </c>
      <c r="F101" s="83">
        <v>0</v>
      </c>
      <c r="G101" s="83">
        <v>0</v>
      </c>
      <c r="H101" s="83">
        <v>0</v>
      </c>
      <c r="I101" s="83">
        <v>0</v>
      </c>
      <c r="J101" s="83">
        <v>0</v>
      </c>
      <c r="K101" s="83">
        <v>0</v>
      </c>
      <c r="L101" s="83">
        <v>0</v>
      </c>
      <c r="M101" s="83">
        <v>0</v>
      </c>
      <c r="N101" s="83">
        <v>0</v>
      </c>
      <c r="O101" s="83">
        <v>0</v>
      </c>
      <c r="P101" s="83">
        <v>0</v>
      </c>
      <c r="Q101" s="83">
        <v>0</v>
      </c>
      <c r="R101" s="83">
        <v>0</v>
      </c>
      <c r="S101" s="83">
        <f>1045*0</f>
        <v>0</v>
      </c>
      <c r="T101" s="83">
        <f>32645*0</f>
        <v>0</v>
      </c>
      <c r="U101" s="83">
        <f>3871*0</f>
        <v>0</v>
      </c>
      <c r="V101" s="83">
        <f>8718*0</f>
        <v>0</v>
      </c>
      <c r="W101" s="83">
        <v>0</v>
      </c>
      <c r="X101" s="83">
        <v>0</v>
      </c>
      <c r="Y101" s="83">
        <v>0</v>
      </c>
      <c r="Z101" s="83">
        <f>2720*0</f>
        <v>0</v>
      </c>
      <c r="AA101" s="83">
        <v>0</v>
      </c>
      <c r="AB101" s="83">
        <v>0</v>
      </c>
      <c r="AC101" s="83">
        <f>3402*0</f>
        <v>0</v>
      </c>
      <c r="AD101" s="83">
        <f>640*0</f>
        <v>0</v>
      </c>
      <c r="AE101" s="83">
        <f>1930*0</f>
        <v>0</v>
      </c>
      <c r="AF101" s="83">
        <f>1280*0</f>
        <v>0</v>
      </c>
      <c r="AG101" s="83">
        <v>0</v>
      </c>
      <c r="AH101" s="83">
        <v>0</v>
      </c>
      <c r="AI101" s="83">
        <f>2330*0</f>
        <v>0</v>
      </c>
      <c r="AJ101" s="83">
        <f>608*0</f>
        <v>0</v>
      </c>
      <c r="AK101" s="83">
        <v>0</v>
      </c>
      <c r="AL101" s="83">
        <v>0</v>
      </c>
      <c r="AM101" s="83">
        <v>0</v>
      </c>
      <c r="AN101" s="83">
        <v>0</v>
      </c>
      <c r="AO101" s="83">
        <v>0</v>
      </c>
      <c r="AP101" s="83">
        <v>0</v>
      </c>
      <c r="AQ101" s="83">
        <v>0</v>
      </c>
      <c r="AR101" s="83">
        <f>6975*0</f>
        <v>0</v>
      </c>
      <c r="AS101" s="83">
        <v>0</v>
      </c>
      <c r="AT101" s="83">
        <v>0</v>
      </c>
      <c r="AU101" s="83">
        <v>0</v>
      </c>
      <c r="AV101" s="83">
        <f>4725*0</f>
        <v>0</v>
      </c>
      <c r="AW101" s="83">
        <f>4725*0</f>
        <v>0</v>
      </c>
      <c r="AX101" s="83">
        <f>1730*0</f>
        <v>0</v>
      </c>
      <c r="AY101" s="83">
        <v>0</v>
      </c>
      <c r="AZ101" s="83">
        <v>0</v>
      </c>
      <c r="BA101" s="83">
        <f>3210*0</f>
        <v>0</v>
      </c>
      <c r="BB101" s="83">
        <v>0</v>
      </c>
      <c r="BC101" s="83">
        <f>5873*0</f>
        <v>0</v>
      </c>
      <c r="BD101" s="83">
        <v>0</v>
      </c>
      <c r="BE101" s="5">
        <f t="shared" si="3"/>
        <v>0</v>
      </c>
      <c r="BF101" s="5">
        <f>1045+32645+3871+8718+2720+3402+640+1930+1280+2330+608+6975+4725+4725+1730+3210+5873</f>
        <v>86427</v>
      </c>
      <c r="BG101" s="5">
        <f t="shared" si="4"/>
        <v>86427</v>
      </c>
      <c r="BH101" s="66">
        <f>BE101-'TB 17.05.24'!BD93</f>
        <v>-86427</v>
      </c>
    </row>
    <row r="102" spans="1:61" ht="15" hidden="1" customHeight="1" x14ac:dyDescent="0.35">
      <c r="A102" s="3" t="s">
        <v>203</v>
      </c>
      <c r="B102" s="4" t="s">
        <v>204</v>
      </c>
      <c r="C102" s="4" t="s">
        <v>314</v>
      </c>
      <c r="D102" s="4" t="s">
        <v>256</v>
      </c>
      <c r="E102" s="83">
        <v>0</v>
      </c>
      <c r="F102" s="83">
        <v>0</v>
      </c>
      <c r="G102" s="83">
        <v>0</v>
      </c>
      <c r="H102" s="83">
        <v>0</v>
      </c>
      <c r="I102" s="83">
        <v>0</v>
      </c>
      <c r="J102" s="83">
        <f>(123375*0)+'REV &amp; COGS'!H19</f>
        <v>145918.27739999999</v>
      </c>
      <c r="K102" s="83">
        <f>(123375*0)+'REV &amp; COGS'!I19</f>
        <v>245029.75589999996</v>
      </c>
      <c r="L102" s="83">
        <v>0</v>
      </c>
      <c r="M102" s="83">
        <f>(-871129*0)+'REV &amp; COGS'!K19</f>
        <v>670119.7062104037</v>
      </c>
      <c r="N102" s="83">
        <f>(123375*0)+'REV &amp; COGS'!L19</f>
        <v>139575.54809999999</v>
      </c>
      <c r="O102" s="83">
        <v>0</v>
      </c>
      <c r="P102" s="83">
        <v>0</v>
      </c>
      <c r="Q102" s="83">
        <v>0</v>
      </c>
      <c r="R102" s="83">
        <f>0+'REV &amp; COGS'!O19</f>
        <v>0</v>
      </c>
      <c r="S102" s="83">
        <f>(-415160.5*0)+'REV &amp; COGS'!P19</f>
        <v>298739.58440780931</v>
      </c>
      <c r="T102" s="83">
        <v>0</v>
      </c>
      <c r="U102" s="83">
        <f>(-233387*0)</f>
        <v>0</v>
      </c>
      <c r="V102" s="83">
        <v>0</v>
      </c>
      <c r="W102" s="83">
        <f>(-183945*0)+'REV &amp; COGS'!T19</f>
        <v>117833</v>
      </c>
      <c r="X102" s="83">
        <f>(-311989*0)+'REV &amp; COGS'!U19</f>
        <v>164653.5</v>
      </c>
      <c r="Y102" s="83">
        <f>(-20137*0)+'REV &amp; COGS'!V19</f>
        <v>57633</v>
      </c>
      <c r="Z102" s="83">
        <f>(17775*0)+'REV &amp; COGS'!W19</f>
        <v>43488.571733333316</v>
      </c>
      <c r="AA102" s="83">
        <f>(2821*0)+'REV &amp; COGS'!X19</f>
        <v>0</v>
      </c>
      <c r="AB102" s="83">
        <v>0</v>
      </c>
      <c r="AC102" s="83">
        <f>(-293274*0)+'REV &amp; COGS'!Z19</f>
        <v>259713.79324991349</v>
      </c>
      <c r="AD102" s="83">
        <f>(-370471*0)+'REV &amp; COGS'!AA19</f>
        <v>80597.225986904872</v>
      </c>
      <c r="AE102" s="83">
        <f>0+'REV &amp; COGS'!AB19</f>
        <v>1265.3599999999999</v>
      </c>
      <c r="AF102" s="83">
        <f>(-524617*0)+'REV &amp; COGS'!AC19</f>
        <v>91876.900000000023</v>
      </c>
      <c r="AG102" s="83">
        <f>0+'REV &amp; COGS'!AD19</f>
        <v>0</v>
      </c>
      <c r="AH102" s="83">
        <f>(-22874*0)+'REV &amp; COGS'!AE19</f>
        <v>172855.42449111104</v>
      </c>
      <c r="AI102" s="83">
        <f>(175000*0)+'REV &amp; COGS'!AF19</f>
        <v>23875.595999999998</v>
      </c>
      <c r="AJ102" s="83">
        <f>(624752*0)+'REV &amp; COGS'!AG19</f>
        <v>8104.1399999999994</v>
      </c>
      <c r="AK102" s="83">
        <v>0</v>
      </c>
      <c r="AL102" s="83">
        <v>0</v>
      </c>
      <c r="AM102" s="83">
        <v>0</v>
      </c>
      <c r="AN102" s="83">
        <f>(444750*0)</f>
        <v>0</v>
      </c>
      <c r="AO102" s="83">
        <f>(-307719*0)+'REV &amp; COGS'!AL19</f>
        <v>240607.10000000009</v>
      </c>
      <c r="AP102" s="83">
        <f>0+'REV &amp; COGS'!AM19</f>
        <v>0</v>
      </c>
      <c r="AQ102" s="83">
        <v>0</v>
      </c>
      <c r="AR102" s="83">
        <f>(-670271*0)+'REV &amp; COGS'!AO19</f>
        <v>103818.18999999948</v>
      </c>
      <c r="AS102" s="83">
        <f>(-204628*0)+'REV &amp; COGS'!AP19</f>
        <v>97694</v>
      </c>
      <c r="AT102" s="83">
        <f>(-225333*0)+'REV &amp; COGS'!AQ19</f>
        <v>68389</v>
      </c>
      <c r="AU102" s="83">
        <v>0</v>
      </c>
      <c r="AV102" s="83">
        <f>(-32729.5*0)+'REV &amp; COGS'!AS19</f>
        <v>481161</v>
      </c>
      <c r="AW102" s="83">
        <f>(132929.5*0)+'REV &amp; COGS'!AT19</f>
        <v>45852</v>
      </c>
      <c r="AX102" s="83">
        <f>0+'REV &amp; COGS'!AU19</f>
        <v>793.8</v>
      </c>
      <c r="AY102" s="83">
        <v>0</v>
      </c>
      <c r="AZ102" s="83">
        <v>0</v>
      </c>
      <c r="BA102" s="83">
        <f>(-733379*0)+'REV &amp; COGS'!AX19</f>
        <v>62414.870765216881</v>
      </c>
      <c r="BB102" s="83">
        <f>0+'REV &amp; COGS'!AY19</f>
        <v>0</v>
      </c>
      <c r="BC102" s="83">
        <f>(-487378*0)+'REV &amp; COGS'!AZ19</f>
        <v>91915.723761304864</v>
      </c>
      <c r="BD102" s="83">
        <f>0+'REV &amp; COGS'!BA19</f>
        <v>10263.625829999964</v>
      </c>
      <c r="BE102" s="5">
        <f t="shared" si="3"/>
        <v>3724188.693835997</v>
      </c>
      <c r="BF102" s="5">
        <f>123375-'REV &amp; COGS'!H19+123375-'REV &amp; COGS'!I19-871129+123375-'REV &amp; COGS'!L19-'REV &amp; COGS'!O19-415160.5-'REV &amp; COGS'!P19-233387-183945-'REV &amp; COGS'!T19-311989-'REV &amp; COGS'!U19-20137-'REV &amp; COGS'!V19+17775-'REV &amp; COGS'!W19+2821-'REV &amp; COGS'!X19-293274-'REV &amp; COGS'!Z19-370471-'REV &amp; COGS'!AA19-0-'REV &amp; COGS'!AB19-524617-'REV &amp; COGS'!AC19+0-'REV &amp; COGS'!AD19-22874-'REV &amp; COGS'!AE19+175000-'REV &amp; COGS'!AF19+624752-'REV &amp; COGS'!AG19+444750-307719-'REV &amp; COGS'!AL19-0-'REV &amp; COGS'!AM19-670271-'REV &amp; COGS'!AO19-204628-'REV &amp; COGS'!AP19-225333-'REV &amp; COGS'!AQ19-32729.5-'REV &amp; COGS'!AS19+132929.5-'REV &amp; COGS'!AT19-0-'REV &amp; COGS'!AU19-733379-'REV &amp; COGS'!AX19-0-'REV &amp; COGS'!AY19-487378-'REV &amp; COGS'!AZ19-'REV &amp; COGS'!BA19</f>
        <v>-7194337.4876255933</v>
      </c>
      <c r="BG102" s="5">
        <f t="shared" si="4"/>
        <v>-3470148.7937895963</v>
      </c>
      <c r="BH102" s="66">
        <f>BE102-'TB 17.05.24'!BD94</f>
        <v>1005330.8138359971</v>
      </c>
    </row>
    <row r="103" spans="1:61" ht="15" hidden="1" customHeight="1" x14ac:dyDescent="0.35">
      <c r="A103" s="3" t="s">
        <v>205</v>
      </c>
      <c r="B103" s="6" t="s">
        <v>206</v>
      </c>
      <c r="C103" s="4" t="s">
        <v>314</v>
      </c>
      <c r="D103" s="6" t="s">
        <v>322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84">
        <v>0</v>
      </c>
      <c r="M103" s="84">
        <v>0</v>
      </c>
      <c r="N103" s="84">
        <v>0</v>
      </c>
      <c r="O103" s="84">
        <v>11.8</v>
      </c>
      <c r="P103" s="84">
        <v>0</v>
      </c>
      <c r="Q103" s="84">
        <v>0</v>
      </c>
      <c r="R103" s="84">
        <v>0</v>
      </c>
      <c r="S103" s="84">
        <v>0</v>
      </c>
      <c r="T103" s="84">
        <v>0</v>
      </c>
      <c r="U103" s="84">
        <v>0</v>
      </c>
      <c r="V103" s="84">
        <v>0</v>
      </c>
      <c r="W103" s="84">
        <v>0</v>
      </c>
      <c r="X103" s="84">
        <v>0</v>
      </c>
      <c r="Y103" s="84">
        <v>0</v>
      </c>
      <c r="Z103" s="84">
        <v>0</v>
      </c>
      <c r="AA103" s="84">
        <v>0</v>
      </c>
      <c r="AB103" s="84">
        <v>0</v>
      </c>
      <c r="AC103" s="84">
        <v>0</v>
      </c>
      <c r="AD103" s="84">
        <v>0</v>
      </c>
      <c r="AE103" s="84">
        <v>0</v>
      </c>
      <c r="AF103" s="84">
        <v>0</v>
      </c>
      <c r="AG103" s="84">
        <v>0</v>
      </c>
      <c r="AH103" s="84">
        <v>0</v>
      </c>
      <c r="AI103" s="84">
        <v>0</v>
      </c>
      <c r="AJ103" s="84">
        <v>0</v>
      </c>
      <c r="AK103" s="84">
        <v>0</v>
      </c>
      <c r="AL103" s="84">
        <v>0</v>
      </c>
      <c r="AM103" s="84">
        <v>0</v>
      </c>
      <c r="AN103" s="84">
        <v>0</v>
      </c>
      <c r="AO103" s="84">
        <v>0</v>
      </c>
      <c r="AP103" s="84">
        <v>0</v>
      </c>
      <c r="AQ103" s="84">
        <v>0</v>
      </c>
      <c r="AR103" s="84">
        <v>0</v>
      </c>
      <c r="AS103" s="84">
        <v>0</v>
      </c>
      <c r="AT103" s="84">
        <v>0</v>
      </c>
      <c r="AU103" s="84">
        <v>0</v>
      </c>
      <c r="AV103" s="84">
        <v>0</v>
      </c>
      <c r="AW103" s="84">
        <v>0</v>
      </c>
      <c r="AX103" s="84">
        <v>0</v>
      </c>
      <c r="AY103" s="84">
        <v>0</v>
      </c>
      <c r="AZ103" s="84">
        <v>0</v>
      </c>
      <c r="BA103" s="84">
        <v>0</v>
      </c>
      <c r="BB103" s="84">
        <v>0</v>
      </c>
      <c r="BC103" s="84">
        <v>0</v>
      </c>
      <c r="BD103" s="84">
        <v>0</v>
      </c>
      <c r="BE103" s="7">
        <f t="shared" si="3"/>
        <v>11.8</v>
      </c>
      <c r="BF103" s="7"/>
      <c r="BG103" s="7">
        <f t="shared" si="4"/>
        <v>11.8</v>
      </c>
      <c r="BH103" s="66">
        <f>BE103-'TB 17.05.24'!BD95</f>
        <v>0</v>
      </c>
    </row>
    <row r="104" spans="1:61" ht="15" hidden="1" customHeight="1" x14ac:dyDescent="0.35">
      <c r="A104" s="3"/>
      <c r="B104" s="8" t="s">
        <v>56</v>
      </c>
      <c r="C104" s="8"/>
      <c r="D104" s="8"/>
      <c r="E104" s="304">
        <f t="shared" ref="E104:AJ104" si="5">SUBTOTAL(9,E13:E103)</f>
        <v>0</v>
      </c>
      <c r="F104" s="304">
        <f t="shared" si="5"/>
        <v>0</v>
      </c>
      <c r="G104" s="81">
        <f t="shared" si="5"/>
        <v>0</v>
      </c>
      <c r="H104" s="304">
        <f t="shared" si="5"/>
        <v>0</v>
      </c>
      <c r="I104" s="304">
        <f t="shared" si="5"/>
        <v>0</v>
      </c>
      <c r="J104" s="304">
        <f t="shared" si="5"/>
        <v>0</v>
      </c>
      <c r="K104" s="304">
        <f t="shared" si="5"/>
        <v>0</v>
      </c>
      <c r="L104" s="81">
        <f t="shared" si="5"/>
        <v>0</v>
      </c>
      <c r="M104" s="304">
        <f t="shared" si="5"/>
        <v>0</v>
      </c>
      <c r="N104" s="304">
        <f t="shared" si="5"/>
        <v>0</v>
      </c>
      <c r="O104" s="9">
        <f t="shared" si="5"/>
        <v>0</v>
      </c>
      <c r="P104" s="81">
        <f t="shared" si="5"/>
        <v>0</v>
      </c>
      <c r="Q104" s="81">
        <f t="shared" si="5"/>
        <v>0</v>
      </c>
      <c r="R104" s="304">
        <f t="shared" si="5"/>
        <v>210207.5</v>
      </c>
      <c r="S104" s="9">
        <f t="shared" si="5"/>
        <v>0</v>
      </c>
      <c r="T104" s="81">
        <f t="shared" si="5"/>
        <v>0</v>
      </c>
      <c r="U104" s="9">
        <f t="shared" si="5"/>
        <v>0</v>
      </c>
      <c r="V104" s="81">
        <f t="shared" si="5"/>
        <v>0</v>
      </c>
      <c r="W104" s="9">
        <f t="shared" si="5"/>
        <v>0</v>
      </c>
      <c r="X104" s="9">
        <f t="shared" si="5"/>
        <v>0</v>
      </c>
      <c r="Y104" s="9">
        <f t="shared" si="5"/>
        <v>0</v>
      </c>
      <c r="Z104" s="9">
        <f t="shared" si="5"/>
        <v>0</v>
      </c>
      <c r="AA104" s="9">
        <f t="shared" si="5"/>
        <v>0</v>
      </c>
      <c r="AB104" s="81">
        <f t="shared" si="5"/>
        <v>0</v>
      </c>
      <c r="AC104" s="9">
        <f t="shared" si="5"/>
        <v>0</v>
      </c>
      <c r="AD104" s="9">
        <f t="shared" si="5"/>
        <v>0</v>
      </c>
      <c r="AE104" s="9">
        <f t="shared" si="5"/>
        <v>0</v>
      </c>
      <c r="AF104" s="9">
        <f t="shared" si="5"/>
        <v>0</v>
      </c>
      <c r="AG104" s="9">
        <f t="shared" si="5"/>
        <v>0</v>
      </c>
      <c r="AH104" s="9">
        <f t="shared" si="5"/>
        <v>0</v>
      </c>
      <c r="AI104" s="9">
        <f t="shared" si="5"/>
        <v>0</v>
      </c>
      <c r="AJ104" s="9">
        <f t="shared" si="5"/>
        <v>0</v>
      </c>
      <c r="AK104" s="81">
        <f t="shared" ref="AK104:BD104" si="6">SUBTOTAL(9,AK13:AK103)</f>
        <v>0</v>
      </c>
      <c r="AL104" s="81">
        <f t="shared" si="6"/>
        <v>0</v>
      </c>
      <c r="AM104" s="81">
        <f t="shared" si="6"/>
        <v>0</v>
      </c>
      <c r="AN104" s="81">
        <f t="shared" si="6"/>
        <v>0</v>
      </c>
      <c r="AO104" s="9">
        <f t="shared" si="6"/>
        <v>0</v>
      </c>
      <c r="AP104" s="9">
        <f t="shared" si="6"/>
        <v>0</v>
      </c>
      <c r="AQ104" s="81">
        <f t="shared" si="6"/>
        <v>0</v>
      </c>
      <c r="AR104" s="9">
        <f t="shared" si="6"/>
        <v>0</v>
      </c>
      <c r="AS104" s="9">
        <f t="shared" si="6"/>
        <v>0</v>
      </c>
      <c r="AT104" s="9">
        <f t="shared" si="6"/>
        <v>0</v>
      </c>
      <c r="AU104" s="81">
        <f t="shared" si="6"/>
        <v>0</v>
      </c>
      <c r="AV104" s="9">
        <f t="shared" si="6"/>
        <v>0</v>
      </c>
      <c r="AW104" s="9">
        <f t="shared" si="6"/>
        <v>0</v>
      </c>
      <c r="AX104" s="9">
        <f t="shared" si="6"/>
        <v>0</v>
      </c>
      <c r="AY104" s="81">
        <f t="shared" si="6"/>
        <v>0</v>
      </c>
      <c r="AZ104" s="81">
        <f t="shared" si="6"/>
        <v>0</v>
      </c>
      <c r="BA104" s="9">
        <f t="shared" si="6"/>
        <v>0</v>
      </c>
      <c r="BB104" s="9">
        <f t="shared" si="6"/>
        <v>0</v>
      </c>
      <c r="BC104" s="9">
        <f t="shared" si="6"/>
        <v>0</v>
      </c>
      <c r="BD104" s="9">
        <f t="shared" si="6"/>
        <v>0</v>
      </c>
      <c r="BE104" s="9"/>
      <c r="BF104" s="9"/>
      <c r="BG104" s="9">
        <f>SUBTOTAL(9,BG13:BG103)</f>
        <v>0</v>
      </c>
    </row>
    <row r="105" spans="1:61" hidden="1" x14ac:dyDescent="0.35">
      <c r="D105" s="4" t="s">
        <v>330</v>
      </c>
      <c r="E105">
        <f>'MIS Apr24'!C54</f>
        <v>-354901.61637041089</v>
      </c>
      <c r="F105">
        <f>'MIS Apr24'!E54</f>
        <v>-489589.58606082667</v>
      </c>
      <c r="G105">
        <f ca="1">'MIS Apr24'!G54</f>
        <v>0</v>
      </c>
      <c r="H105">
        <f>'MIS Apr24'!I54</f>
        <v>463051.99296620698</v>
      </c>
      <c r="I105">
        <f>'MIS Apr24'!K54</f>
        <v>-489144.77741469152</v>
      </c>
      <c r="J105">
        <f>'MIS Apr24'!M54</f>
        <v>-51816.11372186942</v>
      </c>
      <c r="K105">
        <f>'MIS Apr24'!O54</f>
        <v>346492.19867107039</v>
      </c>
      <c r="L105">
        <f ca="1">'MIS Apr24'!Q54</f>
        <v>0</v>
      </c>
      <c r="M105">
        <f>'MIS Apr24'!S54</f>
        <v>408523.99230062449</v>
      </c>
      <c r="N105">
        <f>'MIS Apr24'!U54</f>
        <v>-95190.051330388291</v>
      </c>
      <c r="O105">
        <f>'MIS Apr24'!DA54</f>
        <v>-7189067.1715440517</v>
      </c>
      <c r="P105">
        <f ca="1">'MIS Apr24'!W54</f>
        <v>0</v>
      </c>
      <c r="Q105">
        <f ca="1">'MIS Apr24'!Y54</f>
        <v>0</v>
      </c>
      <c r="R105">
        <f>'MIS Apr24'!AA54</f>
        <v>448289.34062912292</v>
      </c>
      <c r="S105">
        <f>'MIS Apr24'!AC54</f>
        <v>-480127.03769516479</v>
      </c>
      <c r="T105">
        <f ca="1">'MIS Apr24'!AE54</f>
        <v>0</v>
      </c>
      <c r="U105">
        <f>'MIS Apr24'!AG54</f>
        <v>161376.67509242939</v>
      </c>
      <c r="V105">
        <f ca="1">'MIS Apr24'!AI54</f>
        <v>0</v>
      </c>
      <c r="W105">
        <f>'MIS Apr24'!AK54</f>
        <v>-1007822.1327576307</v>
      </c>
      <c r="X105">
        <f>'MIS Apr24'!AM54</f>
        <v>-757579.80675112735</v>
      </c>
      <c r="Y105">
        <f>'MIS Apr24'!AO54</f>
        <v>-458674.09606454591</v>
      </c>
      <c r="Z105">
        <f>'MIS Apr24'!AQ54</f>
        <v>-287716.55874286266</v>
      </c>
      <c r="AA105">
        <f>'MIS Apr24'!AS54</f>
        <v>84.519874839810655</v>
      </c>
      <c r="AB105">
        <f ca="1">'MIS Apr24'!AU54</f>
        <v>-1016</v>
      </c>
      <c r="AC105">
        <f>'MIS Apr24'!AW54</f>
        <v>409630.98159949202</v>
      </c>
      <c r="AD105">
        <f>'MIS Apr24'!AY54</f>
        <v>154015.35860899556</v>
      </c>
      <c r="AE105">
        <f>'MIS Apr24'!BA54</f>
        <v>-822648.69158347533</v>
      </c>
      <c r="AF105">
        <f>'MIS Apr24'!BC54</f>
        <v>-826009.7712678907</v>
      </c>
      <c r="AG105">
        <f>'MIS Apr24'!BE54</f>
        <v>-100861.41053040233</v>
      </c>
      <c r="AH105">
        <f>'MIS Apr24'!BG54</f>
        <v>-599894.2137399338</v>
      </c>
      <c r="AI105">
        <f>'MIS Apr24'!BI54</f>
        <v>-472699.88217695267</v>
      </c>
      <c r="AJ105">
        <f>'MIS Apr24'!BK54</f>
        <v>-819902.1516151051</v>
      </c>
      <c r="AK105">
        <f ca="1">'MIS Apr24'!BM54</f>
        <v>0</v>
      </c>
      <c r="AL105">
        <f ca="1">'MIS Apr24'!BO54</f>
        <v>0</v>
      </c>
      <c r="AM105">
        <f ca="1">'MIS Apr24'!BQ54</f>
        <v>0</v>
      </c>
      <c r="AN105">
        <f ca="1">'MIS Apr24'!BS54</f>
        <v>0</v>
      </c>
      <c r="AO105">
        <f>'MIS Apr24'!BU54</f>
        <v>-379310.52793016518</v>
      </c>
      <c r="AP105">
        <f>'MIS Apr24'!BW54</f>
        <v>-1864892.71475211</v>
      </c>
      <c r="AQ105">
        <f ca="1">'MIS Apr24'!BY54</f>
        <v>0</v>
      </c>
      <c r="AR105">
        <f>'MIS Apr24'!CA54</f>
        <v>852964.06527395919</v>
      </c>
      <c r="AS105">
        <f>'MIS Apr24'!CC54</f>
        <v>-171129.77498420887</v>
      </c>
      <c r="AT105">
        <f>'MIS Apr24'!CE54</f>
        <v>-650699.99717910658</v>
      </c>
      <c r="AU105">
        <f ca="1">'MIS Apr24'!CG54</f>
        <v>-2031</v>
      </c>
      <c r="AV105">
        <f>'MIS Apr24'!CI54</f>
        <v>-401552.86146250111</v>
      </c>
      <c r="AW105">
        <f>'MIS Apr24'!CK54</f>
        <v>87805.404014877044</v>
      </c>
      <c r="AX105">
        <f>'MIS Apr24'!CM54</f>
        <v>-531165.6790122278</v>
      </c>
      <c r="AY105">
        <f ca="1">'MIS Apr24'!CO54</f>
        <v>-2100</v>
      </c>
      <c r="AZ105">
        <f ca="1">'MIS Apr24'!CQ54</f>
        <v>0</v>
      </c>
      <c r="BA105">
        <f>'MIS Apr24'!CS54</f>
        <v>-1071564.0898887769</v>
      </c>
      <c r="BB105">
        <f>'MIS Apr24'!CU54</f>
        <v>-558172.55721214251</v>
      </c>
      <c r="BC105">
        <f>'MIS Apr24'!CW54</f>
        <v>-189114.36160084466</v>
      </c>
      <c r="BD105">
        <f>'MIS Apr24'!CY54</f>
        <v>-1032721.9079753269</v>
      </c>
      <c r="BE105" s="5">
        <f>SUM(BE11:BE103)</f>
        <v>18611943.112333115</v>
      </c>
    </row>
    <row r="106" spans="1:61" hidden="1" x14ac:dyDescent="0.35">
      <c r="D106" s="4" t="s">
        <v>331</v>
      </c>
      <c r="E106" s="66">
        <f>E105+E104</f>
        <v>-354901.61637041089</v>
      </c>
      <c r="F106" s="66">
        <f t="shared" ref="F106:BD106" si="7">F105+F104</f>
        <v>-489589.58606082667</v>
      </c>
      <c r="G106" s="66">
        <f t="shared" ca="1" si="7"/>
        <v>0</v>
      </c>
      <c r="H106" s="66">
        <f t="shared" si="7"/>
        <v>463051.99296620698</v>
      </c>
      <c r="I106" s="66">
        <f t="shared" si="7"/>
        <v>-489144.77741469152</v>
      </c>
      <c r="J106" s="66">
        <f t="shared" si="7"/>
        <v>-51816.11372186942</v>
      </c>
      <c r="K106" s="66">
        <f t="shared" si="7"/>
        <v>346492.19867107039</v>
      </c>
      <c r="L106" s="66">
        <f t="shared" ca="1" si="7"/>
        <v>0</v>
      </c>
      <c r="M106" s="66">
        <f t="shared" si="7"/>
        <v>408523.99230062449</v>
      </c>
      <c r="N106" s="66">
        <f t="shared" si="7"/>
        <v>-95190.051330388291</v>
      </c>
      <c r="O106" s="66">
        <f t="shared" si="7"/>
        <v>-7189067.1715440517</v>
      </c>
      <c r="P106" s="66">
        <f t="shared" ca="1" si="7"/>
        <v>0</v>
      </c>
      <c r="Q106" s="66">
        <f t="shared" ca="1" si="7"/>
        <v>0</v>
      </c>
      <c r="R106" s="66">
        <f t="shared" si="7"/>
        <v>658496.84062912292</v>
      </c>
      <c r="S106" s="66">
        <f t="shared" si="7"/>
        <v>-480127.03769516479</v>
      </c>
      <c r="T106" s="66">
        <f t="shared" ca="1" si="7"/>
        <v>0</v>
      </c>
      <c r="U106" s="66">
        <f t="shared" si="7"/>
        <v>161376.67509242939</v>
      </c>
      <c r="V106" s="66">
        <f t="shared" ca="1" si="7"/>
        <v>0</v>
      </c>
      <c r="W106" s="66">
        <f t="shared" si="7"/>
        <v>-1007822.1327576307</v>
      </c>
      <c r="X106" s="66">
        <f t="shared" si="7"/>
        <v>-757579.80675112735</v>
      </c>
      <c r="Y106" s="66">
        <f t="shared" si="7"/>
        <v>-458674.09606454591</v>
      </c>
      <c r="Z106" s="66">
        <f t="shared" si="7"/>
        <v>-287716.55874286266</v>
      </c>
      <c r="AA106" s="66">
        <f t="shared" si="7"/>
        <v>84.519874839810655</v>
      </c>
      <c r="AB106" s="66">
        <f t="shared" ca="1" si="7"/>
        <v>0</v>
      </c>
      <c r="AC106" s="66">
        <f t="shared" si="7"/>
        <v>409630.98159949202</v>
      </c>
      <c r="AD106" s="66">
        <f t="shared" si="7"/>
        <v>154015.35860899556</v>
      </c>
      <c r="AE106" s="66">
        <f t="shared" si="7"/>
        <v>-822648.69158347533</v>
      </c>
      <c r="AF106" s="66">
        <f t="shared" si="7"/>
        <v>-826009.7712678907</v>
      </c>
      <c r="AG106" s="66">
        <f t="shared" si="7"/>
        <v>-100861.41053040233</v>
      </c>
      <c r="AH106" s="66">
        <f t="shared" si="7"/>
        <v>-599894.2137399338</v>
      </c>
      <c r="AI106" s="66">
        <f t="shared" si="7"/>
        <v>-472699.88217695267</v>
      </c>
      <c r="AJ106" s="66">
        <f t="shared" si="7"/>
        <v>-819902.1516151051</v>
      </c>
      <c r="AK106" s="66">
        <f t="shared" ca="1" si="7"/>
        <v>0</v>
      </c>
      <c r="AL106" s="66">
        <f t="shared" ca="1" si="7"/>
        <v>0</v>
      </c>
      <c r="AM106" s="66">
        <f t="shared" ca="1" si="7"/>
        <v>0</v>
      </c>
      <c r="AN106" s="66">
        <f t="shared" ca="1" si="7"/>
        <v>0</v>
      </c>
      <c r="AO106" s="66">
        <f t="shared" si="7"/>
        <v>-379310.52793016518</v>
      </c>
      <c r="AP106" s="66">
        <f t="shared" si="7"/>
        <v>-1864892.71475211</v>
      </c>
      <c r="AQ106" s="66">
        <f t="shared" ca="1" si="7"/>
        <v>0</v>
      </c>
      <c r="AR106" s="66">
        <f t="shared" si="7"/>
        <v>852964.06527395919</v>
      </c>
      <c r="AS106" s="66">
        <f t="shared" si="7"/>
        <v>-171129.77498420887</v>
      </c>
      <c r="AT106" s="66">
        <f t="shared" si="7"/>
        <v>-650699.99717910658</v>
      </c>
      <c r="AU106" s="66">
        <f t="shared" ca="1" si="7"/>
        <v>0</v>
      </c>
      <c r="AV106" s="66">
        <f t="shared" si="7"/>
        <v>-401552.86146250111</v>
      </c>
      <c r="AW106" s="66">
        <f t="shared" si="7"/>
        <v>87805.404014877044</v>
      </c>
      <c r="AX106" s="66">
        <f t="shared" si="7"/>
        <v>-531165.6790122278</v>
      </c>
      <c r="AY106" s="66">
        <f t="shared" ca="1" si="7"/>
        <v>0</v>
      </c>
      <c r="AZ106" s="66">
        <f t="shared" ca="1" si="7"/>
        <v>0</v>
      </c>
      <c r="BA106" s="66">
        <f t="shared" si="7"/>
        <v>-1071564.0898887769</v>
      </c>
      <c r="BB106" s="66">
        <f t="shared" si="7"/>
        <v>-558172.55721214251</v>
      </c>
      <c r="BC106" s="66">
        <f t="shared" si="7"/>
        <v>-189114.36160084466</v>
      </c>
      <c r="BD106" s="66">
        <f t="shared" si="7"/>
        <v>-1032721.9079753269</v>
      </c>
    </row>
    <row r="107" spans="1:61" x14ac:dyDescent="0.35">
      <c r="BF107" s="66"/>
    </row>
    <row r="108" spans="1:61" x14ac:dyDescent="0.35">
      <c r="AE108" s="5"/>
      <c r="AF108" s="5"/>
      <c r="AG108" s="66"/>
      <c r="BD108" s="66"/>
      <c r="BF108" s="66"/>
    </row>
    <row r="109" spans="1:61" x14ac:dyDescent="0.35">
      <c r="J109" s="66"/>
      <c r="AE109" s="5"/>
      <c r="AF109" s="5"/>
    </row>
    <row r="110" spans="1:61" x14ac:dyDescent="0.35">
      <c r="AB110" s="376"/>
    </row>
    <row r="111" spans="1:61" x14ac:dyDescent="0.35">
      <c r="AB111" s="376"/>
    </row>
    <row r="112" spans="1:61" x14ac:dyDescent="0.35">
      <c r="AB112" s="376"/>
    </row>
    <row r="116" spans="5:56" x14ac:dyDescent="0.35"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</row>
  </sheetData>
  <autoFilter ref="A7:BH106" xr:uid="{00000000-0009-0000-0000-000008000000}">
    <filterColumn colId="1">
      <filters>
        <filter val="Royalty Charges"/>
      </filters>
    </filterColumn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4</vt:i4>
      </vt:variant>
    </vt:vector>
  </HeadingPairs>
  <TitlesOfParts>
    <vt:vector size="26" baseType="lpstr">
      <vt:lpstr>List of Outlets</vt:lpstr>
      <vt:lpstr>Budget</vt:lpstr>
      <vt:lpstr>MIS Linked TB</vt:lpstr>
      <vt:lpstr>unadjusted tb</vt:lpstr>
      <vt:lpstr>Reco Vs Books</vt:lpstr>
      <vt:lpstr>Bellona Profitability Apr24</vt:lpstr>
      <vt:lpstr>Outlet wise Summary Apr24</vt:lpstr>
      <vt:lpstr>MIS Apr24</vt:lpstr>
      <vt:lpstr>TB Apr 24</vt:lpstr>
      <vt:lpstr>TB May 24</vt:lpstr>
      <vt:lpstr>TB 17.05.24</vt:lpstr>
      <vt:lpstr>MIS</vt:lpstr>
      <vt:lpstr>TB 18.05.24</vt:lpstr>
      <vt:lpstr>Sales summary</vt:lpstr>
      <vt:lpstr>REV &amp; COGS</vt:lpstr>
      <vt:lpstr>Occupational Cost-Mall Expe May</vt:lpstr>
      <vt:lpstr>Occupational Cost-Mall Expenses</vt:lpstr>
      <vt:lpstr>Manpower Cost</vt:lpstr>
      <vt:lpstr>Staff Room Rent</vt:lpstr>
      <vt:lpstr>Provisions April -Expenses</vt:lpstr>
      <vt:lpstr>Marketing &amp; Business Promotion </vt:lpstr>
      <vt:lpstr>Other Operating Costs</vt:lpstr>
      <vt:lpstr>'MIS Apr24'!Print_Area</vt:lpstr>
      <vt:lpstr>'Staff Room Rent'!Print_Area</vt:lpstr>
      <vt:lpstr>'Staff Room Rent'!Print_Titles</vt:lpstr>
      <vt:lpstr>'unadjusted tb'!Print_Titles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Kumthekar</dc:creator>
  <cp:lastModifiedBy>Jishnu Dutta</cp:lastModifiedBy>
  <cp:lastPrinted>2024-06-07T17:19:17Z</cp:lastPrinted>
  <dcterms:created xsi:type="dcterms:W3CDTF">2024-04-13T11:09:42Z</dcterms:created>
  <dcterms:modified xsi:type="dcterms:W3CDTF">2024-10-15T10:51:23Z</dcterms:modified>
</cp:coreProperties>
</file>