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miry.bernardo\Documents\Documentos Emiry\"/>
    </mc:Choice>
  </mc:AlternateContent>
  <xr:revisionPtr revIDLastSave="0" documentId="8_{B8EB91FC-691A-42ED-8720-4335BE717113}" xr6:coauthVersionLast="47" xr6:coauthVersionMax="47" xr10:uidLastSave="{00000000-0000-0000-0000-000000000000}"/>
  <bookViews>
    <workbookView xWindow="-120" yWindow="-120" windowWidth="29040" windowHeight="15840" tabRatio="734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4" i="2"/>
  <c r="L15" i="2"/>
  <c r="L16" i="2"/>
  <c r="L17" i="2"/>
  <c r="L18" i="2"/>
  <c r="L19" i="2"/>
  <c r="L25" i="2"/>
  <c r="L26" i="2"/>
  <c r="L27" i="2"/>
  <c r="L32" i="2"/>
  <c r="L33" i="2"/>
  <c r="L34" i="2"/>
  <c r="L36" i="2"/>
  <c r="L37" i="2"/>
  <c r="L40" i="2"/>
  <c r="L44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I15" i="2"/>
  <c r="H15" i="2"/>
  <c r="I16" i="2"/>
  <c r="H16" i="2"/>
  <c r="I17" i="2"/>
  <c r="H17" i="2"/>
  <c r="I18" i="2"/>
  <c r="H18" i="2"/>
  <c r="I19" i="2"/>
  <c r="H19" i="2"/>
  <c r="I20" i="2"/>
  <c r="H20" i="2"/>
  <c r="I21" i="2"/>
  <c r="H21" i="2"/>
  <c r="I22" i="2"/>
  <c r="H22" i="2"/>
  <c r="I23" i="2"/>
  <c r="H23" i="2"/>
  <c r="I24" i="2"/>
  <c r="H24" i="2"/>
  <c r="I25" i="2"/>
  <c r="H25" i="2"/>
  <c r="I26" i="2"/>
  <c r="H26" i="2"/>
  <c r="I27" i="2"/>
  <c r="H27" i="2"/>
  <c r="I28" i="2"/>
  <c r="H28" i="2"/>
  <c r="I29" i="2"/>
  <c r="H29" i="2"/>
  <c r="I30" i="2"/>
  <c r="H30" i="2"/>
  <c r="I31" i="2"/>
  <c r="H31" i="2"/>
  <c r="I32" i="2"/>
  <c r="H32" i="2"/>
  <c r="I33" i="2"/>
  <c r="H33" i="2"/>
  <c r="I34" i="2"/>
  <c r="H34" i="2"/>
  <c r="I35" i="2"/>
  <c r="H35" i="2"/>
  <c r="I36" i="2"/>
  <c r="H36" i="2"/>
  <c r="I37" i="2"/>
  <c r="H37" i="2"/>
  <c r="I38" i="2"/>
  <c r="H38" i="2"/>
  <c r="I39" i="2"/>
  <c r="H39" i="2"/>
  <c r="I40" i="2"/>
  <c r="H40" i="2"/>
  <c r="I41" i="2"/>
  <c r="H41" i="2"/>
  <c r="I42" i="2"/>
  <c r="H42" i="2"/>
  <c r="I43" i="2"/>
  <c r="H43" i="2"/>
  <c r="I44" i="2"/>
  <c r="H44" i="2"/>
  <c r="I45" i="2"/>
  <c r="H45" i="2"/>
  <c r="I46" i="2"/>
  <c r="H46" i="2"/>
  <c r="I47" i="2"/>
  <c r="H47" i="2"/>
  <c r="I48" i="2"/>
  <c r="H48" i="2"/>
  <c r="I49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/>
  <c r="F10" i="2"/>
  <c r="J10" i="2"/>
  <c r="L11" i="2"/>
  <c r="I11" i="2"/>
  <c r="H11" i="2"/>
  <c r="G11" i="2"/>
  <c r="J11" i="2"/>
  <c r="I12" i="2"/>
  <c r="G12" i="2"/>
  <c r="J12" i="2"/>
  <c r="L13" i="2"/>
  <c r="I13" i="2"/>
  <c r="G13" i="2"/>
  <c r="J13" i="2"/>
  <c r="I14" i="2"/>
  <c r="G14" i="2"/>
  <c r="J14" i="2"/>
  <c r="F15" i="2"/>
  <c r="K15" i="2"/>
  <c r="G15" i="2"/>
  <c r="J15" i="2"/>
  <c r="K16" i="2"/>
  <c r="G16" i="2"/>
  <c r="J16" i="2"/>
  <c r="K17" i="2"/>
  <c r="G17" i="2"/>
  <c r="J17" i="2"/>
  <c r="F18" i="2"/>
  <c r="J18" i="2"/>
  <c r="F19" i="2"/>
  <c r="J19" i="2"/>
  <c r="G20" i="2"/>
  <c r="J20" i="2"/>
  <c r="G21" i="2"/>
  <c r="J21" i="2"/>
  <c r="G22" i="2"/>
  <c r="F22" i="2"/>
  <c r="J22" i="2"/>
  <c r="F23" i="2"/>
  <c r="J23" i="2"/>
  <c r="F24" i="2"/>
  <c r="G24" i="2"/>
  <c r="J24" i="2"/>
  <c r="F25" i="2"/>
  <c r="K25" i="2"/>
  <c r="G25" i="2"/>
  <c r="J25" i="2"/>
  <c r="F26" i="2"/>
  <c r="K26" i="2"/>
  <c r="G26" i="2"/>
  <c r="J26" i="2"/>
  <c r="G27" i="2"/>
  <c r="J27" i="2"/>
  <c r="G28" i="2"/>
  <c r="F28" i="2"/>
  <c r="J28" i="2"/>
  <c r="L29" i="2"/>
  <c r="F29" i="2"/>
  <c r="J29" i="2"/>
  <c r="F30" i="2"/>
  <c r="L30" i="2"/>
  <c r="G30" i="2"/>
  <c r="J30" i="2"/>
  <c r="F31" i="2"/>
  <c r="G31" i="2"/>
  <c r="J31" i="2"/>
  <c r="F32" i="2"/>
  <c r="G32" i="2"/>
  <c r="J32" i="2"/>
  <c r="F33" i="2"/>
  <c r="K33" i="2"/>
  <c r="G33" i="2"/>
  <c r="J33" i="2"/>
  <c r="F34" i="2"/>
  <c r="K34" i="2"/>
  <c r="G34" i="2"/>
  <c r="J34" i="2"/>
  <c r="G35" i="2"/>
  <c r="J35" i="2"/>
  <c r="F36" i="2"/>
  <c r="G36" i="2"/>
  <c r="J36" i="2"/>
  <c r="F37" i="2"/>
  <c r="G37" i="2"/>
  <c r="J37" i="2"/>
  <c r="G38" i="2"/>
  <c r="J38" i="2"/>
  <c r="G39" i="2"/>
  <c r="F39" i="2"/>
  <c r="J39" i="2"/>
  <c r="F40" i="2"/>
  <c r="K40" i="2"/>
  <c r="G40" i="2"/>
  <c r="J40" i="2"/>
  <c r="F41" i="2"/>
  <c r="J41" i="2"/>
  <c r="G42" i="2"/>
  <c r="J42" i="2"/>
  <c r="G43" i="2"/>
  <c r="J43" i="2"/>
  <c r="F44" i="2"/>
  <c r="K44" i="2"/>
  <c r="G44" i="2"/>
  <c r="J44" i="2"/>
  <c r="F45" i="2"/>
  <c r="G45" i="2"/>
  <c r="J45" i="2"/>
  <c r="G46" i="2"/>
  <c r="J46" i="2"/>
  <c r="G47" i="2"/>
  <c r="J47" i="2"/>
  <c r="G48" i="2"/>
  <c r="F48" i="2"/>
  <c r="J48" i="2"/>
  <c r="G49" i="2"/>
  <c r="J49" i="2"/>
  <c r="F50" i="2"/>
  <c r="K50" i="2"/>
  <c r="I50" i="2"/>
  <c r="G50" i="2"/>
  <c r="J50" i="2"/>
  <c r="F51" i="2"/>
  <c r="K51" i="2"/>
  <c r="I51" i="2"/>
  <c r="G51" i="2"/>
  <c r="J51" i="2"/>
  <c r="F52" i="2"/>
  <c r="K52" i="2"/>
  <c r="I52" i="2"/>
  <c r="G52" i="2"/>
  <c r="J52" i="2"/>
  <c r="F53" i="2"/>
  <c r="K53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K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K75" i="2"/>
  <c r="I75" i="2"/>
  <c r="G75" i="2"/>
  <c r="J75" i="2"/>
  <c r="F76" i="2"/>
  <c r="K76" i="2"/>
  <c r="I76" i="2"/>
  <c r="G76" i="2"/>
  <c r="J76" i="2"/>
  <c r="F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I84" i="2"/>
  <c r="G84" i="2"/>
  <c r="J84" i="2"/>
  <c r="F85" i="2"/>
  <c r="K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K92" i="2"/>
  <c r="I92" i="2"/>
  <c r="G92" i="2"/>
  <c r="J92" i="2"/>
  <c r="F93" i="2"/>
  <c r="K93" i="2"/>
  <c r="I93" i="2"/>
  <c r="G93" i="2"/>
  <c r="J93" i="2"/>
  <c r="F94" i="2"/>
  <c r="K94" i="2"/>
  <c r="I94" i="2"/>
  <c r="G94" i="2"/>
  <c r="J94" i="2"/>
  <c r="F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K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K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I138" i="2"/>
  <c r="G138" i="2"/>
  <c r="J138" i="2"/>
  <c r="F139" i="2"/>
  <c r="K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K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K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I163" i="2"/>
  <c r="G163" i="2"/>
  <c r="J163" i="2"/>
  <c r="F164" i="2"/>
  <c r="K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K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K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K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K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K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K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I391" i="2"/>
  <c r="G391" i="2"/>
  <c r="K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K395" i="2"/>
  <c r="I395" i="2"/>
  <c r="G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I399" i="2"/>
  <c r="G399" i="2"/>
  <c r="K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K403" i="2"/>
  <c r="I403" i="2"/>
  <c r="G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I432" i="2"/>
  <c r="K432" i="2"/>
  <c r="J432" i="2"/>
  <c r="K433" i="2"/>
  <c r="I433" i="2"/>
  <c r="F433" i="2"/>
  <c r="J433" i="2"/>
  <c r="F434" i="2"/>
  <c r="I434" i="2"/>
  <c r="G434" i="2"/>
  <c r="J434" i="2"/>
  <c r="F435" i="2"/>
  <c r="K435" i="2"/>
  <c r="I435" i="2"/>
  <c r="G435" i="2"/>
  <c r="J435" i="2"/>
  <c r="F436" i="2"/>
  <c r="K436" i="2"/>
  <c r="I436" i="2"/>
  <c r="G436" i="2"/>
  <c r="J436" i="2"/>
  <c r="F437" i="2"/>
  <c r="K437" i="2"/>
  <c r="I437" i="2"/>
  <c r="G437" i="2"/>
  <c r="J437" i="2"/>
  <c r="K438" i="2"/>
  <c r="I438" i="2"/>
  <c r="G438" i="2"/>
  <c r="F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F442" i="2"/>
  <c r="K442" i="2"/>
  <c r="I442" i="2"/>
  <c r="G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K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3" i="2"/>
  <c r="K434" i="2"/>
  <c r="G432" i="2"/>
  <c r="F432" i="2"/>
  <c r="K163" i="2"/>
  <c r="K115" i="2"/>
  <c r="K71" i="2"/>
  <c r="L45" i="2"/>
  <c r="K45" i="2"/>
  <c r="L49" i="2"/>
  <c r="F49" i="2"/>
  <c r="F47" i="2"/>
  <c r="F46" i="2"/>
  <c r="L42" i="2"/>
  <c r="L41" i="2"/>
  <c r="K41" i="2"/>
  <c r="F43" i="2"/>
  <c r="F42" i="2"/>
  <c r="G41" i="2"/>
  <c r="K37" i="2"/>
  <c r="K32" i="2"/>
  <c r="F21" i="2"/>
  <c r="F17" i="2"/>
  <c r="F16" i="2"/>
  <c r="G19" i="2"/>
  <c r="G18" i="2"/>
  <c r="K77" i="2"/>
  <c r="K89" i="2"/>
  <c r="K62" i="2"/>
  <c r="K29" i="2"/>
  <c r="K18" i="2"/>
  <c r="G10" i="2"/>
  <c r="K49" i="2"/>
  <c r="K30" i="2"/>
  <c r="L24" i="2"/>
  <c r="K24" i="2"/>
  <c r="L12" i="2"/>
  <c r="K36" i="2"/>
  <c r="L38" i="2"/>
  <c r="K38" i="2"/>
  <c r="G29" i="2"/>
  <c r="K27" i="2"/>
  <c r="F20" i="2"/>
  <c r="K19" i="2"/>
  <c r="F11" i="2"/>
  <c r="L10" i="2"/>
  <c r="K10" i="2"/>
  <c r="L21" i="2"/>
  <c r="K21" i="2"/>
  <c r="F38" i="2"/>
  <c r="F35" i="2"/>
  <c r="L31" i="2"/>
  <c r="K31" i="2"/>
  <c r="F27" i="2"/>
  <c r="G23" i="2"/>
  <c r="L22" i="2"/>
  <c r="K22" i="2"/>
  <c r="K217" i="2"/>
  <c r="K458" i="2"/>
  <c r="K152" i="2"/>
  <c r="K281" i="2"/>
  <c r="K142" i="2"/>
  <c r="K95" i="2"/>
  <c r="K88" i="2"/>
  <c r="K84" i="2"/>
  <c r="L47" i="2"/>
  <c r="L48" i="2"/>
  <c r="K48" i="2"/>
  <c r="L46" i="2"/>
  <c r="K46" i="2"/>
  <c r="K44" i="3"/>
  <c r="L23" i="2"/>
  <c r="K23" i="2"/>
  <c r="L35" i="2"/>
  <c r="K35" i="2"/>
  <c r="L20" i="2"/>
  <c r="K20" i="2"/>
  <c r="L43" i="2"/>
  <c r="L28" i="2"/>
  <c r="L39" i="2"/>
  <c r="K39" i="2"/>
  <c r="K47" i="2"/>
  <c r="K43" i="2"/>
  <c r="K42" i="2"/>
  <c r="K28" i="2"/>
  <c r="K270" i="2"/>
  <c r="K135" i="2"/>
  <c r="K277" i="2"/>
  <c r="K213" i="2"/>
  <c r="K138" i="2"/>
  <c r="K11" i="2"/>
  <c r="K184" i="2"/>
  <c r="K160" i="2"/>
  <c r="K191" i="2"/>
  <c r="K81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  <c r="H14" i="2"/>
  <c r="K14" i="2"/>
  <c r="F14" i="2"/>
  <c r="H13" i="2"/>
  <c r="K13" i="2"/>
  <c r="F13" i="2"/>
  <c r="H12" i="2"/>
  <c r="K12" i="2"/>
  <c r="F12" i="2"/>
  <c r="H9" i="2"/>
  <c r="F9" i="2"/>
  <c r="K9" i="2"/>
  <c r="L5" i="2"/>
  <c r="Q5" i="1"/>
  <c r="L4" i="2"/>
  <c r="Q4" i="1"/>
  <c r="L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<sst xmlns="http://schemas.openxmlformats.org/spreadsheetml/2006/main" count="346" uniqueCount="211">
  <si>
    <t>Identificação da Contagem</t>
  </si>
  <si>
    <t>Empresa</t>
  </si>
  <si>
    <t>PF IFPUG</t>
  </si>
  <si>
    <t>Aplicação</t>
  </si>
  <si>
    <t>PF Local do EM</t>
  </si>
  <si>
    <t>Tipo de Contagem</t>
  </si>
  <si>
    <t>PF Local da FS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</si>
  <si>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</si>
  <si>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</si>
  <si>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</si>
  <si>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</si>
  <si>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</si>
  <si>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</si>
  <si>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</si>
  <si>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</si>
  <si>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</si>
  <si>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</si>
  <si>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</si>
  <si>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</si>
  <si>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</si>
  <si>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</si>
  <si>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</si>
  <si>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</si>
  <si>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</si>
  <si>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</si>
  <si>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</si>
  <si>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</si>
  <si>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</si>
  <si>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</si>
  <si>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</si>
  <si>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</si>
  <si>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Tarefas</t>
  </si>
  <si>
    <t>ALI</t>
  </si>
  <si>
    <t>Salvar Tarefas/Atualizar Tarefas</t>
  </si>
  <si>
    <t>EE</t>
  </si>
  <si>
    <t>Buscar Tarefas</t>
  </si>
  <si>
    <t>CE</t>
  </si>
  <si>
    <t>Time</t>
  </si>
  <si>
    <t>Salvar Time/Atualizar Time</t>
  </si>
  <si>
    <t>Buscar Time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</si>
  <si>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</si>
  <si>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</si>
  <si>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</si>
  <si>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</si>
  <si>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</si>
  <si>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</si>
  <si>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</si>
  <si>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</si>
  <si>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</si>
  <si>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</si>
  <si>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</si>
  <si>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</si>
  <si>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</si>
  <si>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</si>
  <si>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</si>
  <si>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</si>
  <si>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</si>
  <si>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</si>
  <si>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</si>
  <si>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</si>
  <si>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</si>
  <si>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</si>
  <si>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</si>
  <si>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</si>
  <si>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</si>
  <si>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</si>
  <si>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</si>
  <si>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</si>
  <si>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</si>
  <si>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</si>
  <si>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</si>
  <si>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</si>
  <si>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</si>
  <si>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</si>
  <si>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</si>
  <si>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</si>
  <si>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</si>
  <si>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</si>
  <si>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</si>
  <si>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</si>
  <si>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</si>
  <si>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</si>
  <si>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</si>
  <si>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</si>
  <si>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</si>
  <si>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</si>
  <si>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</si>
  <si>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</si>
  <si>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</si>
  <si>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</si>
  <si>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</si>
  <si>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</si>
  <si>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</si>
  <si>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</si>
  <si>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</si>
  <si>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</si>
  <si>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</si>
  <si>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</si>
  <si>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</si>
  <si>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</si>
  <si>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</si>
  <si>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</si>
  <si>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</si>
  <si>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</si>
  <si>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</si>
  <si>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</si>
  <si>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</si>
  <si>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</si>
  <si>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</si>
  <si>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</si>
  <si>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</si>
  <si>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</si>
  <si>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</si>
  <si>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</si>
  <si>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</si>
  <si>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</si>
  <si>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</si>
  <si>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</si>
  <si>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</si>
  <si>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</si>
  <si>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</si>
  <si>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</si>
  <si>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</si>
  <si>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</si>
  <si>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</si>
  <si>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</si>
  <si>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</si>
  <si>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</si>
  <si>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</si>
  <si>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</si>
  <si>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</si>
  <si>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</si>
  <si>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</si>
  <si>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</si>
  <si>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</si>
  <si>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</si>
  <si>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</si>
  <si>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</si>
  <si>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</si>
  <si>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</si>
  <si>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</si>
  <si>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</si>
  <si>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</si>
  <si>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</si>
  <si>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</si>
  <si>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</si>
  <si>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</si>
  <si>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</si>
  <si>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</si>
  <si>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</si>
  <si>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</si>
  <si>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</si>
  <si>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</si>
  <si>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</si>
  <si>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</si>
  <si>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</si>
  <si>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</si>
  <si>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</si>
  <si>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</si>
  <si>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</si>
  <si>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</si>
  <si>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</si>
  <si>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</si>
  <si>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</si>
  <si>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</si>
  <si>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</si>
  <si>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</si>
  <si>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</si>
  <si>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</si>
  <si>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</si>
  <si>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</si>
  <si>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</si>
  <si>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</si>
  <si>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</si>
  <si>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</si>
  <si>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</si>
  <si>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Salvar Projetos/Atualizar Projetos</t>
  </si>
  <si>
    <t>Buscar Projetos</t>
  </si>
  <si>
    <t>Excluir Projetos</t>
  </si>
  <si>
    <t>Adicionar Tarefa ao Projeto</t>
  </si>
  <si>
    <t>Notificar Atraso do Projeto</t>
  </si>
  <si>
    <t>Riscos</t>
  </si>
  <si>
    <t>Salvar Risco/Atualizar Risco</t>
  </si>
  <si>
    <t>Buscar Risco</t>
  </si>
  <si>
    <t>Excluir Riscos</t>
  </si>
  <si>
    <t>Cronograma</t>
  </si>
  <si>
    <t>Adicionar Cronograma/Atualizar Cronograma</t>
  </si>
  <si>
    <t>Buscar Cronograma</t>
  </si>
  <si>
    <t>Excluir Cronograma</t>
  </si>
  <si>
    <t xml:space="preserve">Situação </t>
  </si>
  <si>
    <t>Salvar Situação/Atualizar Situação</t>
  </si>
  <si>
    <t>Excluir Situação</t>
  </si>
  <si>
    <t>Buscar Situação</t>
  </si>
  <si>
    <t>Marcos</t>
  </si>
  <si>
    <t>Adicionar Marcos/Atualizar Marcos</t>
  </si>
  <si>
    <t xml:space="preserve">Excluir Marcos </t>
  </si>
  <si>
    <t>Buscar Marcos</t>
  </si>
  <si>
    <t>Responsabilidades</t>
  </si>
  <si>
    <t>Salvar Responsabilidades/Atualizar Responsabilidades</t>
  </si>
  <si>
    <t>Buscar Responsabilidades</t>
  </si>
  <si>
    <t>Excluir Responsabilidades</t>
  </si>
  <si>
    <t>Pessoa</t>
  </si>
  <si>
    <t>Salvar Pessoa/Atualizar Pessoa</t>
  </si>
  <si>
    <t>Buscar Pessoa</t>
  </si>
  <si>
    <t>Excluir Pessoa</t>
  </si>
  <si>
    <t>Atualizar Senha</t>
  </si>
  <si>
    <t>Enviar e-mail</t>
  </si>
  <si>
    <t>Perfil de Acesso</t>
  </si>
  <si>
    <t>Salvar Perfil de Acesso/Atulizar Perfil de Acesso</t>
  </si>
  <si>
    <t>Buscar Perfil de Acesso</t>
  </si>
  <si>
    <t>Excluir Perfil de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</si>
</sst>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6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Border="1" applyAlignment="1" applyProtection="1"/>
    <xf numFmtId="166" fontId="5" fillId="0" borderId="14" xfId="2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1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2" applyNumberFormat="1" applyFont="1" applyBorder="1" applyAlignment="1" applyProtection="1">
      <alignment horizontal="center"/>
    </xf>
    <xf numFmtId="10" fontId="5" fillId="0" borderId="25" xfId="2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2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2" applyNumberFormat="1" applyFont="1" applyBorder="1" applyAlignment="1" applyProtection="1">
      <alignment horizontal="center"/>
    </xf>
    <xf numFmtId="10" fontId="5" fillId="0" borderId="0" xfId="2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FB5-49A5-958A-811B9BFEFC3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B5-49A5-958A-811B9BFEFC3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B5-49A5-958A-811B9BFEFC3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B5-49A5-958A-811B9BFEFC3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B5-49A5-958A-811B9BFEFC3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B5-49A5-958A-811B9BFEFC3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5-49A5-958A-811B9BFEFC3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B5-49A5-958A-811B9BFEFC3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5-49A5-958A-811B9BFEFC3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B5-49A5-958A-811B9BFEFC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0.37209302325581395</c:v>
                </c:pt>
                <c:pt idx="1">
                  <c:v>0</c:v>
                </c:pt>
                <c:pt idx="2">
                  <c:v>0.22093023255813954</c:v>
                </c:pt>
                <c:pt idx="3">
                  <c:v>0.40697674418604651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B5-49A5-958A-811B9BFE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B62413F0-58F7-4C51-8FD1-3C44F7D2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55A22522-4D7D-4206-84B8-572D6CE7518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F07634AD-FF63-435D-BAFB-9EF86F91C28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3071B94A-90C5-42AE-AA3E-793DB069306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9A9A1895-182D-4BB9-8067-7CE2CA68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E3CB0403-3957-4596-B8A0-FAEB7ABD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4142CFBD-BDE0-4889-8F83-E12E141D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C770DB23-E00D-4715-9FA8-8D083833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A5B3990F-E132-480C-A664-6F722885A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activeCell="B11" sqref="B11"/>
      <selection pane="bottomLeft" activeCell="A21" sqref="A21"/>
    </sheetView>
  </sheetViews>
  <sheetFormatPr defaultColWidth="8.85546875" defaultRowHeight="13.5" x14ac:dyDescent="0.2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2.75" x14ac:dyDescent="0.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2.75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x14ac:dyDescent="0.25">
      <c r="A4" s="124" t="s">
        <v>1</v>
      </c>
      <c r="B4" s="124"/>
      <c r="C4" s="124"/>
      <c r="D4" s="124"/>
      <c r="E4" s="124"/>
      <c r="F4" s="128"/>
      <c r="G4" s="128"/>
      <c r="H4" s="128"/>
      <c r="I4" s="128"/>
      <c r="J4" s="128"/>
      <c r="K4" s="128"/>
      <c r="L4" s="128"/>
      <c r="M4" s="128"/>
      <c r="N4" s="128"/>
      <c r="O4" s="134" t="s">
        <v>2</v>
      </c>
      <c r="P4" s="134"/>
      <c r="Q4" s="132">
        <f>Funções!L4</f>
        <v>172</v>
      </c>
      <c r="R4" s="132"/>
      <c r="S4" s="132"/>
      <c r="T4" s="132"/>
      <c r="U4" s="132"/>
      <c r="V4" s="132"/>
    </row>
    <row r="5" spans="1:22" x14ac:dyDescent="0.25">
      <c r="A5" s="124" t="s">
        <v>3</v>
      </c>
      <c r="B5" s="124"/>
      <c r="C5" s="124"/>
      <c r="D5" s="124"/>
      <c r="E5" s="124"/>
      <c r="F5" s="131"/>
      <c r="G5" s="128"/>
      <c r="H5" s="128"/>
      <c r="I5" s="128"/>
      <c r="J5" s="128"/>
      <c r="K5" s="128"/>
      <c r="L5" s="128"/>
      <c r="M5" s="128"/>
      <c r="N5" s="128"/>
      <c r="O5" s="129" t="s">
        <v>4</v>
      </c>
      <c r="P5" s="129"/>
      <c r="Q5" s="132">
        <f>Funções!L5</f>
        <v>172</v>
      </c>
      <c r="R5" s="132"/>
      <c r="S5" s="132"/>
      <c r="T5" s="132"/>
      <c r="U5" s="132"/>
      <c r="V5" s="132"/>
    </row>
    <row r="6" spans="1:22" x14ac:dyDescent="0.25">
      <c r="A6" s="124" t="s">
        <v>5</v>
      </c>
      <c r="B6" s="124"/>
      <c r="C6" s="124"/>
      <c r="D6" s="124"/>
      <c r="E6" s="124"/>
      <c r="F6" s="125"/>
      <c r="G6" s="125"/>
      <c r="H6" s="125"/>
      <c r="I6" s="125"/>
      <c r="J6" s="125"/>
      <c r="K6" s="125"/>
      <c r="L6" s="125"/>
      <c r="M6" s="125"/>
      <c r="N6" s="125"/>
      <c r="O6" s="129" t="s">
        <v>6</v>
      </c>
      <c r="P6" s="129"/>
      <c r="Q6" s="132">
        <f>Funções!L6</f>
        <v>0</v>
      </c>
      <c r="R6" s="132"/>
      <c r="S6" s="132"/>
      <c r="T6" s="132"/>
      <c r="U6" s="132"/>
      <c r="V6" s="132"/>
    </row>
    <row r="7" spans="1:22" ht="12.75" x14ac:dyDescent="0.2">
      <c r="A7" s="124" t="s">
        <v>7</v>
      </c>
      <c r="B7" s="124"/>
      <c r="C7" s="124"/>
      <c r="D7" s="124"/>
      <c r="E7" s="124"/>
      <c r="F7" s="128"/>
      <c r="G7" s="128"/>
      <c r="H7" s="128"/>
      <c r="I7" s="128"/>
      <c r="J7" s="128"/>
      <c r="K7" s="128"/>
      <c r="L7" s="128"/>
      <c r="M7" s="128"/>
      <c r="N7" s="128"/>
      <c r="O7" s="129" t="s">
        <v>8</v>
      </c>
      <c r="P7" s="129"/>
      <c r="Q7" s="129"/>
      <c r="R7" s="130"/>
      <c r="S7" s="130"/>
      <c r="T7" s="130"/>
      <c r="U7" s="130"/>
      <c r="V7" s="130"/>
    </row>
    <row r="8" spans="1:22" ht="12.75" x14ac:dyDescent="0.2">
      <c r="A8" s="124" t="s">
        <v>9</v>
      </c>
      <c r="B8" s="124"/>
      <c r="C8" s="124"/>
      <c r="D8" s="124"/>
      <c r="E8" s="124"/>
      <c r="F8" s="128"/>
      <c r="G8" s="128"/>
      <c r="H8" s="128"/>
      <c r="I8" s="128"/>
      <c r="J8" s="128"/>
      <c r="K8" s="128"/>
      <c r="L8" s="128"/>
      <c r="M8" s="128"/>
      <c r="N8" s="128"/>
      <c r="O8" s="129" t="s">
        <v>10</v>
      </c>
      <c r="P8" s="129"/>
      <c r="Q8" s="129"/>
      <c r="R8" s="130"/>
      <c r="S8" s="130"/>
      <c r="T8" s="130"/>
      <c r="U8" s="130"/>
      <c r="V8" s="130"/>
    </row>
    <row r="9" spans="1:22" x14ac:dyDescent="0.25">
      <c r="A9" s="124" t="s">
        <v>11</v>
      </c>
      <c r="B9" s="124"/>
      <c r="C9" s="124"/>
      <c r="D9" s="124"/>
      <c r="E9" s="124"/>
      <c r="F9" s="125"/>
      <c r="G9" s="125"/>
      <c r="H9" s="125"/>
      <c r="I9" s="125"/>
      <c r="J9" s="125"/>
      <c r="K9" s="125"/>
      <c r="L9" s="125"/>
      <c r="M9" s="125"/>
      <c r="N9" s="125"/>
      <c r="O9" s="126" t="s">
        <v>12</v>
      </c>
      <c r="P9" s="126"/>
      <c r="Q9" s="126"/>
      <c r="R9" s="127"/>
      <c r="S9" s="127"/>
      <c r="T9" s="127"/>
      <c r="U9" s="127"/>
      <c r="V9" s="127"/>
    </row>
    <row r="10" spans="1:22" x14ac:dyDescent="0.25">
      <c r="A10" s="124" t="s">
        <v>13</v>
      </c>
      <c r="B10" s="124"/>
      <c r="C10" s="124"/>
      <c r="D10" s="124"/>
      <c r="E10" s="124"/>
      <c r="F10" s="125"/>
      <c r="G10" s="125"/>
      <c r="H10" s="125"/>
      <c r="I10" s="125"/>
      <c r="J10" s="125"/>
      <c r="K10" s="125"/>
      <c r="L10" s="125"/>
      <c r="M10" s="125"/>
      <c r="N10" s="125"/>
      <c r="O10" s="126" t="s">
        <v>14</v>
      </c>
      <c r="P10" s="126"/>
      <c r="Q10" s="126"/>
      <c r="R10" s="127"/>
      <c r="S10" s="127"/>
      <c r="T10" s="127"/>
      <c r="U10" s="127"/>
      <c r="V10" s="127"/>
    </row>
    <row r="11" spans="1:22" x14ac:dyDescent="0.2">
      <c r="A11" s="122" t="s">
        <v>15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</row>
    <row r="12" spans="1:22" ht="12.75" x14ac:dyDescent="0.2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</row>
    <row r="13" spans="1:22" ht="12.75" x14ac:dyDescent="0.2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22" ht="12.75" x14ac:dyDescent="0.2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</row>
    <row r="15" spans="1:22" ht="12.75" x14ac:dyDescent="0.2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</row>
    <row r="16" spans="1:22" x14ac:dyDescent="0.2">
      <c r="A16" s="122" t="s">
        <v>16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</row>
    <row r="17" spans="1:22" ht="12.75" x14ac:dyDescent="0.2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</row>
    <row r="18" spans="1:22" ht="12.75" x14ac:dyDescent="0.2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2" ht="12.75" x14ac:dyDescent="0.2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</row>
    <row r="20" spans="1:22" ht="12.75" x14ac:dyDescent="0.2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</row>
    <row r="21" spans="1:22" x14ac:dyDescent="0.2">
      <c r="A21" s="122" t="s">
        <v>17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</row>
    <row r="22" spans="1:22" ht="12.75" x14ac:dyDescent="0.2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</row>
    <row r="23" spans="1:22" ht="12.75" x14ac:dyDescent="0.2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</row>
    <row r="24" spans="1:22" ht="12.75" x14ac:dyDescent="0.2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</row>
    <row r="25" spans="1:22" ht="12.75" x14ac:dyDescent="0.2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</row>
    <row r="26" spans="1:22" ht="12.75" x14ac:dyDescent="0.2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</row>
    <row r="27" spans="1:22" ht="12.75" x14ac:dyDescent="0.2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</row>
    <row r="28" spans="1:22" ht="12.75" x14ac:dyDescent="0.2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</row>
    <row r="29" spans="1:22" ht="12.75" x14ac:dyDescent="0.2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ht="12.75" x14ac:dyDescent="0.2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</row>
    <row r="31" spans="1:22" ht="12.75" x14ac:dyDescent="0.2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</row>
    <row r="32" spans="1:22" ht="12.75" x14ac:dyDescent="0.2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</row>
    <row r="33" spans="1:22" ht="12.75" x14ac:dyDescent="0.2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</row>
    <row r="34" spans="1:22" ht="12.75" x14ac:dyDescent="0.2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</row>
    <row r="35" spans="1:22" ht="12.75" x14ac:dyDescent="0.2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ht="12.75" x14ac:dyDescent="0.2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</row>
    <row r="37" spans="1:22" ht="12.75" x14ac:dyDescent="0.2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</row>
    <row r="38" spans="1:22" ht="12.75" x14ac:dyDescent="0.2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</row>
    <row r="39" spans="1:22" ht="12.75" x14ac:dyDescent="0.2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</row>
    <row r="40" spans="1:22" ht="12.75" x14ac:dyDescent="0.2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</row>
    <row r="41" spans="1:22" ht="12.75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</row>
    <row r="42" spans="1:22" ht="12.75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</row>
    <row r="43" spans="1:22" ht="12.75" x14ac:dyDescent="0.2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</row>
    <row r="44" spans="1:22" ht="12.75" x14ac:dyDescent="0.2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</row>
    <row r="45" spans="1:22" ht="12.75" x14ac:dyDescent="0.2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6"/>
  <sheetViews>
    <sheetView showGridLines="0" tabSelected="1" zoomScale="140" zoomScaleNormal="140" zoomScaleSheetLayoutView="100" workbookViewId="0">
      <pane ySplit="7" topLeftCell="A8" activePane="bottomLeft" state="frozen"/>
      <selection activeCell="B11" sqref="B11"/>
      <selection pane="bottomLeft" activeCell="E50" sqref="E50"/>
    </sheetView>
  </sheetViews>
  <sheetFormatPr defaultColWidth="8.85546875"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7.5703125" bestFit="1" customWidth="1"/>
    <col min="7" max="7" width="12" hidden="1" customWidth="1"/>
    <col min="8" max="8" width="12" customWidth="1"/>
    <col min="9" max="9" width="12.42578125" hidden="1" customWidth="1"/>
    <col min="10" max="10" width="0.28515625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39" t="s">
        <v>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ht="13.5" thickBo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15" x14ac:dyDescent="0.2">
      <c r="A4" s="3" t="str">
        <f>Contagem!A5&amp;" : "&amp;Contagem!F5</f>
        <v xml:space="preserve">Aplicação : </v>
      </c>
      <c r="B4" s="141" t="str">
        <f>Contagem!A8&amp;" : "&amp;Contagem!F8</f>
        <v xml:space="preserve">Projeto : </v>
      </c>
      <c r="C4" s="142"/>
      <c r="D4" s="142"/>
      <c r="E4" s="142"/>
      <c r="F4" s="142"/>
      <c r="G4" s="142"/>
      <c r="H4" s="142"/>
      <c r="I4" s="142"/>
      <c r="J4" s="143"/>
      <c r="K4" s="107" t="s">
        <v>2</v>
      </c>
      <c r="L4" s="110">
        <f>SUM(H8:H465)</f>
        <v>172</v>
      </c>
      <c r="M4" s="138"/>
      <c r="N4" s="138"/>
      <c r="O4" s="138"/>
    </row>
    <row r="5" spans="1:15" x14ac:dyDescent="0.2">
      <c r="A5" s="3" t="str">
        <f>Contagem!A9&amp;" : "&amp;Contagem!F9</f>
        <v xml:space="preserve">Responsável : </v>
      </c>
      <c r="B5" s="141" t="str">
        <f>Contagem!A10&amp;" : "&amp;Contagem!F10</f>
        <v xml:space="preserve">Revisor : </v>
      </c>
      <c r="C5" s="142"/>
      <c r="D5" s="142"/>
      <c r="E5" s="142"/>
      <c r="F5" s="142"/>
      <c r="G5" s="142"/>
      <c r="H5" s="142"/>
      <c r="I5" s="142"/>
      <c r="J5" s="143"/>
      <c r="K5" s="109" t="s">
        <v>4</v>
      </c>
      <c r="L5" s="110">
        <f>SUM(K8:K465)</f>
        <v>172</v>
      </c>
      <c r="M5" s="140"/>
      <c r="N5" s="140"/>
      <c r="O5" s="140"/>
    </row>
    <row r="6" spans="1:15" x14ac:dyDescent="0.2">
      <c r="A6" s="115" t="str">
        <f>Contagem!A4&amp;" : "&amp;Contagem!F4</f>
        <v xml:space="preserve">Empresa : </v>
      </c>
      <c r="B6" s="135" t="str">
        <f>"Tipo da Contagem : "&amp;Contagem!F6</f>
        <v xml:space="preserve">Tipo da Contagem : </v>
      </c>
      <c r="C6" s="136"/>
      <c r="D6" s="136"/>
      <c r="E6" s="136"/>
      <c r="F6" s="136"/>
      <c r="G6" s="136"/>
      <c r="H6" s="136"/>
      <c r="I6" s="136"/>
      <c r="J6" s="137"/>
      <c r="K6" s="108" t="s">
        <v>6</v>
      </c>
      <c r="L6" s="110">
        <f>SUM(L8:L465)</f>
        <v>0</v>
      </c>
      <c r="M6" s="138"/>
      <c r="N6" s="138"/>
      <c r="O6" s="138"/>
    </row>
    <row r="7" spans="1:15" ht="13.5" customHeight="1" x14ac:dyDescent="0.25">
      <c r="A7" s="114" t="s">
        <v>19</v>
      </c>
      <c r="B7" s="67" t="s">
        <v>20</v>
      </c>
      <c r="C7" s="68" t="s">
        <v>21</v>
      </c>
      <c r="D7" s="69" t="s">
        <v>22</v>
      </c>
      <c r="E7" s="69" t="s">
        <v>23</v>
      </c>
      <c r="F7" s="69" t="s">
        <v>24</v>
      </c>
      <c r="G7" s="70" t="s">
        <v>25</v>
      </c>
      <c r="H7" s="70" t="s">
        <v>2</v>
      </c>
      <c r="I7" s="118" t="s">
        <v>26</v>
      </c>
      <c r="J7" s="118" t="s">
        <v>27</v>
      </c>
      <c r="K7" s="70" t="s">
        <v>4</v>
      </c>
      <c r="L7" s="71" t="s">
        <v>6</v>
      </c>
      <c r="M7" s="72" t="s">
        <v>28</v>
      </c>
      <c r="N7" s="72" t="s">
        <v>29</v>
      </c>
      <c r="O7" s="73" t="s">
        <v>30</v>
      </c>
    </row>
    <row r="8" spans="1:15" x14ac:dyDescent="0.2">
      <c r="A8" s="119" t="s">
        <v>31</v>
      </c>
      <c r="B8" s="4" t="s">
        <v>32</v>
      </c>
      <c r="C8" s="4"/>
      <c r="D8" s="7">
        <v>6</v>
      </c>
      <c r="E8" s="7">
        <v>2</v>
      </c>
      <c r="F8" s="8" t="str">
        <f t="shared" ref="F8:F57" si="0">IF(ISBLANK(B8),"",IF(I8="L","Baixa",IF(I8="A","Média",IF(I8="","","Alta"))))</f>
        <v>Baixa</v>
      </c>
      <c r="G8" s="7" t="str">
        <f t="shared" ref="G8:G57" si="1">CONCATENATE(B8,I8)</f>
        <v>ALIL</v>
      </c>
      <c r="H8" s="5">
        <f t="shared" ref="H8:H57" si="2">IF(ISBLANK(B8),"",IF(B8="ALI",IF(I8="L",7,IF(I8="A",10,15)),IF(B8="AIE",IF(I8="L",5,IF(I8="A",7,10)),IF(B8="SE",IF(I8="L",4,IF(I8="A",5,7)),IF(OR(B8="EE",B8="CE"),IF(I8="L",3,IF(I8="A",4,6)),0)))))</f>
        <v>7</v>
      </c>
      <c r="I8" s="116" t="str">
        <f t="shared" ref="I8:I57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57" si="4">CONCATENATE(B8,C8)</f>
        <v>ALI</v>
      </c>
      <c r="K8" s="9">
        <f t="shared" ref="K8:K59" si="5">IF(OR(H8="",H8=0),L8,H8)</f>
        <v>7</v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19" t="s">
        <v>33</v>
      </c>
      <c r="B9" s="4" t="s">
        <v>34</v>
      </c>
      <c r="C9" s="4"/>
      <c r="D9" s="7">
        <v>6</v>
      </c>
      <c r="E9" s="7">
        <v>2</v>
      </c>
      <c r="F9" s="8" t="str">
        <f t="shared" si="0"/>
        <v>Média</v>
      </c>
      <c r="G9" s="7" t="str">
        <f t="shared" si="1"/>
        <v>EEA</v>
      </c>
      <c r="H9" s="5">
        <f t="shared" si="2"/>
        <v>4</v>
      </c>
      <c r="I9" s="116" t="str">
        <f t="shared" si="3"/>
        <v>A</v>
      </c>
      <c r="J9" s="7" t="str">
        <f t="shared" si="4"/>
        <v>EE</v>
      </c>
      <c r="K9" s="9">
        <f t="shared" si="5"/>
        <v>4</v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19" t="s">
        <v>35</v>
      </c>
      <c r="B10" s="4" t="s">
        <v>36</v>
      </c>
      <c r="C10" s="4"/>
      <c r="D10" s="7">
        <v>6</v>
      </c>
      <c r="E10" s="7">
        <v>2</v>
      </c>
      <c r="F10" s="8" t="str">
        <f t="shared" si="0"/>
        <v>Média</v>
      </c>
      <c r="G10" s="7" t="str">
        <f t="shared" si="1"/>
        <v>CEA</v>
      </c>
      <c r="H10" s="5">
        <f t="shared" si="2"/>
        <v>4</v>
      </c>
      <c r="I10" s="116" t="str">
        <f t="shared" si="3"/>
        <v>A</v>
      </c>
      <c r="J10" s="7" t="str">
        <f t="shared" si="4"/>
        <v>CE</v>
      </c>
      <c r="K10" s="9">
        <f t="shared" si="5"/>
        <v>4</v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19" t="s">
        <v>37</v>
      </c>
      <c r="B11" s="4" t="s">
        <v>32</v>
      </c>
      <c r="C11" s="4"/>
      <c r="D11" s="7">
        <v>4</v>
      </c>
      <c r="E11" s="7">
        <v>2</v>
      </c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16" t="str">
        <f t="shared" si="3"/>
        <v>L</v>
      </c>
      <c r="J11" s="7" t="str">
        <f t="shared" si="4"/>
        <v>ALI</v>
      </c>
      <c r="K11" s="9">
        <f t="shared" si="5"/>
        <v>7</v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19" t="s">
        <v>38</v>
      </c>
      <c r="B12" s="4" t="s">
        <v>34</v>
      </c>
      <c r="C12" s="4"/>
      <c r="D12" s="7">
        <v>4</v>
      </c>
      <c r="E12" s="7">
        <v>2</v>
      </c>
      <c r="F12" s="8" t="str">
        <f t="shared" si="0"/>
        <v>Baixa</v>
      </c>
      <c r="G12" s="7" t="str">
        <f t="shared" si="1"/>
        <v>EEL</v>
      </c>
      <c r="H12" s="5">
        <f t="shared" si="2"/>
        <v>3</v>
      </c>
      <c r="I12" s="116" t="str">
        <f t="shared" si="3"/>
        <v>L</v>
      </c>
      <c r="J12" s="7" t="str">
        <f t="shared" si="4"/>
        <v>EE</v>
      </c>
      <c r="K12" s="9">
        <f t="shared" si="5"/>
        <v>3</v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19" t="s">
        <v>39</v>
      </c>
      <c r="B13" s="4" t="s">
        <v>36</v>
      </c>
      <c r="C13" s="4"/>
      <c r="D13" s="7">
        <v>4</v>
      </c>
      <c r="E13" s="7">
        <v>2</v>
      </c>
      <c r="F13" s="8" t="str">
        <f t="shared" si="0"/>
        <v>Baixa</v>
      </c>
      <c r="G13" s="7" t="str">
        <f t="shared" si="1"/>
        <v>CEL</v>
      </c>
      <c r="H13" s="5">
        <f t="shared" si="2"/>
        <v>3</v>
      </c>
      <c r="I13" s="116" t="str">
        <f t="shared" si="3"/>
        <v>L</v>
      </c>
      <c r="J13" s="7" t="str">
        <f t="shared" si="4"/>
        <v>CE</v>
      </c>
      <c r="K13" s="9">
        <f t="shared" si="5"/>
        <v>3</v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19" t="s">
        <v>9</v>
      </c>
      <c r="B14" s="4" t="s">
        <v>32</v>
      </c>
      <c r="C14" s="4"/>
      <c r="D14" s="7">
        <v>12</v>
      </c>
      <c r="E14" s="7">
        <v>3</v>
      </c>
      <c r="F14" s="8" t="str">
        <f t="shared" si="0"/>
        <v>Baixa</v>
      </c>
      <c r="G14" s="7" t="str">
        <f t="shared" si="1"/>
        <v>ALIL</v>
      </c>
      <c r="H14" s="5">
        <f t="shared" si="2"/>
        <v>7</v>
      </c>
      <c r="I14" s="116" t="str">
        <f t="shared" si="3"/>
        <v>L</v>
      </c>
      <c r="J14" s="7" t="str">
        <f t="shared" si="4"/>
        <v>ALI</v>
      </c>
      <c r="K14" s="9">
        <f t="shared" si="5"/>
        <v>7</v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19" t="s">
        <v>176</v>
      </c>
      <c r="B15" s="4" t="s">
        <v>34</v>
      </c>
      <c r="C15" s="4"/>
      <c r="D15" s="7">
        <v>12</v>
      </c>
      <c r="E15" s="7">
        <v>1</v>
      </c>
      <c r="F15" s="8" t="str">
        <f t="shared" si="0"/>
        <v>Baixa</v>
      </c>
      <c r="G15" s="7" t="str">
        <f t="shared" si="1"/>
        <v>EEL</v>
      </c>
      <c r="H15" s="5">
        <f t="shared" si="2"/>
        <v>3</v>
      </c>
      <c r="I15" s="116" t="str">
        <f t="shared" si="3"/>
        <v>L</v>
      </c>
      <c r="J15" s="7" t="str">
        <f t="shared" si="4"/>
        <v>EE</v>
      </c>
      <c r="K15" s="9">
        <f t="shared" si="5"/>
        <v>3</v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 x14ac:dyDescent="0.2">
      <c r="A16" s="119" t="s">
        <v>177</v>
      </c>
      <c r="B16" s="4" t="s">
        <v>36</v>
      </c>
      <c r="C16" s="4"/>
      <c r="D16" s="7">
        <v>12</v>
      </c>
      <c r="E16" s="7">
        <v>1</v>
      </c>
      <c r="F16" s="8" t="str">
        <f t="shared" si="0"/>
        <v>Baixa</v>
      </c>
      <c r="G16" s="7" t="str">
        <f t="shared" si="1"/>
        <v>CEL</v>
      </c>
      <c r="H16" s="5">
        <f t="shared" si="2"/>
        <v>3</v>
      </c>
      <c r="I16" s="116" t="str">
        <f t="shared" si="3"/>
        <v>L</v>
      </c>
      <c r="J16" s="7" t="str">
        <f t="shared" si="4"/>
        <v>CE</v>
      </c>
      <c r="K16" s="9">
        <f t="shared" si="5"/>
        <v>3</v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19" t="s">
        <v>178</v>
      </c>
      <c r="B17" s="4" t="s">
        <v>34</v>
      </c>
      <c r="C17" s="4"/>
      <c r="D17" s="7">
        <v>12</v>
      </c>
      <c r="E17" s="7">
        <v>1</v>
      </c>
      <c r="F17" s="8" t="str">
        <f t="shared" si="0"/>
        <v>Baixa</v>
      </c>
      <c r="G17" s="7" t="str">
        <f t="shared" si="1"/>
        <v>EEL</v>
      </c>
      <c r="H17" s="5">
        <f t="shared" si="2"/>
        <v>3</v>
      </c>
      <c r="I17" s="116" t="str">
        <f t="shared" si="3"/>
        <v>L</v>
      </c>
      <c r="J17" s="7" t="str">
        <f t="shared" si="4"/>
        <v>EE</v>
      </c>
      <c r="K17" s="9">
        <f t="shared" si="5"/>
        <v>3</v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19" t="s">
        <v>179</v>
      </c>
      <c r="B18" s="4" t="s">
        <v>34</v>
      </c>
      <c r="C18" s="4"/>
      <c r="D18" s="7">
        <v>7</v>
      </c>
      <c r="E18" s="7">
        <v>2</v>
      </c>
      <c r="F18" s="8" t="str">
        <f t="shared" si="0"/>
        <v>Média</v>
      </c>
      <c r="G18" s="7" t="str">
        <f t="shared" si="1"/>
        <v>EEA</v>
      </c>
      <c r="H18" s="5">
        <f t="shared" si="2"/>
        <v>4</v>
      </c>
      <c r="I18" s="116" t="str">
        <f t="shared" si="3"/>
        <v>A</v>
      </c>
      <c r="J18" s="7" t="str">
        <f t="shared" si="4"/>
        <v>EE</v>
      </c>
      <c r="K18" s="9">
        <f t="shared" si="5"/>
        <v>4</v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19" t="s">
        <v>180</v>
      </c>
      <c r="B19" s="4" t="s">
        <v>36</v>
      </c>
      <c r="C19" s="4"/>
      <c r="D19" s="7">
        <v>1</v>
      </c>
      <c r="E19" s="7">
        <v>1</v>
      </c>
      <c r="F19" s="8" t="str">
        <f t="shared" si="0"/>
        <v>Baixa</v>
      </c>
      <c r="G19" s="7" t="str">
        <f t="shared" si="1"/>
        <v>CEL</v>
      </c>
      <c r="H19" s="5">
        <f t="shared" si="2"/>
        <v>3</v>
      </c>
      <c r="I19" s="116" t="str">
        <f t="shared" si="3"/>
        <v>L</v>
      </c>
      <c r="J19" s="7" t="str">
        <f t="shared" si="4"/>
        <v>CE</v>
      </c>
      <c r="K19" s="9">
        <f t="shared" si="5"/>
        <v>3</v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">
      <c r="A20" s="119" t="s">
        <v>181</v>
      </c>
      <c r="B20" s="4" t="s">
        <v>32</v>
      </c>
      <c r="C20" s="4"/>
      <c r="D20" s="7">
        <v>4</v>
      </c>
      <c r="E20" s="7">
        <v>2</v>
      </c>
      <c r="F20" s="8" t="str">
        <f t="shared" si="0"/>
        <v>Baixa</v>
      </c>
      <c r="G20" s="7" t="str">
        <f t="shared" si="1"/>
        <v>ALIL</v>
      </c>
      <c r="H20" s="5">
        <f t="shared" si="2"/>
        <v>7</v>
      </c>
      <c r="I20" s="116" t="str">
        <f t="shared" si="3"/>
        <v>L</v>
      </c>
      <c r="J20" s="7" t="str">
        <f t="shared" si="4"/>
        <v>ALI</v>
      </c>
      <c r="K20" s="9">
        <f t="shared" si="5"/>
        <v>7</v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19" t="s">
        <v>182</v>
      </c>
      <c r="B21" s="4" t="s">
        <v>34</v>
      </c>
      <c r="C21" s="4"/>
      <c r="D21" s="7">
        <v>4</v>
      </c>
      <c r="E21" s="7">
        <v>2</v>
      </c>
      <c r="F21" s="8" t="str">
        <f t="shared" si="0"/>
        <v>Baixa</v>
      </c>
      <c r="G21" s="7" t="str">
        <f t="shared" si="1"/>
        <v>EEL</v>
      </c>
      <c r="H21" s="5">
        <f t="shared" si="2"/>
        <v>3</v>
      </c>
      <c r="I21" s="116" t="str">
        <f t="shared" si="3"/>
        <v>L</v>
      </c>
      <c r="J21" s="7" t="str">
        <f t="shared" si="4"/>
        <v>EE</v>
      </c>
      <c r="K21" s="9">
        <f t="shared" si="5"/>
        <v>3</v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">
      <c r="A22" s="119" t="s">
        <v>183</v>
      </c>
      <c r="B22" s="4" t="s">
        <v>36</v>
      </c>
      <c r="C22" s="4"/>
      <c r="D22" s="7">
        <v>4</v>
      </c>
      <c r="E22" s="7">
        <v>2</v>
      </c>
      <c r="F22" s="8" t="str">
        <f t="shared" si="0"/>
        <v>Baixa</v>
      </c>
      <c r="G22" s="7" t="str">
        <f t="shared" si="1"/>
        <v>CEL</v>
      </c>
      <c r="H22" s="5">
        <f t="shared" si="2"/>
        <v>3</v>
      </c>
      <c r="I22" s="116" t="str">
        <f t="shared" si="3"/>
        <v>L</v>
      </c>
      <c r="J22" s="7" t="str">
        <f t="shared" si="4"/>
        <v>CE</v>
      </c>
      <c r="K22" s="9">
        <f t="shared" si="5"/>
        <v>3</v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19" t="s">
        <v>184</v>
      </c>
      <c r="B23" s="4" t="s">
        <v>34</v>
      </c>
      <c r="C23" s="4"/>
      <c r="D23" s="7">
        <v>4</v>
      </c>
      <c r="E23" s="7">
        <v>2</v>
      </c>
      <c r="F23" s="8" t="str">
        <f t="shared" si="0"/>
        <v>Baixa</v>
      </c>
      <c r="G23" s="7" t="str">
        <f t="shared" si="1"/>
        <v>EEL</v>
      </c>
      <c r="H23" s="5">
        <f t="shared" si="2"/>
        <v>3</v>
      </c>
      <c r="I23" s="116" t="str">
        <f t="shared" si="3"/>
        <v>L</v>
      </c>
      <c r="J23" s="7" t="str">
        <f t="shared" si="4"/>
        <v>EE</v>
      </c>
      <c r="K23" s="9">
        <f t="shared" si="5"/>
        <v>3</v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19" t="s">
        <v>185</v>
      </c>
      <c r="B24" s="4" t="s">
        <v>32</v>
      </c>
      <c r="C24" s="4"/>
      <c r="D24" s="7">
        <v>5</v>
      </c>
      <c r="E24" s="7">
        <v>1</v>
      </c>
      <c r="F24" s="8" t="str">
        <f t="shared" si="0"/>
        <v>Baixa</v>
      </c>
      <c r="G24" s="7" t="str">
        <f t="shared" si="1"/>
        <v>ALIL</v>
      </c>
      <c r="H24" s="5">
        <f t="shared" si="2"/>
        <v>7</v>
      </c>
      <c r="I24" s="116" t="str">
        <f t="shared" si="3"/>
        <v>L</v>
      </c>
      <c r="J24" s="7" t="str">
        <f t="shared" si="4"/>
        <v>ALI</v>
      </c>
      <c r="K24" s="9">
        <f t="shared" si="5"/>
        <v>7</v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19" t="s">
        <v>186</v>
      </c>
      <c r="B25" s="4" t="s">
        <v>34</v>
      </c>
      <c r="C25" s="4"/>
      <c r="D25" s="7">
        <v>5</v>
      </c>
      <c r="E25" s="7">
        <v>1</v>
      </c>
      <c r="F25" s="8" t="str">
        <f t="shared" si="0"/>
        <v>Baixa</v>
      </c>
      <c r="G25" s="7" t="str">
        <f t="shared" si="1"/>
        <v>EEL</v>
      </c>
      <c r="H25" s="5">
        <f t="shared" si="2"/>
        <v>3</v>
      </c>
      <c r="I25" s="116" t="str">
        <f t="shared" si="3"/>
        <v>L</v>
      </c>
      <c r="J25" s="7" t="str">
        <f t="shared" si="4"/>
        <v>EE</v>
      </c>
      <c r="K25" s="9">
        <f t="shared" si="5"/>
        <v>3</v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19" t="s">
        <v>187</v>
      </c>
      <c r="B26" s="4" t="s">
        <v>36</v>
      </c>
      <c r="C26" s="4"/>
      <c r="D26" s="7">
        <v>5</v>
      </c>
      <c r="E26" s="7">
        <v>1</v>
      </c>
      <c r="F26" s="8" t="str">
        <f t="shared" si="0"/>
        <v>Baixa</v>
      </c>
      <c r="G26" s="7" t="str">
        <f t="shared" si="1"/>
        <v>CEL</v>
      </c>
      <c r="H26" s="5">
        <f t="shared" si="2"/>
        <v>3</v>
      </c>
      <c r="I26" s="116" t="str">
        <f t="shared" si="3"/>
        <v>L</v>
      </c>
      <c r="J26" s="7" t="str">
        <f t="shared" si="4"/>
        <v>CE</v>
      </c>
      <c r="K26" s="9">
        <f t="shared" si="5"/>
        <v>3</v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19" t="s">
        <v>188</v>
      </c>
      <c r="B27" s="4" t="s">
        <v>34</v>
      </c>
      <c r="C27" s="4"/>
      <c r="D27" s="7">
        <v>5</v>
      </c>
      <c r="E27" s="7">
        <v>1</v>
      </c>
      <c r="F27" s="8" t="str">
        <f t="shared" si="0"/>
        <v>Baixa</v>
      </c>
      <c r="G27" s="7" t="str">
        <f t="shared" si="1"/>
        <v>EEL</v>
      </c>
      <c r="H27" s="5">
        <f t="shared" si="2"/>
        <v>3</v>
      </c>
      <c r="I27" s="116" t="str">
        <f t="shared" si="3"/>
        <v>L</v>
      </c>
      <c r="J27" s="7" t="str">
        <f t="shared" si="4"/>
        <v>EE</v>
      </c>
      <c r="K27" s="9">
        <f t="shared" si="5"/>
        <v>3</v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19" t="s">
        <v>189</v>
      </c>
      <c r="B28" s="4" t="s">
        <v>32</v>
      </c>
      <c r="C28" s="4"/>
      <c r="D28" s="7">
        <v>3</v>
      </c>
      <c r="E28" s="7">
        <v>1</v>
      </c>
      <c r="F28" s="8" t="str">
        <f t="shared" si="0"/>
        <v>Baixa</v>
      </c>
      <c r="G28" s="7" t="str">
        <f t="shared" si="1"/>
        <v>ALIL</v>
      </c>
      <c r="H28" s="5">
        <f t="shared" si="2"/>
        <v>7</v>
      </c>
      <c r="I28" s="116" t="str">
        <f t="shared" si="3"/>
        <v>L</v>
      </c>
      <c r="J28" s="7" t="str">
        <f t="shared" si="4"/>
        <v>ALI</v>
      </c>
      <c r="K28" s="9">
        <f t="shared" si="5"/>
        <v>7</v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19" t="s">
        <v>190</v>
      </c>
      <c r="B29" s="4" t="s">
        <v>34</v>
      </c>
      <c r="C29" s="4"/>
      <c r="D29" s="7">
        <v>3</v>
      </c>
      <c r="E29" s="7">
        <v>1</v>
      </c>
      <c r="F29" s="8" t="str">
        <f t="shared" si="0"/>
        <v>Baixa</v>
      </c>
      <c r="G29" s="7" t="str">
        <f t="shared" si="1"/>
        <v>EEL</v>
      </c>
      <c r="H29" s="5">
        <f t="shared" si="2"/>
        <v>3</v>
      </c>
      <c r="I29" s="116" t="str">
        <f t="shared" si="3"/>
        <v>L</v>
      </c>
      <c r="J29" s="7" t="str">
        <f t="shared" si="4"/>
        <v>EE</v>
      </c>
      <c r="K29" s="9">
        <f t="shared" si="5"/>
        <v>3</v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19" t="s">
        <v>191</v>
      </c>
      <c r="B30" s="4" t="s">
        <v>34</v>
      </c>
      <c r="C30" s="4"/>
      <c r="D30" s="7">
        <v>3</v>
      </c>
      <c r="E30" s="7">
        <v>1</v>
      </c>
      <c r="F30" s="8" t="str">
        <f t="shared" si="0"/>
        <v>Baixa</v>
      </c>
      <c r="G30" s="7" t="str">
        <f t="shared" si="1"/>
        <v>EEL</v>
      </c>
      <c r="H30" s="5">
        <f t="shared" si="2"/>
        <v>3</v>
      </c>
      <c r="I30" s="116" t="str">
        <f t="shared" si="3"/>
        <v>L</v>
      </c>
      <c r="J30" s="7" t="str">
        <f t="shared" si="4"/>
        <v>EE</v>
      </c>
      <c r="K30" s="9">
        <f t="shared" si="5"/>
        <v>3</v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19" t="s">
        <v>192</v>
      </c>
      <c r="B31" s="4" t="s">
        <v>36</v>
      </c>
      <c r="C31" s="4"/>
      <c r="D31" s="7">
        <v>3</v>
      </c>
      <c r="E31" s="7">
        <v>1</v>
      </c>
      <c r="F31" s="8" t="str">
        <f t="shared" si="0"/>
        <v>Baixa</v>
      </c>
      <c r="G31" s="7" t="str">
        <f t="shared" si="1"/>
        <v>CEL</v>
      </c>
      <c r="H31" s="5">
        <f t="shared" si="2"/>
        <v>3</v>
      </c>
      <c r="I31" s="116" t="str">
        <f t="shared" si="3"/>
        <v>L</v>
      </c>
      <c r="J31" s="7" t="str">
        <f t="shared" si="4"/>
        <v>CE</v>
      </c>
      <c r="K31" s="9">
        <f t="shared" si="5"/>
        <v>3</v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19" t="s">
        <v>193</v>
      </c>
      <c r="B32" s="4" t="s">
        <v>32</v>
      </c>
      <c r="C32" s="4"/>
      <c r="D32" s="7">
        <v>2</v>
      </c>
      <c r="E32" s="7">
        <v>1</v>
      </c>
      <c r="F32" s="8" t="str">
        <f t="shared" si="0"/>
        <v>Baixa</v>
      </c>
      <c r="G32" s="7" t="str">
        <f t="shared" si="1"/>
        <v>ALIL</v>
      </c>
      <c r="H32" s="5">
        <f t="shared" si="2"/>
        <v>7</v>
      </c>
      <c r="I32" s="116" t="str">
        <f t="shared" si="3"/>
        <v>L</v>
      </c>
      <c r="J32" s="7" t="str">
        <f t="shared" si="4"/>
        <v>ALI</v>
      </c>
      <c r="K32" s="9">
        <f t="shared" si="5"/>
        <v>7</v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19" t="s">
        <v>194</v>
      </c>
      <c r="B33" s="4" t="s">
        <v>34</v>
      </c>
      <c r="C33" s="4"/>
      <c r="D33" s="7">
        <v>2</v>
      </c>
      <c r="E33" s="7">
        <v>1</v>
      </c>
      <c r="F33" s="8" t="str">
        <f t="shared" si="0"/>
        <v>Baixa</v>
      </c>
      <c r="G33" s="7" t="str">
        <f t="shared" si="1"/>
        <v>EEL</v>
      </c>
      <c r="H33" s="5">
        <f t="shared" si="2"/>
        <v>3</v>
      </c>
      <c r="I33" s="116" t="str">
        <f t="shared" si="3"/>
        <v>L</v>
      </c>
      <c r="J33" s="7" t="str">
        <f t="shared" si="4"/>
        <v>EE</v>
      </c>
      <c r="K33" s="9">
        <f t="shared" si="5"/>
        <v>3</v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19" t="s">
        <v>195</v>
      </c>
      <c r="B34" s="4" t="s">
        <v>34</v>
      </c>
      <c r="C34" s="4"/>
      <c r="D34" s="7">
        <v>2</v>
      </c>
      <c r="E34" s="7">
        <v>1</v>
      </c>
      <c r="F34" s="8" t="str">
        <f t="shared" si="0"/>
        <v>Baixa</v>
      </c>
      <c r="G34" s="7" t="str">
        <f t="shared" si="1"/>
        <v>EEL</v>
      </c>
      <c r="H34" s="5">
        <f t="shared" si="2"/>
        <v>3</v>
      </c>
      <c r="I34" s="116" t="str">
        <f t="shared" si="3"/>
        <v>L</v>
      </c>
      <c r="J34" s="7" t="str">
        <f t="shared" si="4"/>
        <v>EE</v>
      </c>
      <c r="K34" s="9">
        <f t="shared" si="5"/>
        <v>3</v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19" t="s">
        <v>196</v>
      </c>
      <c r="B35" s="4" t="s">
        <v>36</v>
      </c>
      <c r="C35" s="4"/>
      <c r="D35" s="7">
        <v>2</v>
      </c>
      <c r="E35" s="7">
        <v>1</v>
      </c>
      <c r="F35" s="8" t="str">
        <f t="shared" si="0"/>
        <v>Baixa</v>
      </c>
      <c r="G35" s="7" t="str">
        <f t="shared" si="1"/>
        <v>CEL</v>
      </c>
      <c r="H35" s="5">
        <f t="shared" si="2"/>
        <v>3</v>
      </c>
      <c r="I35" s="116" t="str">
        <f t="shared" si="3"/>
        <v>L</v>
      </c>
      <c r="J35" s="7" t="str">
        <f t="shared" si="4"/>
        <v>CE</v>
      </c>
      <c r="K35" s="9">
        <f t="shared" si="5"/>
        <v>3</v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19" t="s">
        <v>197</v>
      </c>
      <c r="B36" s="4" t="s">
        <v>32</v>
      </c>
      <c r="C36" s="4"/>
      <c r="D36" s="7">
        <v>4</v>
      </c>
      <c r="E36" s="7">
        <v>2</v>
      </c>
      <c r="F36" s="8" t="str">
        <f t="shared" si="0"/>
        <v>Baixa</v>
      </c>
      <c r="G36" s="7" t="str">
        <f t="shared" si="1"/>
        <v>ALIL</v>
      </c>
      <c r="H36" s="5">
        <f t="shared" si="2"/>
        <v>7</v>
      </c>
      <c r="I36" s="116" t="str">
        <f t="shared" si="3"/>
        <v>L</v>
      </c>
      <c r="J36" s="7" t="str">
        <f t="shared" si="4"/>
        <v>ALI</v>
      </c>
      <c r="K36" s="9">
        <f t="shared" si="5"/>
        <v>7</v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19" t="s">
        <v>198</v>
      </c>
      <c r="B37" s="4" t="s">
        <v>34</v>
      </c>
      <c r="C37" s="4"/>
      <c r="D37" s="7">
        <v>4</v>
      </c>
      <c r="E37" s="7">
        <v>2</v>
      </c>
      <c r="F37" s="8" t="str">
        <f t="shared" si="0"/>
        <v>Baixa</v>
      </c>
      <c r="G37" s="7" t="str">
        <f t="shared" si="1"/>
        <v>EEL</v>
      </c>
      <c r="H37" s="5">
        <f t="shared" si="2"/>
        <v>3</v>
      </c>
      <c r="I37" s="116" t="str">
        <f t="shared" si="3"/>
        <v>L</v>
      </c>
      <c r="J37" s="7" t="str">
        <f t="shared" si="4"/>
        <v>EE</v>
      </c>
      <c r="K37" s="9">
        <f t="shared" si="5"/>
        <v>3</v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19" t="s">
        <v>199</v>
      </c>
      <c r="B38" s="4" t="s">
        <v>36</v>
      </c>
      <c r="C38" s="4"/>
      <c r="D38" s="7">
        <v>4</v>
      </c>
      <c r="E38" s="7">
        <v>2</v>
      </c>
      <c r="F38" s="8" t="str">
        <f t="shared" si="0"/>
        <v>Baixa</v>
      </c>
      <c r="G38" s="7" t="str">
        <f t="shared" si="1"/>
        <v>CEL</v>
      </c>
      <c r="H38" s="5">
        <f t="shared" si="2"/>
        <v>3</v>
      </c>
      <c r="I38" s="116" t="str">
        <f t="shared" si="3"/>
        <v>L</v>
      </c>
      <c r="J38" s="7" t="str">
        <f t="shared" si="4"/>
        <v>CE</v>
      </c>
      <c r="K38" s="9">
        <f t="shared" si="5"/>
        <v>3</v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19" t="s">
        <v>200</v>
      </c>
      <c r="B39" s="4" t="s">
        <v>34</v>
      </c>
      <c r="C39" s="4"/>
      <c r="D39" s="7">
        <v>4</v>
      </c>
      <c r="E39" s="7">
        <v>2</v>
      </c>
      <c r="F39" s="8" t="str">
        <f t="shared" si="0"/>
        <v>Baixa</v>
      </c>
      <c r="G39" s="7" t="str">
        <f t="shared" si="1"/>
        <v>EEL</v>
      </c>
      <c r="H39" s="5">
        <f t="shared" si="2"/>
        <v>3</v>
      </c>
      <c r="I39" s="116" t="str">
        <f t="shared" si="3"/>
        <v>L</v>
      </c>
      <c r="J39" s="7" t="str">
        <f t="shared" si="4"/>
        <v>EE</v>
      </c>
      <c r="K39" s="9">
        <f t="shared" si="5"/>
        <v>3</v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19" t="s">
        <v>201</v>
      </c>
      <c r="B40" s="4" t="s">
        <v>32</v>
      </c>
      <c r="C40" s="4"/>
      <c r="D40" s="7">
        <v>10</v>
      </c>
      <c r="E40" s="7">
        <v>2</v>
      </c>
      <c r="F40" s="8" t="str">
        <f t="shared" si="0"/>
        <v>Baixa</v>
      </c>
      <c r="G40" s="7" t="str">
        <f t="shared" si="1"/>
        <v>ALIL</v>
      </c>
      <c r="H40" s="5">
        <f t="shared" si="2"/>
        <v>7</v>
      </c>
      <c r="I40" s="116" t="str">
        <f t="shared" si="3"/>
        <v>L</v>
      </c>
      <c r="J40" s="7" t="str">
        <f t="shared" si="4"/>
        <v>ALI</v>
      </c>
      <c r="K40" s="9">
        <f t="shared" si="5"/>
        <v>7</v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19" t="s">
        <v>202</v>
      </c>
      <c r="B41" s="4" t="s">
        <v>34</v>
      </c>
      <c r="C41" s="4"/>
      <c r="D41" s="7">
        <v>10</v>
      </c>
      <c r="E41" s="7">
        <v>2</v>
      </c>
      <c r="F41" s="8" t="str">
        <f t="shared" si="0"/>
        <v>Média</v>
      </c>
      <c r="G41" s="7" t="str">
        <f t="shared" si="1"/>
        <v>EEA</v>
      </c>
      <c r="H41" s="5">
        <f t="shared" si="2"/>
        <v>4</v>
      </c>
      <c r="I41" s="116" t="str">
        <f t="shared" si="3"/>
        <v>A</v>
      </c>
      <c r="J41" s="7" t="str">
        <f t="shared" si="4"/>
        <v>EE</v>
      </c>
      <c r="K41" s="9">
        <f t="shared" si="5"/>
        <v>4</v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19" t="s">
        <v>203</v>
      </c>
      <c r="B42" s="4" t="s">
        <v>36</v>
      </c>
      <c r="C42" s="4"/>
      <c r="D42" s="7">
        <v>10</v>
      </c>
      <c r="E42" s="7">
        <v>2</v>
      </c>
      <c r="F42" s="8" t="str">
        <f t="shared" si="0"/>
        <v>Média</v>
      </c>
      <c r="G42" s="7" t="str">
        <f t="shared" si="1"/>
        <v>CEA</v>
      </c>
      <c r="H42" s="5">
        <f t="shared" si="2"/>
        <v>4</v>
      </c>
      <c r="I42" s="116" t="str">
        <f t="shared" si="3"/>
        <v>A</v>
      </c>
      <c r="J42" s="7" t="str">
        <f t="shared" si="4"/>
        <v>CE</v>
      </c>
      <c r="K42" s="9">
        <f t="shared" si="5"/>
        <v>4</v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19" t="s">
        <v>204</v>
      </c>
      <c r="B43" s="4" t="s">
        <v>34</v>
      </c>
      <c r="C43" s="4"/>
      <c r="D43" s="7">
        <v>10</v>
      </c>
      <c r="E43" s="7">
        <v>2</v>
      </c>
      <c r="F43" s="8" t="str">
        <f t="shared" si="0"/>
        <v>Média</v>
      </c>
      <c r="G43" s="7" t="str">
        <f t="shared" si="1"/>
        <v>EEA</v>
      </c>
      <c r="H43" s="5">
        <f t="shared" si="2"/>
        <v>4</v>
      </c>
      <c r="I43" s="116" t="str">
        <f t="shared" si="3"/>
        <v>A</v>
      </c>
      <c r="J43" s="7" t="str">
        <f t="shared" si="4"/>
        <v>EE</v>
      </c>
      <c r="K43" s="9">
        <f t="shared" si="5"/>
        <v>4</v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19" t="s">
        <v>205</v>
      </c>
      <c r="B44" s="4" t="s">
        <v>34</v>
      </c>
      <c r="C44" s="4"/>
      <c r="D44" s="7">
        <v>3</v>
      </c>
      <c r="E44" s="7">
        <v>1</v>
      </c>
      <c r="F44" s="8" t="str">
        <f t="shared" si="0"/>
        <v>Baixa</v>
      </c>
      <c r="G44" s="7" t="str">
        <f t="shared" si="1"/>
        <v>EEL</v>
      </c>
      <c r="H44" s="5">
        <f t="shared" si="2"/>
        <v>3</v>
      </c>
      <c r="I44" s="116" t="str">
        <f t="shared" si="3"/>
        <v>L</v>
      </c>
      <c r="J44" s="7" t="str">
        <f t="shared" si="4"/>
        <v>EE</v>
      </c>
      <c r="K44" s="9">
        <f t="shared" si="5"/>
        <v>3</v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19" t="s">
        <v>206</v>
      </c>
      <c r="B45" s="4" t="s">
        <v>36</v>
      </c>
      <c r="C45" s="4"/>
      <c r="D45" s="7">
        <v>1</v>
      </c>
      <c r="E45" s="7">
        <v>1</v>
      </c>
      <c r="F45" s="8" t="str">
        <f t="shared" si="0"/>
        <v>Baixa</v>
      </c>
      <c r="G45" s="7" t="str">
        <f t="shared" si="1"/>
        <v>CEL</v>
      </c>
      <c r="H45" s="5">
        <f t="shared" si="2"/>
        <v>3</v>
      </c>
      <c r="I45" s="116" t="str">
        <f t="shared" si="3"/>
        <v>L</v>
      </c>
      <c r="J45" s="7" t="str">
        <f t="shared" si="4"/>
        <v>CE</v>
      </c>
      <c r="K45" s="9">
        <f t="shared" si="5"/>
        <v>3</v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19" t="s">
        <v>207</v>
      </c>
      <c r="B46" s="4" t="s">
        <v>32</v>
      </c>
      <c r="C46" s="4"/>
      <c r="D46" s="7">
        <v>3</v>
      </c>
      <c r="E46" s="7">
        <v>2</v>
      </c>
      <c r="F46" s="8" t="str">
        <f t="shared" si="0"/>
        <v>Baixa</v>
      </c>
      <c r="G46" s="7" t="str">
        <f t="shared" si="1"/>
        <v>ALIL</v>
      </c>
      <c r="H46" s="5">
        <f t="shared" si="2"/>
        <v>7</v>
      </c>
      <c r="I46" s="116" t="str">
        <f t="shared" si="3"/>
        <v>L</v>
      </c>
      <c r="J46" s="7" t="str">
        <f t="shared" si="4"/>
        <v>ALI</v>
      </c>
      <c r="K46" s="9">
        <f t="shared" si="5"/>
        <v>7</v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19" t="s">
        <v>208</v>
      </c>
      <c r="B47" s="4" t="s">
        <v>34</v>
      </c>
      <c r="C47" s="4"/>
      <c r="D47" s="7">
        <v>3</v>
      </c>
      <c r="E47" s="7">
        <v>2</v>
      </c>
      <c r="F47" s="8" t="str">
        <f t="shared" si="0"/>
        <v>Baixa</v>
      </c>
      <c r="G47" s="7" t="str">
        <f t="shared" si="1"/>
        <v>EEL</v>
      </c>
      <c r="H47" s="5">
        <f t="shared" si="2"/>
        <v>3</v>
      </c>
      <c r="I47" s="116" t="str">
        <f t="shared" si="3"/>
        <v>L</v>
      </c>
      <c r="J47" s="7" t="str">
        <f t="shared" si="4"/>
        <v>EE</v>
      </c>
      <c r="K47" s="9">
        <f t="shared" si="5"/>
        <v>3</v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19" t="s">
        <v>209</v>
      </c>
      <c r="B48" s="4" t="s">
        <v>36</v>
      </c>
      <c r="C48" s="4"/>
      <c r="D48" s="7">
        <v>3</v>
      </c>
      <c r="E48" s="7">
        <v>2</v>
      </c>
      <c r="F48" s="8" t="str">
        <f t="shared" si="0"/>
        <v>Baixa</v>
      </c>
      <c r="G48" s="7" t="str">
        <f t="shared" si="1"/>
        <v>CEL</v>
      </c>
      <c r="H48" s="5">
        <f t="shared" si="2"/>
        <v>3</v>
      </c>
      <c r="I48" s="116" t="str">
        <f t="shared" si="3"/>
        <v>L</v>
      </c>
      <c r="J48" s="7" t="str">
        <f t="shared" si="4"/>
        <v>CE</v>
      </c>
      <c r="K48" s="9">
        <f t="shared" si="5"/>
        <v>3</v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19" t="s">
        <v>210</v>
      </c>
      <c r="B49" s="4" t="s">
        <v>34</v>
      </c>
      <c r="C49" s="4"/>
      <c r="D49" s="7">
        <v>3</v>
      </c>
      <c r="E49" s="7">
        <v>2</v>
      </c>
      <c r="F49" s="8" t="str">
        <f t="shared" si="0"/>
        <v>Baixa</v>
      </c>
      <c r="G49" s="7" t="str">
        <f t="shared" si="1"/>
        <v>EEL</v>
      </c>
      <c r="H49" s="5">
        <f t="shared" si="2"/>
        <v>3</v>
      </c>
      <c r="I49" s="116" t="str">
        <f t="shared" si="3"/>
        <v>L</v>
      </c>
      <c r="J49" s="7" t="str">
        <f t="shared" si="4"/>
        <v>EE</v>
      </c>
      <c r="K49" s="9">
        <f t="shared" si="5"/>
        <v>3</v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19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16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19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16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19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16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19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16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19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16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19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16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19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16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19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16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19"/>
      <c r="B58" s="4"/>
      <c r="C58" s="4"/>
      <c r="D58" s="7"/>
      <c r="E58" s="7"/>
      <c r="F58" s="8" t="str">
        <f t="shared" ref="F58:F121" si="6">IF(ISBLANK(B58),"",IF(I58="L","Baixa",IF(I58="A","Média",IF(I58="","","Alta"))))</f>
        <v/>
      </c>
      <c r="G58" s="7" t="str">
        <f t="shared" ref="G58:G121" si="7">CONCATENATE(B58,I58)</f>
        <v/>
      </c>
      <c r="H58" s="5" t="str">
        <f t="shared" ref="H58:H121" si="8">IF(ISBLANK(B58),"",IF(B58="ALI",IF(I58="L",7,IF(I58="A",10,15)),IF(B58="AIE",IF(I58="L",5,IF(I58="A",7,10)),IF(B58="SE",IF(I58="L",4,IF(I58="A",5,7)),IF(OR(B58="EE",B58="CE"),IF(I58="L",3,IF(I58="A",4,6)),0)))))</f>
        <v/>
      </c>
      <c r="I58" s="116" t="str">
        <f t="shared" ref="I58:I121" si="9">IF(OR(ISBLANK(D58),ISBLANK(E58)),IF(OR(B58="ALI",B58="AIE"),"L",IF(OR(B58="EE",B58="SE",B58="CE"),"A","")),IF(B58="EE",IF(E58&gt;=3,IF(D58&gt;=5,"H","A"),IF(E58&gt;=2,IF(D58&gt;=16,"H",IF(D58&lt;=4,"L","A")),IF(D58&lt;=15,"L","A"))),IF(OR(B58="SE",B58="CE"),IF(E58&gt;=4,IF(D58&gt;=6,"H","A"),IF(E58&gt;=2,IF(D58&gt;=20,"H",IF(D58&lt;=5,"L","A")),IF(D58&lt;=19,"L","A"))),IF(OR(B58="ALI",B58="AIE"),IF(E58&gt;=6,IF(D58&gt;=20,"H","A"),IF(E58&gt;=2,IF(D58&gt;=51,"H",IF(D58&lt;=19,"L","A")),IF(D58&lt;=50,"L","A"))),""))))</f>
        <v/>
      </c>
      <c r="J58" s="7" t="str">
        <f t="shared" ref="J58:J121" si="10">CONCATENATE(B58,C58)</f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19"/>
      <c r="B59" s="4"/>
      <c r="C59" s="4"/>
      <c r="D59" s="7"/>
      <c r="E59" s="7"/>
      <c r="F59" s="8" t="str">
        <f t="shared" si="6"/>
        <v/>
      </c>
      <c r="G59" s="7" t="str">
        <f t="shared" si="7"/>
        <v/>
      </c>
      <c r="H59" s="5" t="str">
        <f t="shared" si="8"/>
        <v/>
      </c>
      <c r="I59" s="116" t="str">
        <f t="shared" si="9"/>
        <v/>
      </c>
      <c r="J59" s="7" t="str">
        <f t="shared" si="10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19"/>
      <c r="B60" s="4"/>
      <c r="C60" s="4"/>
      <c r="D60" s="7"/>
      <c r="E60" s="7"/>
      <c r="F60" s="8" t="str">
        <f t="shared" si="6"/>
        <v/>
      </c>
      <c r="G60" s="7" t="str">
        <f t="shared" si="7"/>
        <v/>
      </c>
      <c r="H60" s="5" t="str">
        <f t="shared" si="8"/>
        <v/>
      </c>
      <c r="I60" s="116" t="str">
        <f t="shared" si="9"/>
        <v/>
      </c>
      <c r="J60" s="7" t="str">
        <f t="shared" si="10"/>
        <v/>
      </c>
      <c r="K60" s="9" t="str">
        <f t="shared" ref="K60:K123" si="11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19"/>
      <c r="B61" s="4"/>
      <c r="C61" s="4"/>
      <c r="D61" s="7"/>
      <c r="E61" s="7"/>
      <c r="F61" s="8" t="str">
        <f t="shared" si="6"/>
        <v/>
      </c>
      <c r="G61" s="7" t="str">
        <f t="shared" si="7"/>
        <v/>
      </c>
      <c r="H61" s="5" t="str">
        <f t="shared" si="8"/>
        <v/>
      </c>
      <c r="I61" s="116" t="str">
        <f t="shared" si="9"/>
        <v/>
      </c>
      <c r="J61" s="7" t="str">
        <f t="shared" si="10"/>
        <v/>
      </c>
      <c r="K61" s="9" t="str">
        <f t="shared" si="11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19"/>
      <c r="B62" s="4"/>
      <c r="C62" s="4"/>
      <c r="D62" s="7"/>
      <c r="E62" s="7"/>
      <c r="F62" s="8" t="str">
        <f t="shared" si="6"/>
        <v/>
      </c>
      <c r="G62" s="7" t="str">
        <f t="shared" si="7"/>
        <v/>
      </c>
      <c r="H62" s="5" t="str">
        <f t="shared" si="8"/>
        <v/>
      </c>
      <c r="I62" s="116" t="str">
        <f t="shared" si="9"/>
        <v/>
      </c>
      <c r="J62" s="7" t="str">
        <f t="shared" si="10"/>
        <v/>
      </c>
      <c r="K62" s="9" t="str">
        <f t="shared" si="11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19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16" t="str">
        <f t="shared" si="9"/>
        <v/>
      </c>
      <c r="J63" s="7" t="str">
        <f t="shared" si="10"/>
        <v/>
      </c>
      <c r="K63" s="9" t="str">
        <f t="shared" si="11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19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16" t="str">
        <f t="shared" si="9"/>
        <v/>
      </c>
      <c r="J64" s="7" t="str">
        <f t="shared" si="10"/>
        <v/>
      </c>
      <c r="K64" s="9" t="str">
        <f t="shared" si="1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19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16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19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16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19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16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19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16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19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16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19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16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19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16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19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16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19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16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19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16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19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16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19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16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19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16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19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16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19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16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19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16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19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16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19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16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19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16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19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16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19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16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19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16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19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16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19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16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19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16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19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16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19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16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19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16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19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16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19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16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19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16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19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16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19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16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19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16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19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16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19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16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19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16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19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16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19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16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19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16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19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16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19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16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19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16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19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16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19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16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19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16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19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16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19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16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19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16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19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16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19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16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19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16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19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16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19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16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19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16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19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16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19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16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19"/>
      <c r="B122" s="4"/>
      <c r="C122" s="4"/>
      <c r="D122" s="7"/>
      <c r="E122" s="7"/>
      <c r="F122" s="8" t="str">
        <f t="shared" ref="F122:F185" si="12">IF(ISBLANK(B122),"",IF(I122="L","Baixa",IF(I122="A","Média",IF(I122="","","Alta"))))</f>
        <v/>
      </c>
      <c r="G122" s="7" t="str">
        <f t="shared" ref="G122:G185" si="13">CONCATENATE(B122,I122)</f>
        <v/>
      </c>
      <c r="H122" s="5" t="str">
        <f t="shared" ref="H122:H185" si="14">IF(ISBLANK(B122),"",IF(B122="ALI",IF(I122="L",7,IF(I122="A",10,15)),IF(B122="AIE",IF(I122="L",5,IF(I122="A",7,10)),IF(B122="SE",IF(I122="L",4,IF(I122="A",5,7)),IF(OR(B122="EE",B122="CE"),IF(I122="L",3,IF(I122="A",4,6)),0)))))</f>
        <v/>
      </c>
      <c r="I122" s="116" t="str">
        <f t="shared" ref="I122:I185" si="15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7" t="str">
        <f t="shared" ref="J122:J185" si="16">CONCATENATE(B122,C122)</f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19"/>
      <c r="B123" s="4"/>
      <c r="C123" s="4"/>
      <c r="D123" s="7"/>
      <c r="E123" s="7"/>
      <c r="F123" s="8" t="str">
        <f t="shared" si="12"/>
        <v/>
      </c>
      <c r="G123" s="7" t="str">
        <f t="shared" si="13"/>
        <v/>
      </c>
      <c r="H123" s="5" t="str">
        <f t="shared" si="14"/>
        <v/>
      </c>
      <c r="I123" s="116" t="str">
        <f t="shared" si="15"/>
        <v/>
      </c>
      <c r="J123" s="7" t="str">
        <f t="shared" si="16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19"/>
      <c r="B124" s="4"/>
      <c r="C124" s="4"/>
      <c r="D124" s="7"/>
      <c r="E124" s="7"/>
      <c r="F124" s="8" t="str">
        <f t="shared" si="12"/>
        <v/>
      </c>
      <c r="G124" s="7" t="str">
        <f t="shared" si="13"/>
        <v/>
      </c>
      <c r="H124" s="5" t="str">
        <f t="shared" si="14"/>
        <v/>
      </c>
      <c r="I124" s="116" t="str">
        <f t="shared" si="15"/>
        <v/>
      </c>
      <c r="J124" s="7" t="str">
        <f t="shared" si="16"/>
        <v/>
      </c>
      <c r="K124" s="9" t="str">
        <f t="shared" ref="K124:K187" si="17">IF(OR(H124="",H124=0),L124,H124)</f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19"/>
      <c r="B125" s="4"/>
      <c r="C125" s="4"/>
      <c r="D125" s="7"/>
      <c r="E125" s="7"/>
      <c r="F125" s="8" t="str">
        <f t="shared" si="12"/>
        <v/>
      </c>
      <c r="G125" s="7" t="str">
        <f t="shared" si="13"/>
        <v/>
      </c>
      <c r="H125" s="5" t="str">
        <f t="shared" si="14"/>
        <v/>
      </c>
      <c r="I125" s="116" t="str">
        <f t="shared" si="15"/>
        <v/>
      </c>
      <c r="J125" s="7" t="str">
        <f t="shared" si="16"/>
        <v/>
      </c>
      <c r="K125" s="9" t="str">
        <f t="shared" si="17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19"/>
      <c r="B126" s="4"/>
      <c r="C126" s="4"/>
      <c r="D126" s="7"/>
      <c r="E126" s="7"/>
      <c r="F126" s="8" t="str">
        <f t="shared" si="12"/>
        <v/>
      </c>
      <c r="G126" s="7" t="str">
        <f t="shared" si="13"/>
        <v/>
      </c>
      <c r="H126" s="5" t="str">
        <f t="shared" si="14"/>
        <v/>
      </c>
      <c r="I126" s="116" t="str">
        <f t="shared" si="15"/>
        <v/>
      </c>
      <c r="J126" s="7" t="str">
        <f t="shared" si="16"/>
        <v/>
      </c>
      <c r="K126" s="9" t="str">
        <f t="shared" si="17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19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16" t="str">
        <f t="shared" si="15"/>
        <v/>
      </c>
      <c r="J127" s="7" t="str">
        <f t="shared" si="16"/>
        <v/>
      </c>
      <c r="K127" s="9" t="str">
        <f t="shared" si="17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19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16" t="str">
        <f t="shared" si="15"/>
        <v/>
      </c>
      <c r="J128" s="7" t="str">
        <f t="shared" si="16"/>
        <v/>
      </c>
      <c r="K128" s="9" t="str">
        <f t="shared" si="17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19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16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19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16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19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16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19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16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19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16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19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16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19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16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19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16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19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16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19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16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19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16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19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16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19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16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19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16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19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16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19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16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19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16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19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16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19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16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19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16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19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16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19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16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19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16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19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16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19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16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19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16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19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16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19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16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19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16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19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16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19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16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19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16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19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16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19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16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19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16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19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16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19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16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19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16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19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16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19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16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19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16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19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16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19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16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19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16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19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16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19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16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19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16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19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16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19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16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19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16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19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16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19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16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19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16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19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16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19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16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19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16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19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16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19"/>
      <c r="B186" s="4"/>
      <c r="C186" s="4"/>
      <c r="D186" s="7"/>
      <c r="E186" s="7"/>
      <c r="F186" s="8" t="str">
        <f t="shared" ref="F186:F249" si="18">IF(ISBLANK(B186),"",IF(I186="L","Baixa",IF(I186="A","Média",IF(I186="","","Alta"))))</f>
        <v/>
      </c>
      <c r="G186" s="7" t="str">
        <f t="shared" ref="G186:G249" si="19">CONCATENATE(B186,I186)</f>
        <v/>
      </c>
      <c r="H186" s="5" t="str">
        <f t="shared" ref="H186:H249" si="20">IF(ISBLANK(B186),"",IF(B186="ALI",IF(I186="L",7,IF(I186="A",10,15)),IF(B186="AIE",IF(I186="L",5,IF(I186="A",7,10)),IF(B186="SE",IF(I186="L",4,IF(I186="A",5,7)),IF(OR(B186="EE",B186="CE"),IF(I186="L",3,IF(I186="A",4,6)),0)))))</f>
        <v/>
      </c>
      <c r="I186" s="116" t="str">
        <f t="shared" ref="I186:I249" si="21">IF(OR(ISBLANK(D186),ISBLANK(E186)),IF(OR(B186="ALI",B186="AIE"),"L",IF(OR(B186="EE",B186="SE",B186="CE"),"A","")),IF(B186="EE",IF(E186&gt;=3,IF(D186&gt;=5,"H","A"),IF(E186&gt;=2,IF(D186&gt;=16,"H",IF(D186&lt;=4,"L","A")),IF(D186&lt;=15,"L","A"))),IF(OR(B186="SE",B186="CE"),IF(E186&gt;=4,IF(D186&gt;=6,"H","A"),IF(E186&gt;=2,IF(D186&gt;=20,"H",IF(D186&lt;=5,"L","A")),IF(D186&lt;=19,"L","A"))),IF(OR(B186="ALI",B186="AIE"),IF(E186&gt;=6,IF(D186&gt;=20,"H","A"),IF(E186&gt;=2,IF(D186&gt;=51,"H",IF(D186&lt;=19,"L","A")),IF(D186&lt;=50,"L","A"))),""))))</f>
        <v/>
      </c>
      <c r="J186" s="7" t="str">
        <f t="shared" ref="J186:J249" si="22">CONCATENATE(B186,C186)</f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19"/>
      <c r="B187" s="4"/>
      <c r="C187" s="4"/>
      <c r="D187" s="7"/>
      <c r="E187" s="7"/>
      <c r="F187" s="8" t="str">
        <f t="shared" si="18"/>
        <v/>
      </c>
      <c r="G187" s="7" t="str">
        <f t="shared" si="19"/>
        <v/>
      </c>
      <c r="H187" s="5" t="str">
        <f t="shared" si="20"/>
        <v/>
      </c>
      <c r="I187" s="116" t="str">
        <f t="shared" si="21"/>
        <v/>
      </c>
      <c r="J187" s="7" t="str">
        <f t="shared" si="22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19"/>
      <c r="B188" s="4"/>
      <c r="C188" s="4"/>
      <c r="D188" s="7"/>
      <c r="E188" s="7"/>
      <c r="F188" s="8" t="str">
        <f t="shared" si="18"/>
        <v/>
      </c>
      <c r="G188" s="7" t="str">
        <f t="shared" si="19"/>
        <v/>
      </c>
      <c r="H188" s="5" t="str">
        <f t="shared" si="20"/>
        <v/>
      </c>
      <c r="I188" s="116" t="str">
        <f t="shared" si="21"/>
        <v/>
      </c>
      <c r="J188" s="7" t="str">
        <f t="shared" si="22"/>
        <v/>
      </c>
      <c r="K188" s="9" t="str">
        <f t="shared" ref="K188:K251" si="23">IF(OR(H188="",H188=0),L188,H188)</f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19"/>
      <c r="B189" s="4"/>
      <c r="C189" s="4"/>
      <c r="D189" s="7"/>
      <c r="E189" s="7"/>
      <c r="F189" s="8" t="str">
        <f t="shared" si="18"/>
        <v/>
      </c>
      <c r="G189" s="7" t="str">
        <f t="shared" si="19"/>
        <v/>
      </c>
      <c r="H189" s="5" t="str">
        <f t="shared" si="20"/>
        <v/>
      </c>
      <c r="I189" s="116" t="str">
        <f t="shared" si="21"/>
        <v/>
      </c>
      <c r="J189" s="7" t="str">
        <f t="shared" si="22"/>
        <v/>
      </c>
      <c r="K189" s="9" t="str">
        <f t="shared" si="23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19"/>
      <c r="B190" s="4"/>
      <c r="C190" s="4"/>
      <c r="D190" s="7"/>
      <c r="E190" s="7"/>
      <c r="F190" s="8" t="str">
        <f t="shared" si="18"/>
        <v/>
      </c>
      <c r="G190" s="7" t="str">
        <f t="shared" si="19"/>
        <v/>
      </c>
      <c r="H190" s="5" t="str">
        <f t="shared" si="20"/>
        <v/>
      </c>
      <c r="I190" s="116" t="str">
        <f t="shared" si="21"/>
        <v/>
      </c>
      <c r="J190" s="7" t="str">
        <f t="shared" si="22"/>
        <v/>
      </c>
      <c r="K190" s="9" t="str">
        <f t="shared" si="23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19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16" t="str">
        <f t="shared" si="21"/>
        <v/>
      </c>
      <c r="J191" s="7" t="str">
        <f t="shared" si="22"/>
        <v/>
      </c>
      <c r="K191" s="9" t="str">
        <f t="shared" si="2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19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16" t="str">
        <f t="shared" si="21"/>
        <v/>
      </c>
      <c r="J192" s="7" t="str">
        <f t="shared" si="22"/>
        <v/>
      </c>
      <c r="K192" s="9" t="str">
        <f t="shared" si="2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19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16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19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16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19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16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19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16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19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16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19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16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19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16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19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16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19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16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19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16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19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16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19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16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19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16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19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16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19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16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19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16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19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16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19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16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19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16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19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16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19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16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19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16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19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16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19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16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19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16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19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16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19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16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19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16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19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16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19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16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19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16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19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16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19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16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19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16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19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16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19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16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19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16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19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16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19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16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19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16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19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16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19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16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19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16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19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16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19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16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19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16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19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16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19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16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19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16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19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16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19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16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19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16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19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16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19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16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19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16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19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16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19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16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19"/>
      <c r="B250" s="4"/>
      <c r="C250" s="4"/>
      <c r="D250" s="7"/>
      <c r="E250" s="7"/>
      <c r="F250" s="8" t="str">
        <f t="shared" ref="F250:F313" si="24">IF(ISBLANK(B250),"",IF(I250="L","Baixa",IF(I250="A","Média",IF(I250="","","Alta"))))</f>
        <v/>
      </c>
      <c r="G250" s="7" t="str">
        <f t="shared" ref="G250:G313" si="25">CONCATENATE(B250,I250)</f>
        <v/>
      </c>
      <c r="H250" s="5" t="str">
        <f t="shared" ref="H250:H313" si="26">IF(ISBLANK(B250),"",IF(B250="ALI",IF(I250="L",7,IF(I250="A",10,15)),IF(B250="AIE",IF(I250="L",5,IF(I250="A",7,10)),IF(B250="SE",IF(I250="L",4,IF(I250="A",5,7)),IF(OR(B250="EE",B250="CE"),IF(I250="L",3,IF(I250="A",4,6)),0)))))</f>
        <v/>
      </c>
      <c r="I250" s="116" t="str">
        <f t="shared" ref="I250:I313" si="27">IF(OR(ISBLANK(D250),ISBLANK(E250)),IF(OR(B250="ALI",B250="AIE"),"L",IF(OR(B250="EE",B250="SE",B250="CE"),"A","")),IF(B250="EE",IF(E250&gt;=3,IF(D250&gt;=5,"H","A"),IF(E250&gt;=2,IF(D250&gt;=16,"H",IF(D250&lt;=4,"L","A")),IF(D250&lt;=15,"L","A"))),IF(OR(B250="SE",B250="CE"),IF(E250&gt;=4,IF(D250&gt;=6,"H","A"),IF(E250&gt;=2,IF(D250&gt;=20,"H",IF(D250&lt;=5,"L","A")),IF(D250&lt;=19,"L","A"))),IF(OR(B250="ALI",B250="AIE"),IF(E250&gt;=6,IF(D250&gt;=20,"H","A"),IF(E250&gt;=2,IF(D250&gt;=51,"H",IF(D250&lt;=19,"L","A")),IF(D250&lt;=50,"L","A"))),""))))</f>
        <v/>
      </c>
      <c r="J250" s="7" t="str">
        <f t="shared" ref="J250:J313" si="28">CONCATENATE(B250,C250)</f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19"/>
      <c r="B251" s="4"/>
      <c r="C251" s="4"/>
      <c r="D251" s="7"/>
      <c r="E251" s="7"/>
      <c r="F251" s="8" t="str">
        <f t="shared" si="24"/>
        <v/>
      </c>
      <c r="G251" s="7" t="str">
        <f t="shared" si="25"/>
        <v/>
      </c>
      <c r="H251" s="5" t="str">
        <f t="shared" si="26"/>
        <v/>
      </c>
      <c r="I251" s="116" t="str">
        <f t="shared" si="27"/>
        <v/>
      </c>
      <c r="J251" s="7" t="str">
        <f t="shared" si="28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19"/>
      <c r="B252" s="4"/>
      <c r="C252" s="4"/>
      <c r="D252" s="7"/>
      <c r="E252" s="7"/>
      <c r="F252" s="8" t="str">
        <f t="shared" si="24"/>
        <v/>
      </c>
      <c r="G252" s="7" t="str">
        <f t="shared" si="25"/>
        <v/>
      </c>
      <c r="H252" s="5" t="str">
        <f t="shared" si="26"/>
        <v/>
      </c>
      <c r="I252" s="116" t="str">
        <f t="shared" si="27"/>
        <v/>
      </c>
      <c r="J252" s="7" t="str">
        <f t="shared" si="28"/>
        <v/>
      </c>
      <c r="K252" s="9" t="str">
        <f t="shared" ref="K252:K315" si="29">IF(OR(H252="",H252=0),L252,H252)</f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19"/>
      <c r="B253" s="4"/>
      <c r="C253" s="4"/>
      <c r="D253" s="7"/>
      <c r="E253" s="7"/>
      <c r="F253" s="8" t="str">
        <f t="shared" si="24"/>
        <v/>
      </c>
      <c r="G253" s="7" t="str">
        <f t="shared" si="25"/>
        <v/>
      </c>
      <c r="H253" s="5" t="str">
        <f t="shared" si="26"/>
        <v/>
      </c>
      <c r="I253" s="116" t="str">
        <f t="shared" si="27"/>
        <v/>
      </c>
      <c r="J253" s="7" t="str">
        <f t="shared" si="28"/>
        <v/>
      </c>
      <c r="K253" s="9" t="str">
        <f t="shared" si="29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19"/>
      <c r="B254" s="4"/>
      <c r="C254" s="4"/>
      <c r="D254" s="7"/>
      <c r="E254" s="7"/>
      <c r="F254" s="8" t="str">
        <f t="shared" si="24"/>
        <v/>
      </c>
      <c r="G254" s="7" t="str">
        <f t="shared" si="25"/>
        <v/>
      </c>
      <c r="H254" s="5" t="str">
        <f t="shared" si="26"/>
        <v/>
      </c>
      <c r="I254" s="116" t="str">
        <f t="shared" si="27"/>
        <v/>
      </c>
      <c r="J254" s="7" t="str">
        <f t="shared" si="28"/>
        <v/>
      </c>
      <c r="K254" s="9" t="str">
        <f t="shared" si="29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19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16" t="str">
        <f t="shared" si="27"/>
        <v/>
      </c>
      <c r="J255" s="7" t="str">
        <f t="shared" si="28"/>
        <v/>
      </c>
      <c r="K255" s="9" t="str">
        <f t="shared" si="29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19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16" t="str">
        <f t="shared" si="27"/>
        <v/>
      </c>
      <c r="J256" s="7" t="str">
        <f t="shared" si="28"/>
        <v/>
      </c>
      <c r="K256" s="9" t="str">
        <f t="shared" si="29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19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16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19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16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19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16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19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16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19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16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19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16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19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16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19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16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19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16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19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16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19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16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19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16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19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16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19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16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19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16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19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16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19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16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19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16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19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16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19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16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19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16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19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16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19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16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19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16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19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16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19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16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19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16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19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16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19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16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19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16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19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16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19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16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19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16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19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16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19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16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19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16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19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16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19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16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19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16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19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16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19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16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19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16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19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16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19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16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19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16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19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16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19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16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19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16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19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16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19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16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19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16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19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16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19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16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19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16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19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16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19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16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19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16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19"/>
      <c r="B314" s="4"/>
      <c r="C314" s="4"/>
      <c r="D314" s="7"/>
      <c r="E314" s="7"/>
      <c r="F314" s="8" t="str">
        <f t="shared" ref="F314:F377" si="30">IF(ISBLANK(B314),"",IF(I314="L","Baixa",IF(I314="A","Média",IF(I314="","","Alta"))))</f>
        <v/>
      </c>
      <c r="G314" s="7" t="str">
        <f t="shared" ref="G314:G377" si="31">CONCATENATE(B314,I314)</f>
        <v/>
      </c>
      <c r="H314" s="5" t="str">
        <f t="shared" ref="H314:H377" si="32">IF(ISBLANK(B314),"",IF(B314="ALI",IF(I314="L",7,IF(I314="A",10,15)),IF(B314="AIE",IF(I314="L",5,IF(I314="A",7,10)),IF(B314="SE",IF(I314="L",4,IF(I314="A",5,7)),IF(OR(B314="EE",B314="CE"),IF(I314="L",3,IF(I314="A",4,6)),0)))))</f>
        <v/>
      </c>
      <c r="I314" s="116" t="str">
        <f t="shared" ref="I314:I377" si="33">IF(OR(ISBLANK(D314),ISBLANK(E314)),IF(OR(B314="ALI",B314="AIE"),"L",IF(OR(B314="EE",B314="SE",B314="CE"),"A","")),IF(B314="EE",IF(E314&gt;=3,IF(D314&gt;=5,"H","A"),IF(E314&gt;=2,IF(D314&gt;=16,"H",IF(D314&lt;=4,"L","A")),IF(D314&lt;=15,"L","A"))),IF(OR(B314="SE",B314="CE"),IF(E314&gt;=4,IF(D314&gt;=6,"H","A"),IF(E314&gt;=2,IF(D314&gt;=20,"H",IF(D314&lt;=5,"L","A")),IF(D314&lt;=19,"L","A"))),IF(OR(B314="ALI",B314="AIE"),IF(E314&gt;=6,IF(D314&gt;=20,"H","A"),IF(E314&gt;=2,IF(D314&gt;=51,"H",IF(D314&lt;=19,"L","A")),IF(D314&lt;=50,"L","A"))),""))))</f>
        <v/>
      </c>
      <c r="J314" s="7" t="str">
        <f t="shared" ref="J314:J377" si="34">CONCATENATE(B314,C314)</f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19"/>
      <c r="B315" s="4"/>
      <c r="C315" s="4"/>
      <c r="D315" s="7"/>
      <c r="E315" s="7"/>
      <c r="F315" s="8" t="str">
        <f t="shared" si="30"/>
        <v/>
      </c>
      <c r="G315" s="7" t="str">
        <f t="shared" si="31"/>
        <v/>
      </c>
      <c r="H315" s="5" t="str">
        <f t="shared" si="32"/>
        <v/>
      </c>
      <c r="I315" s="116" t="str">
        <f t="shared" si="33"/>
        <v/>
      </c>
      <c r="J315" s="7" t="str">
        <f t="shared" si="34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19"/>
      <c r="B316" s="4"/>
      <c r="C316" s="4"/>
      <c r="D316" s="7"/>
      <c r="E316" s="7"/>
      <c r="F316" s="8" t="str">
        <f t="shared" si="30"/>
        <v/>
      </c>
      <c r="G316" s="7" t="str">
        <f t="shared" si="31"/>
        <v/>
      </c>
      <c r="H316" s="5" t="str">
        <f t="shared" si="32"/>
        <v/>
      </c>
      <c r="I316" s="116" t="str">
        <f t="shared" si="33"/>
        <v/>
      </c>
      <c r="J316" s="7" t="str">
        <f t="shared" si="34"/>
        <v/>
      </c>
      <c r="K316" s="9" t="str">
        <f t="shared" ref="K316:K379" si="35">IF(OR(H316="",H316=0),L316,H316)</f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19"/>
      <c r="B317" s="4"/>
      <c r="C317" s="4"/>
      <c r="D317" s="7"/>
      <c r="E317" s="7"/>
      <c r="F317" s="8" t="str">
        <f t="shared" si="30"/>
        <v/>
      </c>
      <c r="G317" s="7" t="str">
        <f t="shared" si="31"/>
        <v/>
      </c>
      <c r="H317" s="5" t="str">
        <f t="shared" si="32"/>
        <v/>
      </c>
      <c r="I317" s="116" t="str">
        <f t="shared" si="33"/>
        <v/>
      </c>
      <c r="J317" s="7" t="str">
        <f t="shared" si="34"/>
        <v/>
      </c>
      <c r="K317" s="9" t="str">
        <f t="shared" si="35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19"/>
      <c r="B318" s="4"/>
      <c r="C318" s="4"/>
      <c r="D318" s="7"/>
      <c r="E318" s="7"/>
      <c r="F318" s="8" t="str">
        <f t="shared" si="30"/>
        <v/>
      </c>
      <c r="G318" s="7" t="str">
        <f t="shared" si="31"/>
        <v/>
      </c>
      <c r="H318" s="5" t="str">
        <f t="shared" si="32"/>
        <v/>
      </c>
      <c r="I318" s="116" t="str">
        <f t="shared" si="33"/>
        <v/>
      </c>
      <c r="J318" s="7" t="str">
        <f t="shared" si="34"/>
        <v/>
      </c>
      <c r="K318" s="9" t="str">
        <f t="shared" si="35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19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16" t="str">
        <f t="shared" si="33"/>
        <v/>
      </c>
      <c r="J319" s="7" t="str">
        <f t="shared" si="34"/>
        <v/>
      </c>
      <c r="K319" s="9" t="str">
        <f t="shared" si="35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19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16" t="str">
        <f t="shared" si="33"/>
        <v/>
      </c>
      <c r="J320" s="7" t="str">
        <f t="shared" si="34"/>
        <v/>
      </c>
      <c r="K320" s="9" t="str">
        <f t="shared" si="35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19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16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19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16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19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16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19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16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19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16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19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16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19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16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19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16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19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16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19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16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19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16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19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16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19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16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19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16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19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16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19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16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19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16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19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16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19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16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19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16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19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16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19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16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19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16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19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16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19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16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19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16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19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16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19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16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19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16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19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16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19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16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19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16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19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16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19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16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19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16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19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16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19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16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19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16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19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16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19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16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19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16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19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16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19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16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19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16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19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16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19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16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19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16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19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16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19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16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19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16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19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16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19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16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19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16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19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16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19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16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19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16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19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16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19"/>
      <c r="B378" s="4"/>
      <c r="C378" s="4"/>
      <c r="D378" s="7"/>
      <c r="E378" s="7"/>
      <c r="F378" s="8" t="str">
        <f t="shared" ref="F378:F441" si="36">IF(ISBLANK(B378),"",IF(I378="L","Baixa",IF(I378="A","Média",IF(I378="","","Alta"))))</f>
        <v/>
      </c>
      <c r="G378" s="7" t="str">
        <f t="shared" ref="G378:G441" si="37">CONCATENATE(B378,I378)</f>
        <v/>
      </c>
      <c r="H378" s="5" t="str">
        <f t="shared" ref="H378:H441" si="38">IF(ISBLANK(B378),"",IF(B378="ALI",IF(I378="L",7,IF(I378="A",10,15)),IF(B378="AIE",IF(I378="L",5,IF(I378="A",7,10)),IF(B378="SE",IF(I378="L",4,IF(I378="A",5,7)),IF(OR(B378="EE",B378="CE"),IF(I378="L",3,IF(I378="A",4,6)),0)))))</f>
        <v/>
      </c>
      <c r="I378" s="116" t="str">
        <f t="shared" ref="I378:I441" si="39">IF(OR(ISBLANK(D378),ISBLANK(E378)),IF(OR(B378="ALI",B378="AIE"),"L",IF(OR(B378="EE",B378="SE",B378="CE"),"A","")),IF(B378="EE",IF(E378&gt;=3,IF(D378&gt;=5,"H","A"),IF(E378&gt;=2,IF(D378&gt;=16,"H",IF(D378&lt;=4,"L","A")),IF(D378&lt;=15,"L","A"))),IF(OR(B378="SE",B378="CE"),IF(E378&gt;=4,IF(D378&gt;=6,"H","A"),IF(E378&gt;=2,IF(D378&gt;=20,"H",IF(D378&lt;=5,"L","A")),IF(D378&lt;=19,"L","A"))),IF(OR(B378="ALI",B378="AIE"),IF(E378&gt;=6,IF(D378&gt;=20,"H","A"),IF(E378&gt;=2,IF(D378&gt;=51,"H",IF(D378&lt;=19,"L","A")),IF(D378&lt;=50,"L","A"))),""))))</f>
        <v/>
      </c>
      <c r="J378" s="7" t="str">
        <f t="shared" ref="J378:J441" si="40">CONCATENATE(B378,C378)</f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19"/>
      <c r="B379" s="4"/>
      <c r="C379" s="4"/>
      <c r="D379" s="7"/>
      <c r="E379" s="7"/>
      <c r="F379" s="8" t="str">
        <f t="shared" si="36"/>
        <v/>
      </c>
      <c r="G379" s="7" t="str">
        <f t="shared" si="37"/>
        <v/>
      </c>
      <c r="H379" s="5" t="str">
        <f t="shared" si="38"/>
        <v/>
      </c>
      <c r="I379" s="116" t="str">
        <f t="shared" si="39"/>
        <v/>
      </c>
      <c r="J379" s="7" t="str">
        <f t="shared" si="40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19"/>
      <c r="B380" s="4"/>
      <c r="C380" s="4"/>
      <c r="D380" s="7"/>
      <c r="E380" s="7"/>
      <c r="F380" s="8" t="str">
        <f t="shared" si="36"/>
        <v/>
      </c>
      <c r="G380" s="7" t="str">
        <f t="shared" si="37"/>
        <v/>
      </c>
      <c r="H380" s="5" t="str">
        <f t="shared" si="38"/>
        <v/>
      </c>
      <c r="I380" s="116" t="str">
        <f t="shared" si="39"/>
        <v/>
      </c>
      <c r="J380" s="7" t="str">
        <f t="shared" si="40"/>
        <v/>
      </c>
      <c r="K380" s="9" t="str">
        <f t="shared" ref="K380:K443" si="41">IF(OR(H380="",H380=0),L380,H380)</f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19"/>
      <c r="B381" s="4"/>
      <c r="C381" s="4"/>
      <c r="D381" s="7"/>
      <c r="E381" s="7"/>
      <c r="F381" s="8" t="str">
        <f t="shared" si="36"/>
        <v/>
      </c>
      <c r="G381" s="7" t="str">
        <f t="shared" si="37"/>
        <v/>
      </c>
      <c r="H381" s="5" t="str">
        <f t="shared" si="38"/>
        <v/>
      </c>
      <c r="I381" s="116" t="str">
        <f t="shared" si="39"/>
        <v/>
      </c>
      <c r="J381" s="7" t="str">
        <f t="shared" si="40"/>
        <v/>
      </c>
      <c r="K381" s="9" t="str">
        <f t="shared" si="41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19"/>
      <c r="B382" s="4"/>
      <c r="C382" s="4"/>
      <c r="D382" s="7"/>
      <c r="E382" s="7"/>
      <c r="F382" s="8" t="str">
        <f t="shared" si="36"/>
        <v/>
      </c>
      <c r="G382" s="7" t="str">
        <f t="shared" si="37"/>
        <v/>
      </c>
      <c r="H382" s="5" t="str">
        <f t="shared" si="38"/>
        <v/>
      </c>
      <c r="I382" s="116" t="str">
        <f t="shared" si="39"/>
        <v/>
      </c>
      <c r="J382" s="7" t="str">
        <f t="shared" si="40"/>
        <v/>
      </c>
      <c r="K382" s="9" t="str">
        <f t="shared" si="41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19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16" t="str">
        <f t="shared" si="39"/>
        <v/>
      </c>
      <c r="J383" s="7" t="str">
        <f t="shared" si="40"/>
        <v/>
      </c>
      <c r="K383" s="9" t="str">
        <f t="shared" si="41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19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16" t="str">
        <f t="shared" si="39"/>
        <v/>
      </c>
      <c r="J384" s="7" t="str">
        <f t="shared" si="40"/>
        <v/>
      </c>
      <c r="K384" s="9" t="str">
        <f t="shared" si="41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19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16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19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16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19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16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19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16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19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16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19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16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19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16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19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16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19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16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19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16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19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16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19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16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19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16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19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16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19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16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19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16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19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16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19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16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19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16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19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16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19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16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19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16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19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16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19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16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19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16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19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16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19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16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19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16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19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16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19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16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19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16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19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16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19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16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19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16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19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16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19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16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19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16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19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16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19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16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19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16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19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16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19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16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19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16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19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16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19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16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19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16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19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16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19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16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19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16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19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16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19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16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19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16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19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16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19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16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19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16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19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16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19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16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19"/>
      <c r="B442" s="4"/>
      <c r="C442" s="4"/>
      <c r="D442" s="7"/>
      <c r="E442" s="7"/>
      <c r="F442" s="8" t="str">
        <f t="shared" ref="F442:F465" si="42">IF(ISBLANK(B442),"",IF(I442="L","Baixa",IF(I442="A","Média",IF(I442="","","Alta"))))</f>
        <v/>
      </c>
      <c r="G442" s="7" t="str">
        <f t="shared" ref="G442:G465" si="43">CONCATENATE(B442,I442)</f>
        <v/>
      </c>
      <c r="H442" s="5" t="str">
        <f t="shared" ref="H442:H465" si="44">IF(ISBLANK(B442),"",IF(B442="ALI",IF(I442="L",7,IF(I442="A",10,15)),IF(B442="AIE",IF(I442="L",5,IF(I442="A",7,10)),IF(B442="SE",IF(I442="L",4,IF(I442="A",5,7)),IF(OR(B442="EE",B442="CE"),IF(I442="L",3,IF(I442="A",4,6)),0)))))</f>
        <v/>
      </c>
      <c r="I442" s="116" t="str">
        <f t="shared" ref="I442:I465" si="45">IF(OR(ISBLANK(D442),ISBLANK(E442)),IF(OR(B442="ALI",B442="AIE"),"L",IF(OR(B442="EE",B442="SE",B442="CE"),"A","")),IF(B442="EE",IF(E442&gt;=3,IF(D442&gt;=5,"H","A"),IF(E442&gt;=2,IF(D442&gt;=16,"H",IF(D442&lt;=4,"L","A")),IF(D442&lt;=15,"L","A"))),IF(OR(B442="SE",B442="CE"),IF(E442&gt;=4,IF(D442&gt;=6,"H","A"),IF(E442&gt;=2,IF(D442&gt;=20,"H",IF(D442&lt;=5,"L","A")),IF(D442&lt;=19,"L","A"))),IF(OR(B442="ALI",B442="AIE"),IF(E442&gt;=6,IF(D442&gt;=20,"H","A"),IF(E442&gt;=2,IF(D442&gt;=51,"H",IF(D442&lt;=19,"L","A")),IF(D442&lt;=50,"L","A"))),""))))</f>
        <v/>
      </c>
      <c r="J442" s="7" t="str">
        <f t="shared" ref="J442:J465" si="46">CONCATENATE(B442,C442)</f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19"/>
      <c r="B443" s="4"/>
      <c r="C443" s="4"/>
      <c r="D443" s="7"/>
      <c r="E443" s="7"/>
      <c r="F443" s="8" t="str">
        <f t="shared" si="42"/>
        <v/>
      </c>
      <c r="G443" s="7" t="str">
        <f t="shared" si="43"/>
        <v/>
      </c>
      <c r="H443" s="5" t="str">
        <f t="shared" si="44"/>
        <v/>
      </c>
      <c r="I443" s="116" t="str">
        <f t="shared" si="45"/>
        <v/>
      </c>
      <c r="J443" s="7" t="str">
        <f t="shared" si="46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19"/>
      <c r="B444" s="4"/>
      <c r="C444" s="4"/>
      <c r="D444" s="7"/>
      <c r="E444" s="7"/>
      <c r="F444" s="8" t="str">
        <f t="shared" si="42"/>
        <v/>
      </c>
      <c r="G444" s="7" t="str">
        <f t="shared" si="43"/>
        <v/>
      </c>
      <c r="H444" s="5" t="str">
        <f t="shared" si="44"/>
        <v/>
      </c>
      <c r="I444" s="116" t="str">
        <f t="shared" si="45"/>
        <v/>
      </c>
      <c r="J444" s="7" t="str">
        <f t="shared" si="46"/>
        <v/>
      </c>
      <c r="K444" s="9" t="str">
        <f t="shared" ref="K444:K465" si="47">IF(OR(H444="",H444=0),L444,H444)</f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19"/>
      <c r="B445" s="4"/>
      <c r="C445" s="4"/>
      <c r="D445" s="7"/>
      <c r="E445" s="7"/>
      <c r="F445" s="8" t="str">
        <f t="shared" si="42"/>
        <v/>
      </c>
      <c r="G445" s="7" t="str">
        <f t="shared" si="43"/>
        <v/>
      </c>
      <c r="H445" s="5" t="str">
        <f t="shared" si="44"/>
        <v/>
      </c>
      <c r="I445" s="116" t="str">
        <f t="shared" si="45"/>
        <v/>
      </c>
      <c r="J445" s="7" t="str">
        <f t="shared" si="46"/>
        <v/>
      </c>
      <c r="K445" s="9" t="str">
        <f t="shared" si="47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19"/>
      <c r="B446" s="4"/>
      <c r="C446" s="4"/>
      <c r="D446" s="7"/>
      <c r="E446" s="7"/>
      <c r="F446" s="8" t="str">
        <f t="shared" si="42"/>
        <v/>
      </c>
      <c r="G446" s="7" t="str">
        <f t="shared" si="43"/>
        <v/>
      </c>
      <c r="H446" s="5" t="str">
        <f t="shared" si="44"/>
        <v/>
      </c>
      <c r="I446" s="116" t="str">
        <f t="shared" si="45"/>
        <v/>
      </c>
      <c r="J446" s="7" t="str">
        <f t="shared" si="46"/>
        <v/>
      </c>
      <c r="K446" s="9" t="str">
        <f t="shared" si="47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19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16" t="str">
        <f t="shared" si="45"/>
        <v/>
      </c>
      <c r="J447" s="7" t="str">
        <f t="shared" si="46"/>
        <v/>
      </c>
      <c r="K447" s="9" t="str">
        <f t="shared" si="47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19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16" t="str">
        <f t="shared" si="45"/>
        <v/>
      </c>
      <c r="J448" s="7" t="str">
        <f t="shared" si="46"/>
        <v/>
      </c>
      <c r="K448" s="9" t="str">
        <f t="shared" si="47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19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16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19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16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19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16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19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16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19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16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19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16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19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16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19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16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19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16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19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16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19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16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19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16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19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16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19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16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19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16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19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16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19"/>
      <c r="B465" s="11"/>
      <c r="C465" s="11"/>
      <c r="D465" s="12"/>
      <c r="E465" s="12"/>
      <c r="F465" s="13" t="str">
        <f t="shared" si="42"/>
        <v/>
      </c>
      <c r="G465" s="14" t="str">
        <f t="shared" si="43"/>
        <v/>
      </c>
      <c r="H465" s="15" t="str">
        <f t="shared" si="44"/>
        <v/>
      </c>
      <c r="I465" s="117" t="str">
        <f t="shared" si="45"/>
        <v/>
      </c>
      <c r="J465" s="12" t="str">
        <f t="shared" si="46"/>
        <v/>
      </c>
      <c r="K465" s="16" t="str">
        <f t="shared" si="47"/>
        <v/>
      </c>
      <c r="L465" s="16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7"/>
      <c r="N465" s="17"/>
      <c r="O465" s="18"/>
    </row>
    <row r="466" spans="1:15" x14ac:dyDescent="0.2">
      <c r="A466" s="120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465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5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5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38" activePane="bottomLeft" state="frozen"/>
      <selection activeCell="B11" sqref="B11"/>
      <selection pane="bottomLeft" activeCell="M31" sqref="M31:M32"/>
    </sheetView>
  </sheetViews>
  <sheetFormatPr defaultColWidth="11.42578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customWidth="1"/>
    <col min="12" max="12" width="0" style="19" hidden="1" customWidth="1"/>
  </cols>
  <sheetData>
    <row r="1" spans="1:12" ht="36.6" customHeight="1" x14ac:dyDescent="0.25">
      <c r="A1" s="133" t="s">
        <v>40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21"/>
    </row>
    <row r="2" spans="1:12" ht="14.85" customHeight="1" x14ac:dyDescent="0.2">
      <c r="A2" s="149" t="s">
        <v>41</v>
      </c>
      <c r="B2" s="149"/>
      <c r="C2" s="149"/>
      <c r="D2" s="149"/>
      <c r="E2" s="149"/>
      <c r="F2" s="149"/>
      <c r="G2" s="147" t="s">
        <v>42</v>
      </c>
      <c r="H2" s="147" t="s">
        <v>43</v>
      </c>
      <c r="I2" s="147"/>
      <c r="J2" s="147" t="s">
        <v>2</v>
      </c>
      <c r="K2" s="148" t="s">
        <v>44</v>
      </c>
    </row>
    <row r="3" spans="1:12" ht="14.85" customHeight="1" x14ac:dyDescent="0.2">
      <c r="A3" s="22" t="s">
        <v>45</v>
      </c>
      <c r="B3" s="147" t="s">
        <v>46</v>
      </c>
      <c r="C3" s="147"/>
      <c r="D3" s="147"/>
      <c r="E3" s="147"/>
      <c r="F3" s="23" t="s">
        <v>47</v>
      </c>
      <c r="G3" s="147"/>
      <c r="H3" s="23" t="s">
        <v>48</v>
      </c>
      <c r="I3" s="23" t="s">
        <v>49</v>
      </c>
      <c r="J3" s="147"/>
      <c r="K3" s="148"/>
    </row>
    <row r="4" spans="1:12" x14ac:dyDescent="0.2">
      <c r="A4" s="3" t="s">
        <v>50</v>
      </c>
      <c r="B4" s="129" t="s">
        <v>51</v>
      </c>
      <c r="C4" s="129"/>
      <c r="D4" s="129"/>
      <c r="E4" s="129"/>
      <c r="F4" s="2"/>
      <c r="G4" s="24" t="s">
        <v>52</v>
      </c>
      <c r="H4" s="98">
        <v>1</v>
      </c>
      <c r="I4" s="99"/>
      <c r="J4" s="100">
        <f>SUMIF(Funções!$C$8:$C$465,Deflatores!G4,Funções!$H$8:$H$465)</f>
        <v>0</v>
      </c>
      <c r="K4" s="101">
        <f>IF(H4="",COUNTIF(Funções!C$8:C$465,G4)*I4,H4*J4)</f>
        <v>0</v>
      </c>
    </row>
    <row r="5" spans="1:12" x14ac:dyDescent="0.2">
      <c r="A5" s="3" t="s">
        <v>53</v>
      </c>
      <c r="B5" s="129" t="s">
        <v>54</v>
      </c>
      <c r="C5" s="129"/>
      <c r="D5" s="129"/>
      <c r="E5" s="129"/>
      <c r="F5" s="2" t="s">
        <v>55</v>
      </c>
      <c r="G5" s="24" t="s">
        <v>56</v>
      </c>
      <c r="H5" s="98">
        <v>0.5</v>
      </c>
      <c r="I5" s="99"/>
      <c r="J5" s="100">
        <f>SUMIF(Funções!$C$8:$C$465,Deflatores!G5,Funções!$H$8:$H$465)</f>
        <v>0</v>
      </c>
      <c r="K5" s="101">
        <f>IF(H5="",COUNTIF(Funções!C$8:C$465,G5)*I5,H5*J5)</f>
        <v>0</v>
      </c>
    </row>
    <row r="6" spans="1:12" x14ac:dyDescent="0.2">
      <c r="A6" s="3" t="s">
        <v>57</v>
      </c>
      <c r="B6" s="129" t="s">
        <v>58</v>
      </c>
      <c r="C6" s="129"/>
      <c r="D6" s="129"/>
      <c r="E6" s="129"/>
      <c r="F6" s="2" t="s">
        <v>55</v>
      </c>
      <c r="G6" s="24" t="s">
        <v>59</v>
      </c>
      <c r="H6" s="98">
        <v>0.4</v>
      </c>
      <c r="I6" s="99"/>
      <c r="J6" s="100">
        <f>SUMIF(Funções!$C$8:$C$465,Deflatores!G6,Funções!$H$8:$H$465)</f>
        <v>0</v>
      </c>
      <c r="K6" s="101">
        <f>IF(H6="",COUNTIF(Funções!C$8:C$465,G6)*I6,H6*J6)</f>
        <v>0</v>
      </c>
    </row>
    <row r="7" spans="1:12" x14ac:dyDescent="0.2">
      <c r="A7" s="3"/>
      <c r="B7" s="129" t="s">
        <v>60</v>
      </c>
      <c r="C7" s="129"/>
      <c r="D7" s="129"/>
      <c r="E7" s="129"/>
      <c r="F7" s="2" t="s">
        <v>55</v>
      </c>
      <c r="G7" s="24" t="s">
        <v>61</v>
      </c>
      <c r="H7" s="98">
        <v>0.5</v>
      </c>
      <c r="I7" s="99"/>
      <c r="J7" s="100">
        <f>SUMIF(Funções!$C$8:$C$465,Deflatores!G7,Funções!$H$8:$H$465)</f>
        <v>0</v>
      </c>
      <c r="K7" s="101">
        <f>IF(H7="",COUNTIF(Funções!C$8:C$465,G7)*I7,H7*J7)</f>
        <v>0</v>
      </c>
    </row>
    <row r="8" spans="1:12" x14ac:dyDescent="0.2">
      <c r="A8" s="3"/>
      <c r="B8" s="129" t="s">
        <v>62</v>
      </c>
      <c r="C8" s="129"/>
      <c r="D8" s="129"/>
      <c r="E8" s="129"/>
      <c r="F8" s="2" t="s">
        <v>55</v>
      </c>
      <c r="G8" s="24" t="s">
        <v>63</v>
      </c>
      <c r="H8" s="98">
        <v>0.75</v>
      </c>
      <c r="I8" s="99"/>
      <c r="J8" s="100">
        <f>SUMIF(Funções!$C$8:$C$465,Deflatores!G8,Funções!$H$8:$H$465)</f>
        <v>0</v>
      </c>
      <c r="K8" s="101">
        <f>IF(H8="",COUNTIF(Funções!C$8:C$465,G8)*I8,H8*J8)</f>
        <v>0</v>
      </c>
    </row>
    <row r="9" spans="1:12" x14ac:dyDescent="0.2">
      <c r="A9" s="3"/>
      <c r="B9" s="129" t="s">
        <v>64</v>
      </c>
      <c r="C9" s="129"/>
      <c r="D9" s="129"/>
      <c r="E9" s="129"/>
      <c r="F9" s="2" t="s">
        <v>55</v>
      </c>
      <c r="G9" s="24" t="s">
        <v>65</v>
      </c>
      <c r="H9" s="98">
        <v>0.9</v>
      </c>
      <c r="I9" s="99"/>
      <c r="J9" s="100">
        <f>SUMIF(Funções!$C$8:$C$465,Deflatores!G9,Funções!$H$8:$H$465)</f>
        <v>0</v>
      </c>
      <c r="K9" s="101">
        <f>IF(H9="",COUNTIF(Funções!C$8:C$465,G9)*I9,H9*J9)</f>
        <v>0</v>
      </c>
    </row>
    <row r="10" spans="1:12" x14ac:dyDescent="0.2">
      <c r="A10" s="3"/>
      <c r="B10" s="129" t="s">
        <v>66</v>
      </c>
      <c r="C10" s="129"/>
      <c r="D10" s="129"/>
      <c r="E10" s="129"/>
      <c r="F10" s="2" t="s">
        <v>67</v>
      </c>
      <c r="G10" s="24" t="s">
        <v>68</v>
      </c>
      <c r="H10" s="98">
        <v>1</v>
      </c>
      <c r="I10" s="99"/>
      <c r="J10" s="100">
        <f>SUMIF(Funções!$C$8:$C$465,Deflatores!G10,Funções!$H$8:$H$465)</f>
        <v>0</v>
      </c>
      <c r="K10" s="101">
        <f>IF(H10="",COUNTIF(Funções!C$8:C$465,G10)*I10,H10*J10)</f>
        <v>0</v>
      </c>
    </row>
    <row r="11" spans="1:12" x14ac:dyDescent="0.2">
      <c r="A11" s="3"/>
      <c r="B11" s="129" t="s">
        <v>69</v>
      </c>
      <c r="C11" s="129"/>
      <c r="D11" s="129"/>
      <c r="E11" s="129"/>
      <c r="F11" s="2" t="s">
        <v>70</v>
      </c>
      <c r="G11" s="24" t="s">
        <v>71</v>
      </c>
      <c r="H11" s="98">
        <v>0.5</v>
      </c>
      <c r="I11" s="99"/>
      <c r="J11" s="100">
        <f>SUMIF(Funções!$C$8:$C$465,Deflatores!G11,Funções!$H$8:$H$465)</f>
        <v>0</v>
      </c>
      <c r="K11" s="101">
        <f>IF(H11="",COUNTIF(Funções!C$8:C$465,G11)*I11,H11*J11)</f>
        <v>0</v>
      </c>
    </row>
    <row r="12" spans="1:12" ht="13.5" customHeight="1" x14ac:dyDescent="0.2">
      <c r="A12" s="3"/>
      <c r="B12" s="129" t="s">
        <v>72</v>
      </c>
      <c r="C12" s="129"/>
      <c r="D12" s="129"/>
      <c r="E12" s="129"/>
      <c r="F12" s="2" t="s">
        <v>70</v>
      </c>
      <c r="G12" s="24" t="s">
        <v>73</v>
      </c>
      <c r="H12" s="98">
        <v>0.5</v>
      </c>
      <c r="I12" s="99"/>
      <c r="J12" s="100">
        <f>SUMIF(Funções!$C$8:$C$465,Deflatores!G12,Funções!$H$8:$H$465)</f>
        <v>0</v>
      </c>
      <c r="K12" s="101">
        <f>IF(H12="",COUNTIF(Funções!C$8:C$465,G12)*I12,H12*J12)</f>
        <v>0</v>
      </c>
    </row>
    <row r="13" spans="1:12" ht="13.5" customHeight="1" x14ac:dyDescent="0.2">
      <c r="A13" s="3"/>
      <c r="B13" s="129" t="s">
        <v>74</v>
      </c>
      <c r="C13" s="129"/>
      <c r="D13" s="129"/>
      <c r="E13" s="129"/>
      <c r="F13" s="2" t="s">
        <v>70</v>
      </c>
      <c r="G13" s="24" t="s">
        <v>75</v>
      </c>
      <c r="H13" s="98">
        <v>0.75</v>
      </c>
      <c r="I13" s="99"/>
      <c r="J13" s="100">
        <f>SUMIF(Funções!$C$8:$C$465,Deflatores!G13,Funções!$H$8:$H$465)</f>
        <v>0</v>
      </c>
      <c r="K13" s="101">
        <f>IF(H13="",COUNTIF(Funções!C$8:C$465,G13)*I13,H13*J13)</f>
        <v>0</v>
      </c>
    </row>
    <row r="14" spans="1:12" ht="13.5" customHeight="1" x14ac:dyDescent="0.2">
      <c r="A14" s="3"/>
      <c r="B14" s="129" t="s">
        <v>76</v>
      </c>
      <c r="C14" s="129"/>
      <c r="D14" s="129"/>
      <c r="E14" s="129"/>
      <c r="F14" s="2" t="s">
        <v>70</v>
      </c>
      <c r="G14" s="24" t="s">
        <v>77</v>
      </c>
      <c r="H14" s="98">
        <v>0.9</v>
      </c>
      <c r="I14" s="99"/>
      <c r="J14" s="100">
        <f>SUMIF(Funções!$C$8:$C$465,Deflatores!G14,Funções!$H$8:$H$465)</f>
        <v>0</v>
      </c>
      <c r="K14" s="101">
        <f>IF(H14="",COUNTIF(Funções!C$8:C$465,G14)*I14,H14*J14)</f>
        <v>0</v>
      </c>
    </row>
    <row r="15" spans="1:12" ht="13.5" customHeight="1" x14ac:dyDescent="0.2">
      <c r="A15" s="3"/>
      <c r="B15" s="129" t="s">
        <v>78</v>
      </c>
      <c r="C15" s="129"/>
      <c r="D15" s="129"/>
      <c r="E15" s="129"/>
      <c r="F15" s="2" t="s">
        <v>70</v>
      </c>
      <c r="G15" s="24" t="s">
        <v>79</v>
      </c>
      <c r="H15" s="98">
        <v>0</v>
      </c>
      <c r="I15" s="99"/>
      <c r="J15" s="100">
        <f>SUMIF(Funções!$C$8:$C$465,Deflatores!G15,Funções!$H$8:$H$465)</f>
        <v>0</v>
      </c>
      <c r="K15" s="101">
        <f>IF(H15="",COUNTIF(Funções!C$8:C$465,G15)*I15,H15*J15)</f>
        <v>0</v>
      </c>
    </row>
    <row r="16" spans="1:12" ht="13.5" customHeight="1" x14ac:dyDescent="0.2">
      <c r="A16" s="3"/>
      <c r="B16" s="129" t="s">
        <v>80</v>
      </c>
      <c r="C16" s="129"/>
      <c r="D16" s="129"/>
      <c r="E16" s="129"/>
      <c r="F16" s="2" t="s">
        <v>81</v>
      </c>
      <c r="G16" s="24" t="s">
        <v>82</v>
      </c>
      <c r="H16" s="98">
        <v>1</v>
      </c>
      <c r="I16" s="99"/>
      <c r="J16" s="100">
        <f>SUMIF(Funções!$C$8:$C$465,Deflatores!G16,Funções!$H$8:$H$465)</f>
        <v>0</v>
      </c>
      <c r="K16" s="101">
        <f>IF(H16="",COUNTIF(Funções!C$8:C$465,G16)*I16,H16*J16)</f>
        <v>0</v>
      </c>
    </row>
    <row r="17" spans="1:11" x14ac:dyDescent="0.2">
      <c r="A17" s="3"/>
      <c r="B17" s="129" t="s">
        <v>83</v>
      </c>
      <c r="C17" s="129"/>
      <c r="D17" s="129"/>
      <c r="E17" s="129"/>
      <c r="F17" s="2" t="s">
        <v>84</v>
      </c>
      <c r="G17" s="24" t="s">
        <v>85</v>
      </c>
      <c r="H17" s="98">
        <v>1</v>
      </c>
      <c r="I17" s="99"/>
      <c r="J17" s="100">
        <f>SUMIF(Funções!$C$8:$C$465,Deflatores!G17,Funções!$H$8:$H$465)</f>
        <v>0</v>
      </c>
      <c r="K17" s="101">
        <f>IF(H17="",COUNTIF(Funções!C$8:C$465,G17)*I17,H17*J17)</f>
        <v>0</v>
      </c>
    </row>
    <row r="18" spans="1:11" ht="13.5" customHeight="1" x14ac:dyDescent="0.2">
      <c r="A18" s="3"/>
      <c r="B18" s="129" t="s">
        <v>86</v>
      </c>
      <c r="C18" s="129"/>
      <c r="D18" s="129"/>
      <c r="E18" s="129"/>
      <c r="F18" s="2" t="s">
        <v>84</v>
      </c>
      <c r="G18" s="24" t="s">
        <v>87</v>
      </c>
      <c r="H18" s="98">
        <v>0.3</v>
      </c>
      <c r="I18" s="99"/>
      <c r="J18" s="100">
        <f>SUMIF(Funções!$C$8:$C$465,Deflatores!G18,Funções!$H$8:$H$465)</f>
        <v>0</v>
      </c>
      <c r="K18" s="101">
        <f>IF(H18="",COUNTIF(Funções!C$8:C$465,G18)*I18,H18*J18)</f>
        <v>0</v>
      </c>
    </row>
    <row r="19" spans="1:11" ht="13.5" customHeight="1" x14ac:dyDescent="0.2">
      <c r="A19" s="3"/>
      <c r="B19" s="129" t="s">
        <v>88</v>
      </c>
      <c r="C19" s="129"/>
      <c r="D19" s="129"/>
      <c r="E19" s="129"/>
      <c r="F19" s="2" t="s">
        <v>89</v>
      </c>
      <c r="G19" s="24" t="s">
        <v>90</v>
      </c>
      <c r="H19" s="98">
        <v>0.3</v>
      </c>
      <c r="I19" s="99"/>
      <c r="J19" s="100">
        <f>SUMIF(Funções!$C$8:$C$465,Deflatores!G19,Funções!$H$8:$H$465)</f>
        <v>0</v>
      </c>
      <c r="K19" s="101">
        <f>IF(H19="",COUNTIF(Funções!C$8:C$465,G19)*I19,H19*J19)</f>
        <v>0</v>
      </c>
    </row>
    <row r="20" spans="1:11" ht="13.5" customHeight="1" x14ac:dyDescent="0.2">
      <c r="A20" s="3"/>
      <c r="B20" s="129" t="s">
        <v>91</v>
      </c>
      <c r="C20" s="129"/>
      <c r="D20" s="129"/>
      <c r="E20" s="129"/>
      <c r="F20" s="2" t="s">
        <v>92</v>
      </c>
      <c r="G20" s="24" t="s">
        <v>93</v>
      </c>
      <c r="H20" s="98">
        <v>0.3</v>
      </c>
      <c r="I20" s="99"/>
      <c r="J20" s="100">
        <f>SUMIF(Funções!$C$8:$C$465,Deflatores!G20,Funções!$H$8:$H$465)</f>
        <v>0</v>
      </c>
      <c r="K20" s="101">
        <f>IF(H20="",COUNTIF(Funções!C$8:C$465,G20)*I20,H20*J20)</f>
        <v>0</v>
      </c>
    </row>
    <row r="21" spans="1:11" ht="13.5" customHeight="1" x14ac:dyDescent="0.2">
      <c r="A21" s="3"/>
      <c r="B21" s="129" t="s">
        <v>94</v>
      </c>
      <c r="C21" s="129"/>
      <c r="D21" s="129"/>
      <c r="E21" s="129"/>
      <c r="F21" s="2" t="s">
        <v>95</v>
      </c>
      <c r="G21" s="24" t="s">
        <v>96</v>
      </c>
      <c r="H21" s="98">
        <v>0.3</v>
      </c>
      <c r="I21" s="99"/>
      <c r="J21" s="100">
        <f>SUMIF(Funções!$C$8:$C$465,Deflatores!G21,Funções!$H$8:$H$465)</f>
        <v>0</v>
      </c>
      <c r="K21" s="101">
        <f>IF(H21="",COUNTIF(Funções!C$8:C$465,G21)*I21,H21*J21)</f>
        <v>0</v>
      </c>
    </row>
    <row r="22" spans="1:11" x14ac:dyDescent="0.2">
      <c r="A22" s="3"/>
      <c r="B22" s="129" t="s">
        <v>97</v>
      </c>
      <c r="C22" s="129"/>
      <c r="D22" s="129"/>
      <c r="E22" s="129"/>
      <c r="F22" s="2" t="s">
        <v>98</v>
      </c>
      <c r="G22" s="24" t="s">
        <v>99</v>
      </c>
      <c r="H22" s="98"/>
      <c r="I22" s="99">
        <v>0.6</v>
      </c>
      <c r="J22" s="100">
        <f>SUMIF(Funções!$C$8:$C$465,Deflatores!G22,Funções!$H$8:$H$465)</f>
        <v>0</v>
      </c>
      <c r="K22" s="101">
        <f>IF(H22="",COUNTIF(Funções!C$8:C$465,G22)*I22,H22*J22)</f>
        <v>0</v>
      </c>
    </row>
    <row r="23" spans="1:11" ht="27" customHeight="1" x14ac:dyDescent="0.2">
      <c r="A23" s="3"/>
      <c r="B23" s="150" t="s">
        <v>100</v>
      </c>
      <c r="C23" s="151"/>
      <c r="D23" s="151"/>
      <c r="E23" s="152"/>
      <c r="F23" s="97" t="s">
        <v>101</v>
      </c>
      <c r="G23" s="24" t="s">
        <v>102</v>
      </c>
      <c r="H23" s="98">
        <v>0.5</v>
      </c>
      <c r="I23" s="99"/>
      <c r="J23" s="100">
        <f>SUMIF(Funções!$C$8:$C$465,Deflatores!G23,Funções!$H$8:$H$465)</f>
        <v>0</v>
      </c>
      <c r="K23" s="101">
        <f>IF(H23="",COUNTIF(Funções!C$8:C$465,G23)*I23,H23*J23)</f>
        <v>0</v>
      </c>
    </row>
    <row r="24" spans="1:11" ht="27" customHeight="1" x14ac:dyDescent="0.2">
      <c r="A24" s="3"/>
      <c r="B24" s="150" t="s">
        <v>103</v>
      </c>
      <c r="C24" s="151"/>
      <c r="D24" s="151"/>
      <c r="E24" s="152"/>
      <c r="F24" s="97" t="s">
        <v>101</v>
      </c>
      <c r="G24" s="24" t="s">
        <v>104</v>
      </c>
      <c r="H24" s="98">
        <v>0.5</v>
      </c>
      <c r="I24" s="99"/>
      <c r="J24" s="100">
        <f>SUMIF(Funções!$C$8:$C$465,Deflatores!G24,Funções!$H$8:$H$465)</f>
        <v>0</v>
      </c>
      <c r="K24" s="101">
        <f>IF(H24="",COUNTIF(Funções!C$8:C$465,G24)*I24,H24*J24)</f>
        <v>0</v>
      </c>
    </row>
    <row r="25" spans="1:11" ht="27" customHeight="1" x14ac:dyDescent="0.2">
      <c r="A25" s="3"/>
      <c r="B25" s="153" t="s">
        <v>105</v>
      </c>
      <c r="C25" s="129"/>
      <c r="D25" s="129"/>
      <c r="E25" s="129"/>
      <c r="F25" s="97" t="s">
        <v>101</v>
      </c>
      <c r="G25" s="24" t="s">
        <v>106</v>
      </c>
      <c r="H25" s="98">
        <v>0.75</v>
      </c>
      <c r="I25" s="99"/>
      <c r="J25" s="100">
        <f>SUMIF(Funções!$C$8:$C$465,Deflatores!G25,Funções!$H$8:$H$465)</f>
        <v>0</v>
      </c>
      <c r="K25" s="101">
        <f>IF(H25="",COUNTIF(Funções!C$8:C$465,G25)*I25,H25*J25)</f>
        <v>0</v>
      </c>
    </row>
    <row r="26" spans="1:11" ht="13.5" customHeight="1" x14ac:dyDescent="0.2">
      <c r="A26" s="3"/>
      <c r="B26" s="129" t="s">
        <v>107</v>
      </c>
      <c r="C26" s="129"/>
      <c r="D26" s="129"/>
      <c r="E26" s="129"/>
      <c r="F26" s="2" t="s">
        <v>108</v>
      </c>
      <c r="G26" s="24" t="s">
        <v>109</v>
      </c>
      <c r="H26" s="98">
        <v>1</v>
      </c>
      <c r="I26" s="99"/>
      <c r="J26" s="100">
        <f>SUMIF(Funções!$C$8:$C$465,Deflatores!G26,Funções!$H$8:$H$465)</f>
        <v>0</v>
      </c>
      <c r="K26" s="101">
        <f>IF(H26="",COUNTIF(Funções!C$8:C$465,G26)*I26,H26*J26)</f>
        <v>0</v>
      </c>
    </row>
    <row r="27" spans="1:11" ht="13.5" customHeight="1" x14ac:dyDescent="0.2">
      <c r="A27" s="3"/>
      <c r="B27" s="129" t="s">
        <v>110</v>
      </c>
      <c r="C27" s="129"/>
      <c r="D27" s="129"/>
      <c r="E27" s="129"/>
      <c r="F27" s="2" t="s">
        <v>108</v>
      </c>
      <c r="G27" s="24" t="s">
        <v>111</v>
      </c>
      <c r="H27" s="98">
        <v>1</v>
      </c>
      <c r="I27" s="99"/>
      <c r="J27" s="100">
        <f>SUMIF(Funções!$C$8:$C$465,Deflatores!G27,Funções!$H$8:$H$465)</f>
        <v>0</v>
      </c>
      <c r="K27" s="101">
        <f>IF(H27="",COUNTIF(Funções!C$8:C$465,G27)*I27,H27*J27)</f>
        <v>0</v>
      </c>
    </row>
    <row r="28" spans="1:11" ht="13.5" customHeight="1" x14ac:dyDescent="0.2">
      <c r="A28" s="3"/>
      <c r="B28" s="129" t="s">
        <v>112</v>
      </c>
      <c r="C28" s="129"/>
      <c r="D28" s="129"/>
      <c r="E28" s="129"/>
      <c r="F28" s="2" t="s">
        <v>108</v>
      </c>
      <c r="G28" s="24" t="s">
        <v>113</v>
      </c>
      <c r="H28" s="98">
        <v>0.6</v>
      </c>
      <c r="I28" s="99"/>
      <c r="J28" s="100">
        <f>SUMIF(Funções!$C$8:$C$465,Deflatores!G28,Funções!$H$8:$H$465)</f>
        <v>0</v>
      </c>
      <c r="K28" s="101">
        <f>IF(H28="",COUNTIF(Funções!C$8:C$465,G28)*I28,H28*J28)</f>
        <v>0</v>
      </c>
    </row>
    <row r="29" spans="1:11" ht="13.5" customHeight="1" x14ac:dyDescent="0.2">
      <c r="A29" s="3"/>
      <c r="B29" s="129" t="s">
        <v>114</v>
      </c>
      <c r="C29" s="129"/>
      <c r="D29" s="129"/>
      <c r="E29" s="129"/>
      <c r="F29" s="2" t="s">
        <v>115</v>
      </c>
      <c r="G29" s="24" t="s">
        <v>116</v>
      </c>
      <c r="H29" s="98">
        <v>1</v>
      </c>
      <c r="I29" s="99"/>
      <c r="J29" s="100">
        <f>SUMIF(Funções!$C$8:$C$465,Deflatores!G29,Funções!$H$8:$H$465)</f>
        <v>0</v>
      </c>
      <c r="K29" s="101">
        <f>IF(H29="",COUNTIF(Funções!C$8:C$465,G29)*I29,H29*J29)</f>
        <v>0</v>
      </c>
    </row>
    <row r="30" spans="1:11" ht="13.5" customHeight="1" x14ac:dyDescent="0.2">
      <c r="A30" s="3"/>
      <c r="B30" s="129" t="s">
        <v>117</v>
      </c>
      <c r="C30" s="129"/>
      <c r="D30" s="129"/>
      <c r="E30" s="129"/>
      <c r="F30" s="2" t="s">
        <v>118</v>
      </c>
      <c r="G30" s="24" t="s">
        <v>119</v>
      </c>
      <c r="H30" s="98">
        <v>0.1</v>
      </c>
      <c r="I30" s="99"/>
      <c r="J30" s="100">
        <f>SUMIF(Funções!$C$8:$C$465,Deflatores!G30,Funções!$H$8:$H$465)</f>
        <v>0</v>
      </c>
      <c r="K30" s="101">
        <f>IF(H30="",COUNTIF(Funções!C$8:C$465,G30)*I30,H30*J30)</f>
        <v>0</v>
      </c>
    </row>
    <row r="31" spans="1:11" ht="13.5" customHeight="1" x14ac:dyDescent="0.2">
      <c r="A31" s="3"/>
      <c r="B31" s="129" t="s">
        <v>120</v>
      </c>
      <c r="C31" s="129"/>
      <c r="D31" s="129"/>
      <c r="E31" s="129"/>
      <c r="F31" s="2" t="s">
        <v>121</v>
      </c>
      <c r="G31" s="24" t="s">
        <v>122</v>
      </c>
      <c r="H31" s="98">
        <v>0.1</v>
      </c>
      <c r="I31" s="99"/>
      <c r="J31" s="100">
        <f>SUMIF(Funções!$C$8:$C$465,Deflatores!G31,Funções!$H$8:$H$465)</f>
        <v>0</v>
      </c>
      <c r="K31" s="101">
        <f>IF(H31="",COUNTIF(Funções!C$8:C$465,G31)*I31,H31*J31)</f>
        <v>0</v>
      </c>
    </row>
    <row r="32" spans="1:11" ht="13.5" customHeight="1" x14ac:dyDescent="0.2">
      <c r="A32" s="3"/>
      <c r="B32" s="111" t="s">
        <v>123</v>
      </c>
      <c r="C32" s="112"/>
      <c r="D32" s="112"/>
      <c r="E32" s="113"/>
      <c r="F32" s="2" t="s">
        <v>124</v>
      </c>
      <c r="G32" s="24" t="s">
        <v>125</v>
      </c>
      <c r="H32" s="98">
        <v>0.25</v>
      </c>
      <c r="I32" s="99"/>
      <c r="J32" s="100">
        <f>SUMIF(Funções!$C$8:$C$465,Deflatores!G32,Funções!$H$8:$H$465)</f>
        <v>0</v>
      </c>
      <c r="K32" s="101">
        <f>IF(H32="",COUNTIF(Funções!C$8:C$465,G32)*I32,H32*J32)</f>
        <v>0</v>
      </c>
    </row>
    <row r="33" spans="1:12" ht="13.5" customHeight="1" x14ac:dyDescent="0.2">
      <c r="A33" s="3"/>
      <c r="B33" s="111" t="s">
        <v>126</v>
      </c>
      <c r="C33" s="112"/>
      <c r="D33" s="112"/>
      <c r="E33" s="113"/>
      <c r="F33" s="2" t="s">
        <v>127</v>
      </c>
      <c r="G33" s="24" t="s">
        <v>128</v>
      </c>
      <c r="H33" s="98">
        <v>0.2</v>
      </c>
      <c r="I33" s="99"/>
      <c r="J33" s="100">
        <f>SUMIF(Funções!$C$8:$C$465,Deflatores!G33,Funções!$H$8:$H$465)</f>
        <v>0</v>
      </c>
      <c r="K33" s="101">
        <f>IF(H33="",COUNTIF(Funções!C$8:C$465,G33)*I33,H33*J33)</f>
        <v>0</v>
      </c>
    </row>
    <row r="34" spans="1:12" ht="13.5" customHeight="1" x14ac:dyDescent="0.2">
      <c r="A34" s="3"/>
      <c r="B34" s="111" t="s">
        <v>129</v>
      </c>
      <c r="C34" s="112"/>
      <c r="D34" s="112"/>
      <c r="E34" s="113"/>
      <c r="F34" s="2" t="s">
        <v>127</v>
      </c>
      <c r="G34" s="24" t="s">
        <v>130</v>
      </c>
      <c r="H34" s="98">
        <v>0.15</v>
      </c>
      <c r="I34" s="99"/>
      <c r="J34" s="100">
        <f>SUMIF(Funções!$C$8:$C$465,Deflatores!G34,Funções!$H$8:$H$465)</f>
        <v>0</v>
      </c>
      <c r="K34" s="101">
        <f>IF(H34="",COUNTIF(Funções!C$8:C$465,G34)*I34,H34*J34)</f>
        <v>0</v>
      </c>
    </row>
    <row r="35" spans="1:12" ht="13.5" customHeight="1" x14ac:dyDescent="0.2">
      <c r="A35" s="3"/>
      <c r="B35" s="111" t="s">
        <v>131</v>
      </c>
      <c r="C35" s="112"/>
      <c r="D35" s="112"/>
      <c r="E35" s="113"/>
      <c r="F35" s="2" t="s">
        <v>132</v>
      </c>
      <c r="G35" s="24" t="s">
        <v>133</v>
      </c>
      <c r="H35" s="98">
        <v>0.15</v>
      </c>
      <c r="I35" s="99"/>
      <c r="J35" s="100">
        <f>SUMIF(Funções!$C$8:$C$465,Deflatores!G35,Funções!$H$8:$H$465)</f>
        <v>0</v>
      </c>
      <c r="K35" s="101">
        <f>IF(H35="",COUNTIF(Funções!C$8:C$465,G35)*I35,H35*J35)</f>
        <v>0</v>
      </c>
    </row>
    <row r="36" spans="1:12" ht="13.5" customHeight="1" x14ac:dyDescent="0.2">
      <c r="A36" s="3"/>
      <c r="B36" s="129" t="s">
        <v>134</v>
      </c>
      <c r="C36" s="129"/>
      <c r="D36" s="129"/>
      <c r="E36" s="129"/>
      <c r="F36" s="2" t="s">
        <v>135</v>
      </c>
      <c r="G36" s="24" t="s">
        <v>136</v>
      </c>
      <c r="H36" s="98">
        <v>1</v>
      </c>
      <c r="I36" s="99"/>
      <c r="J36" s="100">
        <f>SUMIF(Funções!$C$8:$C$465,Deflatores!G36,Funções!$H$8:$H$465)</f>
        <v>0</v>
      </c>
      <c r="K36" s="101">
        <f>IF(H36="",COUNTIF(Funções!C$8:C$465,G36)*I36,H36*J36)</f>
        <v>0</v>
      </c>
    </row>
    <row r="37" spans="1:12" ht="13.5" customHeight="1" x14ac:dyDescent="0.2">
      <c r="A37" s="3"/>
      <c r="B37" s="129"/>
      <c r="C37" s="129"/>
      <c r="D37" s="129"/>
      <c r="E37" s="129"/>
      <c r="F37" s="2"/>
      <c r="G37" s="24" t="s">
        <v>137</v>
      </c>
      <c r="H37" s="98"/>
      <c r="I37" s="99"/>
      <c r="J37" s="100">
        <f>SUMIF(Funções!$C$8:$C$465,Deflatores!G37,Funções!$H$8:$H$465)</f>
        <v>0</v>
      </c>
      <c r="K37" s="101">
        <f>IF(H37="",COUNTIF(Funções!C$8:C$465,G37)*I37,H37*J37)</f>
        <v>0</v>
      </c>
      <c r="L37" s="19" t="s">
        <v>32</v>
      </c>
    </row>
    <row r="38" spans="1:12" ht="13.5" customHeight="1" x14ac:dyDescent="0.2">
      <c r="A38" s="3"/>
      <c r="B38" s="129"/>
      <c r="C38" s="129"/>
      <c r="D38" s="129"/>
      <c r="E38" s="129"/>
      <c r="F38" s="2"/>
      <c r="G38" s="24" t="s">
        <v>137</v>
      </c>
      <c r="H38" s="98"/>
      <c r="I38" s="99"/>
      <c r="J38" s="100">
        <f>SUMIF(Funções!$C$8:$C$465,Deflatores!G38,Funções!$H$8:$H$465)</f>
        <v>0</v>
      </c>
      <c r="K38" s="101">
        <f>IF(H38="",COUNTIF(Funções!C$8:C$465,G38)*I38,H38*J38)</f>
        <v>0</v>
      </c>
      <c r="L38" s="19" t="s">
        <v>138</v>
      </c>
    </row>
    <row r="39" spans="1:12" ht="13.5" x14ac:dyDescent="0.2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34</v>
      </c>
    </row>
    <row r="40" spans="1:12" ht="14.85" customHeight="1" x14ac:dyDescent="0.2">
      <c r="A40" s="149" t="s">
        <v>40</v>
      </c>
      <c r="B40" s="149"/>
      <c r="C40" s="149"/>
      <c r="D40" s="149"/>
      <c r="E40" s="149"/>
      <c r="F40" s="149"/>
      <c r="G40" s="147" t="s">
        <v>42</v>
      </c>
      <c r="H40" s="147" t="s">
        <v>43</v>
      </c>
      <c r="I40" s="147"/>
      <c r="J40" s="147" t="s">
        <v>139</v>
      </c>
      <c r="K40" s="148" t="s">
        <v>44</v>
      </c>
      <c r="L40" s="19" t="s">
        <v>36</v>
      </c>
    </row>
    <row r="41" spans="1:12" ht="14.85" customHeight="1" x14ac:dyDescent="0.2">
      <c r="A41" s="22" t="s">
        <v>45</v>
      </c>
      <c r="B41" s="147" t="s">
        <v>46</v>
      </c>
      <c r="C41" s="147"/>
      <c r="D41" s="147"/>
      <c r="E41" s="147"/>
      <c r="F41" s="23" t="s">
        <v>47</v>
      </c>
      <c r="G41" s="147"/>
      <c r="H41" s="147"/>
      <c r="I41" s="147"/>
      <c r="J41" s="147"/>
      <c r="K41" s="148"/>
      <c r="L41" s="19" t="s">
        <v>140</v>
      </c>
    </row>
    <row r="42" spans="1:12" ht="13.5" customHeight="1" x14ac:dyDescent="0.25">
      <c r="A42" s="26"/>
      <c r="B42" s="129" t="s">
        <v>141</v>
      </c>
      <c r="C42" s="129"/>
      <c r="D42" s="129"/>
      <c r="E42" s="129"/>
      <c r="F42" s="2" t="s">
        <v>142</v>
      </c>
      <c r="G42" s="24" t="s">
        <v>143</v>
      </c>
      <c r="H42" s="144">
        <v>0.6</v>
      </c>
      <c r="I42" s="144"/>
      <c r="J42" s="27">
        <f>COUNTIF(Funções!B$8:B$465,G42)</f>
        <v>0</v>
      </c>
      <c r="K42" s="25">
        <f>SUMIF(Funções!B$8:B$465,$G42,Funções!K$8:K$465)</f>
        <v>0</v>
      </c>
      <c r="L42" s="19" t="str">
        <f t="shared" ref="L42:L64" si="0">""&amp;G42</f>
        <v>PAG</v>
      </c>
    </row>
    <row r="43" spans="1:12" ht="13.5" customHeight="1" x14ac:dyDescent="0.25">
      <c r="A43" s="26"/>
      <c r="B43" s="129" t="s">
        <v>144</v>
      </c>
      <c r="C43" s="129"/>
      <c r="D43" s="129"/>
      <c r="E43" s="129"/>
      <c r="F43" s="2" t="s">
        <v>98</v>
      </c>
      <c r="G43" s="24" t="s">
        <v>145</v>
      </c>
      <c r="H43" s="144">
        <v>0.6</v>
      </c>
      <c r="I43" s="144"/>
      <c r="J43" s="27">
        <f>COUNTIF(Funções!B$8:B$465,G43)</f>
        <v>0</v>
      </c>
      <c r="K43" s="25">
        <f>SUMIF(Funções!B$8:B$465,$G43,Funções!K$8:K$465)</f>
        <v>0</v>
      </c>
      <c r="L43" s="19" t="str">
        <f t="shared" si="0"/>
        <v>COSNF</v>
      </c>
    </row>
    <row r="44" spans="1:12" ht="13.5" customHeight="1" x14ac:dyDescent="0.25">
      <c r="A44" s="26"/>
      <c r="B44" s="129" t="s">
        <v>146</v>
      </c>
      <c r="C44" s="129"/>
      <c r="D44" s="129"/>
      <c r="E44" s="129"/>
      <c r="F44" s="2"/>
      <c r="G44" s="24" t="s">
        <v>147</v>
      </c>
      <c r="H44" s="144">
        <v>0</v>
      </c>
      <c r="I44" s="144"/>
      <c r="J44" s="27">
        <f>COUNTIF(Funções!B$8:B$465,G44)</f>
        <v>0</v>
      </c>
      <c r="K44" s="25">
        <f>SUMIF(Funções!B$8:B$465,$G44,Funções!K$8:K$465)</f>
        <v>0</v>
      </c>
      <c r="L44" s="19" t="str">
        <f t="shared" si="0"/>
        <v>DC</v>
      </c>
    </row>
    <row r="45" spans="1:12" ht="13.5" customHeight="1" x14ac:dyDescent="0.25">
      <c r="A45" s="26"/>
      <c r="B45" s="129"/>
      <c r="C45" s="129"/>
      <c r="D45" s="129"/>
      <c r="E45" s="129"/>
      <c r="F45" s="2"/>
      <c r="G45" s="24" t="s">
        <v>137</v>
      </c>
      <c r="H45" s="144"/>
      <c r="I45" s="144"/>
      <c r="J45" s="27">
        <f>COUNTIF(Funções!B$8:B$465,G45)</f>
        <v>0</v>
      </c>
      <c r="K45" s="25">
        <f>SUMIF(Funções!B$8:B$465,$G45,Funções!K$8:K$465)</f>
        <v>0</v>
      </c>
      <c r="L45" s="19" t="str">
        <f t="shared" si="0"/>
        <v xml:space="preserve">           .</v>
      </c>
    </row>
    <row r="46" spans="1:12" ht="13.5" customHeight="1" x14ac:dyDescent="0.25">
      <c r="A46" s="26"/>
      <c r="B46" s="129"/>
      <c r="C46" s="129"/>
      <c r="D46" s="129"/>
      <c r="E46" s="129"/>
      <c r="F46" s="2"/>
      <c r="G46" s="24" t="s">
        <v>137</v>
      </c>
      <c r="H46" s="144"/>
      <c r="I46" s="144"/>
      <c r="J46" s="27">
        <f>COUNTIF(Funções!B$8:B$465,G46)</f>
        <v>0</v>
      </c>
      <c r="K46" s="25">
        <f>SUMIF(Funções!B$8:B$465,$G46,Funções!K$8:K$465)</f>
        <v>0</v>
      </c>
      <c r="L46" s="19" t="str">
        <f t="shared" si="0"/>
        <v xml:space="preserve">           .</v>
      </c>
    </row>
    <row r="47" spans="1:12" ht="13.5" x14ac:dyDescent="0.25">
      <c r="A47" s="26"/>
      <c r="B47" s="129"/>
      <c r="C47" s="129"/>
      <c r="D47" s="129"/>
      <c r="E47" s="129"/>
      <c r="F47" s="2"/>
      <c r="G47" s="24" t="s">
        <v>137</v>
      </c>
      <c r="H47" s="144"/>
      <c r="I47" s="144"/>
      <c r="J47" s="27">
        <f>COUNTIF(Funções!B$8:B$465,G47)</f>
        <v>0</v>
      </c>
      <c r="K47" s="25">
        <f>SUMIF(Funções!B$8:B$465,$G47,Funções!K$8:K$465)</f>
        <v>0</v>
      </c>
      <c r="L47" s="19" t="str">
        <f t="shared" si="0"/>
        <v xml:space="preserve">           .</v>
      </c>
    </row>
    <row r="48" spans="1:12" ht="13.5" x14ac:dyDescent="0.25">
      <c r="A48" s="26"/>
      <c r="B48" s="129"/>
      <c r="C48" s="129"/>
      <c r="D48" s="129"/>
      <c r="E48" s="129"/>
      <c r="F48" s="2"/>
      <c r="G48" s="24" t="s">
        <v>137</v>
      </c>
      <c r="H48" s="144"/>
      <c r="I48" s="144"/>
      <c r="J48" s="27">
        <f>COUNTIF(Funções!B$8:B$465,G48)</f>
        <v>0</v>
      </c>
      <c r="K48" s="25">
        <f>SUMIF(Funções!B$8:B$465,$G48,Funções!K$8:K$465)</f>
        <v>0</v>
      </c>
      <c r="L48" s="19" t="str">
        <f t="shared" si="0"/>
        <v xml:space="preserve">           .</v>
      </c>
    </row>
    <row r="49" spans="1:12" ht="13.5" x14ac:dyDescent="0.25">
      <c r="A49" s="26"/>
      <c r="B49" s="129"/>
      <c r="C49" s="129"/>
      <c r="D49" s="129"/>
      <c r="E49" s="129"/>
      <c r="F49" s="2"/>
      <c r="G49" s="24" t="s">
        <v>137</v>
      </c>
      <c r="H49" s="144"/>
      <c r="I49" s="144"/>
      <c r="J49" s="27">
        <f>COUNTIF(Funções!B$8:B$465,G49)</f>
        <v>0</v>
      </c>
      <c r="K49" s="25">
        <f>SUMIF(Funções!B$8:B$465,$G49,Funções!K$8:K$465)</f>
        <v>0</v>
      </c>
      <c r="L49" s="19" t="str">
        <f t="shared" si="0"/>
        <v xml:space="preserve">           .</v>
      </c>
    </row>
    <row r="50" spans="1:12" ht="13.5" x14ac:dyDescent="0.25">
      <c r="A50" s="26"/>
      <c r="B50" s="129"/>
      <c r="C50" s="129"/>
      <c r="D50" s="129"/>
      <c r="E50" s="129"/>
      <c r="F50" s="2"/>
      <c r="G50" s="24" t="s">
        <v>137</v>
      </c>
      <c r="H50" s="144"/>
      <c r="I50" s="144"/>
      <c r="J50" s="27">
        <f>COUNTIF(Funções!B$8:B$465,G50)</f>
        <v>0</v>
      </c>
      <c r="K50" s="25">
        <f>SUMIF(Funções!B$8:B$465,$G50,Funções!K$8:K$465)</f>
        <v>0</v>
      </c>
      <c r="L50" s="19" t="str">
        <f t="shared" si="0"/>
        <v xml:space="preserve">           .</v>
      </c>
    </row>
    <row r="51" spans="1:12" ht="13.5" x14ac:dyDescent="0.25">
      <c r="A51" s="26"/>
      <c r="B51" s="129"/>
      <c r="C51" s="129"/>
      <c r="D51" s="129"/>
      <c r="E51" s="129"/>
      <c r="F51" s="2"/>
      <c r="G51" s="24" t="s">
        <v>137</v>
      </c>
      <c r="H51" s="144"/>
      <c r="I51" s="144"/>
      <c r="J51" s="27">
        <f>COUNTIF(Funções!B$8:B$465,G51)</f>
        <v>0</v>
      </c>
      <c r="K51" s="25">
        <f>SUMIF(Funções!B$8:B$465,$G51,Funções!K$8:K$465)</f>
        <v>0</v>
      </c>
      <c r="L51" s="19" t="str">
        <f t="shared" si="0"/>
        <v xml:space="preserve">           .</v>
      </c>
    </row>
    <row r="52" spans="1:12" ht="13.5" x14ac:dyDescent="0.25">
      <c r="A52" s="26"/>
      <c r="B52" s="129"/>
      <c r="C52" s="129"/>
      <c r="D52" s="129"/>
      <c r="E52" s="129"/>
      <c r="F52" s="2"/>
      <c r="G52" s="24" t="s">
        <v>137</v>
      </c>
      <c r="H52" s="144"/>
      <c r="I52" s="144"/>
      <c r="J52" s="27">
        <f>COUNTIF(Funções!B$8:B$465,G52)</f>
        <v>0</v>
      </c>
      <c r="K52" s="25">
        <f>SUMIF(Funções!B$8:B$465,$G52,Funções!K$8:K$465)</f>
        <v>0</v>
      </c>
      <c r="L52" s="19" t="str">
        <f t="shared" si="0"/>
        <v xml:space="preserve">           .</v>
      </c>
    </row>
    <row r="53" spans="1:12" ht="13.5" x14ac:dyDescent="0.25">
      <c r="A53" s="26"/>
      <c r="B53" s="129"/>
      <c r="C53" s="129"/>
      <c r="D53" s="129"/>
      <c r="E53" s="129"/>
      <c r="F53" s="2"/>
      <c r="G53" s="24" t="s">
        <v>137</v>
      </c>
      <c r="H53" s="144"/>
      <c r="I53" s="144"/>
      <c r="J53" s="27">
        <f>COUNTIF(Funções!B$8:B$465,G53)</f>
        <v>0</v>
      </c>
      <c r="K53" s="25">
        <f>SUMIF(Funções!B$8:B$465,$G53,Funções!K$8:K$465)</f>
        <v>0</v>
      </c>
      <c r="L53" s="19" t="str">
        <f t="shared" si="0"/>
        <v xml:space="preserve">           .</v>
      </c>
    </row>
    <row r="54" spans="1:12" ht="13.5" x14ac:dyDescent="0.25">
      <c r="A54" s="26"/>
      <c r="B54" s="129"/>
      <c r="C54" s="129"/>
      <c r="D54" s="129"/>
      <c r="E54" s="129"/>
      <c r="F54" s="2"/>
      <c r="G54" s="24" t="s">
        <v>137</v>
      </c>
      <c r="H54" s="144"/>
      <c r="I54" s="144"/>
      <c r="J54" s="27">
        <f>COUNTIF(Funções!B$8:B$465,G54)</f>
        <v>0</v>
      </c>
      <c r="K54" s="25">
        <f>SUMIF(Funções!B$8:B$465,$G54,Funções!K$8:K$465)</f>
        <v>0</v>
      </c>
      <c r="L54" s="19" t="str">
        <f t="shared" si="0"/>
        <v xml:space="preserve">           .</v>
      </c>
    </row>
    <row r="55" spans="1:12" ht="13.5" x14ac:dyDescent="0.25">
      <c r="A55" s="26"/>
      <c r="B55" s="129"/>
      <c r="C55" s="129"/>
      <c r="D55" s="129"/>
      <c r="E55" s="129"/>
      <c r="F55" s="2"/>
      <c r="G55" s="24" t="s">
        <v>137</v>
      </c>
      <c r="H55" s="144"/>
      <c r="I55" s="144"/>
      <c r="J55" s="27">
        <f>COUNTIF(Funções!B$8:B$465,G55)</f>
        <v>0</v>
      </c>
      <c r="K55" s="25">
        <f>SUMIF(Funções!B$8:B$465,$G55,Funções!K$8:K$465)</f>
        <v>0</v>
      </c>
      <c r="L55" s="19" t="str">
        <f t="shared" si="0"/>
        <v xml:space="preserve">           .</v>
      </c>
    </row>
    <row r="56" spans="1:12" ht="13.5" x14ac:dyDescent="0.25">
      <c r="A56" s="26"/>
      <c r="B56" s="129"/>
      <c r="C56" s="129"/>
      <c r="D56" s="129"/>
      <c r="E56" s="129"/>
      <c r="F56" s="2"/>
      <c r="G56" s="24" t="s">
        <v>137</v>
      </c>
      <c r="H56" s="144"/>
      <c r="I56" s="144"/>
      <c r="J56" s="27">
        <f>COUNTIF(Funções!B$8:B$465,G56)</f>
        <v>0</v>
      </c>
      <c r="K56" s="25">
        <f>SUMIF(Funções!B$8:B$465,$G56,Funções!K$8:K$465)</f>
        <v>0</v>
      </c>
      <c r="L56" s="19" t="str">
        <f t="shared" si="0"/>
        <v xml:space="preserve">           .</v>
      </c>
    </row>
    <row r="57" spans="1:12" ht="13.5" x14ac:dyDescent="0.25">
      <c r="A57" s="26"/>
      <c r="B57" s="129"/>
      <c r="C57" s="129"/>
      <c r="D57" s="129"/>
      <c r="E57" s="129"/>
      <c r="F57" s="2"/>
      <c r="G57" s="24" t="s">
        <v>137</v>
      </c>
      <c r="H57" s="144"/>
      <c r="I57" s="144"/>
      <c r="J57" s="27">
        <f>COUNTIF(Funções!B$8:B$465,G57)</f>
        <v>0</v>
      </c>
      <c r="K57" s="25">
        <f>SUMIF(Funções!B$8:B$465,$G57,Funções!K$8:K$465)</f>
        <v>0</v>
      </c>
      <c r="L57" s="19" t="str">
        <f t="shared" si="0"/>
        <v xml:space="preserve">           .</v>
      </c>
    </row>
    <row r="58" spans="1:12" ht="13.5" x14ac:dyDescent="0.25">
      <c r="A58" s="26"/>
      <c r="B58" s="129"/>
      <c r="C58" s="129"/>
      <c r="D58" s="129"/>
      <c r="E58" s="129"/>
      <c r="F58" s="2"/>
      <c r="G58" s="24" t="s">
        <v>137</v>
      </c>
      <c r="H58" s="144"/>
      <c r="I58" s="144"/>
      <c r="J58" s="27">
        <f>COUNTIF(Funções!B$8:B$465,G58)</f>
        <v>0</v>
      </c>
      <c r="K58" s="25">
        <f>SUMIF(Funções!B$8:B$465,$G58,Funções!K$8:K$465)</f>
        <v>0</v>
      </c>
      <c r="L58" s="19" t="str">
        <f t="shared" si="0"/>
        <v xml:space="preserve">           .</v>
      </c>
    </row>
    <row r="59" spans="1:12" ht="13.5" x14ac:dyDescent="0.25">
      <c r="A59" s="26"/>
      <c r="B59" s="129"/>
      <c r="C59" s="129"/>
      <c r="D59" s="129"/>
      <c r="E59" s="129"/>
      <c r="F59" s="2"/>
      <c r="G59" s="24" t="s">
        <v>137</v>
      </c>
      <c r="H59" s="144"/>
      <c r="I59" s="144"/>
      <c r="J59" s="27">
        <f>COUNTIF(Funções!B$8:B$465,G59)</f>
        <v>0</v>
      </c>
      <c r="K59" s="25">
        <f>SUMIF(Funções!B$8:B$465,$G59,Funções!K$8:K$465)</f>
        <v>0</v>
      </c>
      <c r="L59" s="19" t="str">
        <f t="shared" si="0"/>
        <v xml:space="preserve">           .</v>
      </c>
    </row>
    <row r="60" spans="1:12" ht="13.5" x14ac:dyDescent="0.25">
      <c r="A60" s="26"/>
      <c r="B60" s="129"/>
      <c r="C60" s="129"/>
      <c r="D60" s="129"/>
      <c r="E60" s="129"/>
      <c r="F60" s="2"/>
      <c r="G60" s="24" t="s">
        <v>137</v>
      </c>
      <c r="H60" s="144"/>
      <c r="I60" s="144"/>
      <c r="J60" s="27">
        <f>COUNTIF(Funções!B$8:B$465,G60)</f>
        <v>0</v>
      </c>
      <c r="K60" s="25">
        <f>SUMIF(Funções!B$8:B$465,$G60,Funções!K$8:K$465)</f>
        <v>0</v>
      </c>
      <c r="L60" s="19" t="str">
        <f t="shared" si="0"/>
        <v xml:space="preserve">           .</v>
      </c>
    </row>
    <row r="61" spans="1:12" ht="13.5" x14ac:dyDescent="0.25">
      <c r="A61" s="26"/>
      <c r="B61" s="129"/>
      <c r="C61" s="129"/>
      <c r="D61" s="129"/>
      <c r="E61" s="129"/>
      <c r="F61" s="2"/>
      <c r="G61" s="24" t="s">
        <v>137</v>
      </c>
      <c r="H61" s="144"/>
      <c r="I61" s="144"/>
      <c r="J61" s="27">
        <f>COUNTIF(Funções!B$8:B$465,G61)</f>
        <v>0</v>
      </c>
      <c r="K61" s="25">
        <f>SUMIF(Funções!B$8:B$465,$G61,Funções!K$8:K$465)</f>
        <v>0</v>
      </c>
      <c r="L61" s="19" t="str">
        <f t="shared" si="0"/>
        <v xml:space="preserve">           .</v>
      </c>
    </row>
    <row r="62" spans="1:12" ht="13.5" x14ac:dyDescent="0.25">
      <c r="A62" s="26"/>
      <c r="B62" s="129"/>
      <c r="C62" s="129"/>
      <c r="D62" s="129"/>
      <c r="E62" s="129"/>
      <c r="F62" s="2"/>
      <c r="G62" s="24" t="s">
        <v>137</v>
      </c>
      <c r="H62" s="144"/>
      <c r="I62" s="144"/>
      <c r="J62" s="27">
        <f>COUNTIF(Funções!B$8:B$465,G62)</f>
        <v>0</v>
      </c>
      <c r="K62" s="25">
        <f>SUMIF(Funções!B$8:B$465,$G62,Funções!K$8:K$465)</f>
        <v>0</v>
      </c>
      <c r="L62" s="19" t="str">
        <f t="shared" si="0"/>
        <v xml:space="preserve">           .</v>
      </c>
    </row>
    <row r="63" spans="1:12" ht="13.5" x14ac:dyDescent="0.25">
      <c r="A63" s="26"/>
      <c r="B63" s="129"/>
      <c r="C63" s="129"/>
      <c r="D63" s="129"/>
      <c r="E63" s="129"/>
      <c r="F63" s="2"/>
      <c r="G63" s="24" t="s">
        <v>137</v>
      </c>
      <c r="H63" s="144"/>
      <c r="I63" s="144"/>
      <c r="J63" s="27">
        <f>COUNTIF(Funções!B$8:B$465,G63)</f>
        <v>0</v>
      </c>
      <c r="K63" s="25">
        <f>SUMIF(Funções!B$8:B$465,$G63,Funções!K$8:K$465)</f>
        <v>0</v>
      </c>
      <c r="L63" s="19" t="str">
        <f t="shared" si="0"/>
        <v xml:space="preserve">           .</v>
      </c>
    </row>
    <row r="64" spans="1:12" ht="13.5" x14ac:dyDescent="0.25">
      <c r="A64" s="28"/>
      <c r="B64" s="145"/>
      <c r="C64" s="145"/>
      <c r="D64" s="145"/>
      <c r="E64" s="145"/>
      <c r="F64" s="29"/>
      <c r="G64" s="30" t="s">
        <v>137</v>
      </c>
      <c r="H64" s="146"/>
      <c r="I64" s="146"/>
      <c r="J64" s="31">
        <f>COUNTIF(Funções!B$8:B$465,G64)</f>
        <v>0</v>
      </c>
      <c r="K64" s="32">
        <f>SUMIF(Funções!B$8:B$465,$G64,Funções!K$8:K$465)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41" activePane="bottomLeft" state="frozen"/>
      <selection activeCell="B11" sqref="B11"/>
      <selection pane="bottomLeft" activeCell="K12" sqref="K12"/>
    </sheetView>
  </sheetViews>
  <sheetFormatPr defaultColWidth="8.85546875" defaultRowHeight="12.75" x14ac:dyDescent="0.2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 x14ac:dyDescent="0.2">
      <c r="A1" s="133" t="s">
        <v>148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x14ac:dyDescent="0.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2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2" x14ac:dyDescent="0.2">
      <c r="A4" s="159" t="str">
        <f>Contagem!A5&amp;" : "&amp;Contagem!F5</f>
        <v xml:space="preserve">Aplicação : </v>
      </c>
      <c r="B4" s="159"/>
      <c r="C4" s="159"/>
      <c r="D4" s="159"/>
      <c r="E4" s="159"/>
      <c r="F4" s="138" t="str">
        <f>Contagem!A8&amp;" : "&amp;Contagem!F8</f>
        <v xml:space="preserve">Projeto : </v>
      </c>
      <c r="G4" s="138"/>
      <c r="H4" s="138"/>
      <c r="I4" s="138"/>
      <c r="J4" s="138"/>
      <c r="K4" s="138"/>
      <c r="L4" s="138"/>
    </row>
    <row r="5" spans="1:12" x14ac:dyDescent="0.2">
      <c r="A5" s="159" t="str">
        <f>Contagem!A9&amp;" : "&amp;Contagem!F9</f>
        <v xml:space="preserve">Responsável : </v>
      </c>
      <c r="B5" s="159"/>
      <c r="C5" s="159"/>
      <c r="D5" s="159"/>
      <c r="E5" s="159"/>
      <c r="F5" s="138" t="str">
        <f>Contagem!A10&amp;" : "&amp;Contagem!F10</f>
        <v xml:space="preserve">Revisor : </v>
      </c>
      <c r="G5" s="138"/>
      <c r="H5" s="138"/>
      <c r="I5" s="138"/>
      <c r="J5" s="138"/>
      <c r="K5" s="138"/>
      <c r="L5" s="138"/>
    </row>
    <row r="6" spans="1:12" x14ac:dyDescent="0.2">
      <c r="A6" s="159" t="str">
        <f>Contagem!A4&amp;" : "&amp;Contagem!F4</f>
        <v xml:space="preserve">Empresa : </v>
      </c>
      <c r="B6" s="159"/>
      <c r="C6" s="159"/>
      <c r="D6" s="159"/>
      <c r="E6" s="159"/>
      <c r="F6" s="138" t="str">
        <f>"Tipo de Contagem : "&amp;Contagem!F6</f>
        <v xml:space="preserve">Tipo de Contagem : </v>
      </c>
      <c r="G6" s="138"/>
      <c r="H6" s="138"/>
      <c r="I6" s="138"/>
      <c r="J6" s="138"/>
      <c r="K6" s="138"/>
      <c r="L6" s="138"/>
    </row>
    <row r="7" spans="1:12" ht="12.75" customHeight="1" x14ac:dyDescent="0.2">
      <c r="A7" s="155" t="s">
        <v>149</v>
      </c>
      <c r="B7" s="155"/>
      <c r="C7" s="156" t="s">
        <v>150</v>
      </c>
      <c r="D7" s="156"/>
      <c r="E7" s="156"/>
      <c r="F7" s="156"/>
      <c r="G7" s="157" t="s">
        <v>151</v>
      </c>
      <c r="H7" s="157" t="s">
        <v>152</v>
      </c>
      <c r="I7" s="65"/>
      <c r="J7" s="157" t="s">
        <v>153</v>
      </c>
      <c r="K7" s="157"/>
      <c r="L7" s="158" t="s">
        <v>152</v>
      </c>
    </row>
    <row r="8" spans="1:12" x14ac:dyDescent="0.2">
      <c r="A8" s="155"/>
      <c r="B8" s="155"/>
      <c r="C8" s="156"/>
      <c r="D8" s="156"/>
      <c r="E8" s="156"/>
      <c r="F8" s="156"/>
      <c r="G8" s="157"/>
      <c r="H8" s="157"/>
      <c r="I8" s="66"/>
      <c r="J8" s="157"/>
      <c r="K8" s="157"/>
      <c r="L8" s="158"/>
    </row>
    <row r="9" spans="1:12" ht="6" customHeight="1" x14ac:dyDescent="0.2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 x14ac:dyDescent="0.25">
      <c r="A10" s="48"/>
      <c r="B10" s="49" t="s">
        <v>34</v>
      </c>
      <c r="C10" s="50">
        <f>COUNTIF(Funções!G8:G465,"EEL")</f>
        <v>16</v>
      </c>
      <c r="D10" s="49"/>
      <c r="E10" s="51" t="s">
        <v>154</v>
      </c>
      <c r="F10" s="51" t="s">
        <v>155</v>
      </c>
      <c r="G10" s="50">
        <f>C10*3</f>
        <v>48</v>
      </c>
      <c r="H10" s="49"/>
      <c r="I10" s="33"/>
      <c r="J10" s="52" t="str">
        <f>Deflatores!$G$4&amp;"="</f>
        <v>I=</v>
      </c>
      <c r="K10" s="53">
        <f>SUMIF(Funções!$J$8:$J$465,"EE"&amp;Deflatores!G4,Funções!$L$8:$L$465)</f>
        <v>0</v>
      </c>
      <c r="L10" s="54"/>
    </row>
    <row r="11" spans="1:12" ht="13.5" x14ac:dyDescent="0.25">
      <c r="A11" s="55"/>
      <c r="B11" s="49"/>
      <c r="C11" s="50">
        <f>COUNTIF(Funções!G8:G465,"EEA")</f>
        <v>4</v>
      </c>
      <c r="D11" s="49"/>
      <c r="E11" s="51" t="s">
        <v>156</v>
      </c>
      <c r="F11" s="51" t="s">
        <v>157</v>
      </c>
      <c r="G11" s="50">
        <f>C11*4</f>
        <v>16</v>
      </c>
      <c r="H11" s="49"/>
      <c r="I11" s="33"/>
      <c r="J11" s="52" t="str">
        <f>Deflatores!$G$5&amp;"="</f>
        <v>A=</v>
      </c>
      <c r="K11" s="53">
        <f>SUMIF(Funções!$J$8:$J$465,"EE"&amp;Deflatores!G5,Funções!$L$8:$L$465)</f>
        <v>0</v>
      </c>
      <c r="L11" s="54"/>
    </row>
    <row r="12" spans="1:12" ht="13.5" x14ac:dyDescent="0.25">
      <c r="A12" s="55"/>
      <c r="B12" s="49"/>
      <c r="C12" s="50">
        <f>COUNTIF(Funções!G8:G465,"EEH")</f>
        <v>0</v>
      </c>
      <c r="D12" s="49"/>
      <c r="E12" s="51" t="s">
        <v>158</v>
      </c>
      <c r="F12" s="51" t="s">
        <v>159</v>
      </c>
      <c r="G12" s="50">
        <f>C12*6</f>
        <v>0</v>
      </c>
      <c r="H12" s="49"/>
      <c r="I12" s="33"/>
      <c r="J12" s="52" t="str">
        <f>Deflatores!$G$6&amp;"="</f>
        <v>E=</v>
      </c>
      <c r="K12" s="53">
        <f>SUMIF(Funções!$J$8:$J$465,"EE"&amp;Deflatores!G6,Funções!$L$8:$L$465)</f>
        <v>0</v>
      </c>
      <c r="L12" s="56"/>
    </row>
    <row r="13" spans="1:12" ht="13.5" x14ac:dyDescent="0.2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 x14ac:dyDescent="0.25">
      <c r="A14" s="55"/>
      <c r="B14" s="58" t="s">
        <v>160</v>
      </c>
      <c r="C14" s="50">
        <f>SUM(C10:C12)</f>
        <v>20</v>
      </c>
      <c r="D14" s="49"/>
      <c r="E14" s="49"/>
      <c r="F14" s="58" t="s">
        <v>161</v>
      </c>
      <c r="G14" s="50">
        <f>SUM(G10:G12)</f>
        <v>64</v>
      </c>
      <c r="H14" s="33">
        <f>IF($G$45&lt;&gt;0,G14/$G$45,"")</f>
        <v>0.37209302325581395</v>
      </c>
      <c r="J14" s="52"/>
      <c r="K14" s="53">
        <f>SUM(K10:K13)</f>
        <v>0</v>
      </c>
      <c r="L14" s="34" t="str">
        <f>IF('Sumário 2'!L11&lt;&gt;0,K14/'Sumário 2'!L11,"")</f>
        <v/>
      </c>
    </row>
    <row r="15" spans="1:12" ht="6" customHeight="1" x14ac:dyDescent="0.2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25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 x14ac:dyDescent="0.25">
      <c r="A17" s="55"/>
      <c r="B17" s="49" t="s">
        <v>140</v>
      </c>
      <c r="C17" s="52">
        <f>COUNTIF(Funções!G8:G465,"SEL")</f>
        <v>0</v>
      </c>
      <c r="D17" s="49"/>
      <c r="E17" s="51" t="s">
        <v>154</v>
      </c>
      <c r="F17" s="51" t="s">
        <v>157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SUMIF(Funções!$J$8:$J$465,"SE"&amp;Deflatores!$G$4,Funções!$L$8:$L$465)</f>
        <v>0</v>
      </c>
      <c r="L17" s="54"/>
    </row>
    <row r="18" spans="1:12" ht="13.5" x14ac:dyDescent="0.25">
      <c r="A18" s="55"/>
      <c r="B18" s="49"/>
      <c r="C18" s="52">
        <f>COUNTIF(Funções!G8:G465,"SEA")</f>
        <v>0</v>
      </c>
      <c r="D18" s="49"/>
      <c r="E18" s="51" t="s">
        <v>156</v>
      </c>
      <c r="F18" s="51" t="s">
        <v>162</v>
      </c>
      <c r="G18" s="52">
        <f>C18*5</f>
        <v>0</v>
      </c>
      <c r="H18" s="49"/>
      <c r="I18" s="49"/>
      <c r="J18" s="52" t="str">
        <f>Deflatores!$G$5&amp;"="</f>
        <v>A=</v>
      </c>
      <c r="K18" s="61">
        <f>SUMIF(Funções!$J$8:$J$465,"SE"&amp;Deflatores!$G$5,Funções!$L$8:$L$465)</f>
        <v>0</v>
      </c>
      <c r="L18" s="54"/>
    </row>
    <row r="19" spans="1:12" ht="13.5" x14ac:dyDescent="0.25">
      <c r="A19" s="55"/>
      <c r="B19" s="49"/>
      <c r="C19" s="52">
        <f>COUNTIF(Funções!G8:G465,"SEH")</f>
        <v>0</v>
      </c>
      <c r="D19" s="49"/>
      <c r="E19" s="51" t="s">
        <v>158</v>
      </c>
      <c r="F19" s="51" t="s">
        <v>163</v>
      </c>
      <c r="G19" s="52">
        <f>C19*7</f>
        <v>0</v>
      </c>
      <c r="H19" s="49"/>
      <c r="I19" s="49"/>
      <c r="J19" s="52" t="str">
        <f>Deflatores!$G$6&amp;"="</f>
        <v>E=</v>
      </c>
      <c r="K19" s="61">
        <f>SUMIF(Funções!$J$8:$J$465,"SE"&amp;Deflatores!$G$6,Funções!$L$8:$L$465)</f>
        <v>0</v>
      </c>
      <c r="L19" s="56"/>
    </row>
    <row r="20" spans="1:12" ht="13.5" x14ac:dyDescent="0.2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 x14ac:dyDescent="0.25">
      <c r="A21" s="55"/>
      <c r="B21" s="58" t="s">
        <v>160</v>
      </c>
      <c r="C21" s="50">
        <f>SUM(C17:C19)</f>
        <v>0</v>
      </c>
      <c r="D21" s="49"/>
      <c r="E21" s="49"/>
      <c r="F21" s="58" t="s">
        <v>161</v>
      </c>
      <c r="G21" s="50">
        <f>SUM(G17:G19)</f>
        <v>0</v>
      </c>
      <c r="H21" s="33">
        <f>IF($G$45&lt;&gt;0,G21/$G$45,"")</f>
        <v>0</v>
      </c>
      <c r="J21" s="52"/>
      <c r="K21" s="53">
        <f>SUM(K17:K20)</f>
        <v>0</v>
      </c>
      <c r="L21" s="34" t="str">
        <f>IF('Sumário 2'!L11&lt;&gt;0,K21/'Sumário 2'!L11,"")</f>
        <v/>
      </c>
    </row>
    <row r="22" spans="1:12" ht="6" customHeight="1" x14ac:dyDescent="0.25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25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 x14ac:dyDescent="0.25">
      <c r="A24" s="55"/>
      <c r="B24" s="49" t="s">
        <v>36</v>
      </c>
      <c r="C24" s="50">
        <f>COUNTIF(Funções!G8:G465,"CEL")</f>
        <v>10</v>
      </c>
      <c r="D24" s="49"/>
      <c r="E24" s="51" t="s">
        <v>154</v>
      </c>
      <c r="F24" s="51" t="s">
        <v>155</v>
      </c>
      <c r="G24" s="50">
        <f>C24*3</f>
        <v>30</v>
      </c>
      <c r="H24" s="49"/>
      <c r="I24" s="49"/>
      <c r="J24" s="52" t="str">
        <f>Deflatores!$G$4&amp;"="</f>
        <v>I=</v>
      </c>
      <c r="K24" s="53">
        <f>SUMIF(Funções!$J$8:$J$465,"CE"&amp;Deflatores!$G$4,Funções!$L$8:$L$465)</f>
        <v>0</v>
      </c>
      <c r="L24" s="54"/>
    </row>
    <row r="25" spans="1:12" ht="13.5" x14ac:dyDescent="0.25">
      <c r="A25" s="55"/>
      <c r="B25" s="49"/>
      <c r="C25" s="50">
        <f>COUNTIF(Funções!G8:G465,"CEA")</f>
        <v>2</v>
      </c>
      <c r="D25" s="49"/>
      <c r="E25" s="51" t="s">
        <v>156</v>
      </c>
      <c r="F25" s="51" t="s">
        <v>157</v>
      </c>
      <c r="G25" s="50">
        <f>C25*4</f>
        <v>8</v>
      </c>
      <c r="H25" s="49"/>
      <c r="I25" s="49"/>
      <c r="J25" s="52" t="str">
        <f>Deflatores!$G$5&amp;"="</f>
        <v>A=</v>
      </c>
      <c r="K25" s="53">
        <f>SUMIF(Funções!$J$8:$J$465,"CE"&amp;Deflatores!$G$5,Funções!$L$8:$L$465)</f>
        <v>0</v>
      </c>
      <c r="L25" s="54"/>
    </row>
    <row r="26" spans="1:12" ht="13.5" x14ac:dyDescent="0.25">
      <c r="A26" s="55"/>
      <c r="B26" s="49"/>
      <c r="C26" s="50">
        <f>COUNTIF(Funções!G8:G465,"CEH")</f>
        <v>0</v>
      </c>
      <c r="D26" s="49"/>
      <c r="E26" s="51" t="s">
        <v>158</v>
      </c>
      <c r="F26" s="51" t="s">
        <v>159</v>
      </c>
      <c r="G26" s="50">
        <f>C26*6</f>
        <v>0</v>
      </c>
      <c r="H26" s="49"/>
      <c r="I26" s="49"/>
      <c r="J26" s="52" t="str">
        <f>Deflatores!$G$6&amp;"="</f>
        <v>E=</v>
      </c>
      <c r="K26" s="53">
        <f>SUMIF(Funções!$J$8:$J$465,"CE"&amp;Deflatores!$G$6,Funções!$L$8:$L$465)</f>
        <v>0</v>
      </c>
      <c r="L26" s="56"/>
    </row>
    <row r="27" spans="1:12" ht="13.5" x14ac:dyDescent="0.2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 x14ac:dyDescent="0.25">
      <c r="A28" s="55"/>
      <c r="B28" s="58" t="s">
        <v>160</v>
      </c>
      <c r="C28" s="50">
        <f>SUM(C24:C26)</f>
        <v>12</v>
      </c>
      <c r="D28" s="49"/>
      <c r="E28" s="49"/>
      <c r="F28" s="58" t="s">
        <v>161</v>
      </c>
      <c r="G28" s="50">
        <f>SUM(G24:G26)</f>
        <v>38</v>
      </c>
      <c r="H28" s="33">
        <f>IF($G$45&lt;&gt;0,G28/$G$45,"")</f>
        <v>0.22093023255813954</v>
      </c>
      <c r="J28" s="52"/>
      <c r="K28" s="53">
        <f>SUM(K24:K27)</f>
        <v>0</v>
      </c>
      <c r="L28" s="34" t="str">
        <f>IF('Sumário 2'!L11&lt;&gt;0,K28/'Sumário 2'!L11,"")</f>
        <v/>
      </c>
    </row>
    <row r="29" spans="1:12" ht="6" customHeight="1" x14ac:dyDescent="0.25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25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 x14ac:dyDescent="0.25">
      <c r="A31" s="55"/>
      <c r="B31" s="49" t="s">
        <v>32</v>
      </c>
      <c r="C31" s="50">
        <f>COUNTIF(Funções!G8:G465,"ALIL")</f>
        <v>10</v>
      </c>
      <c r="D31" s="49"/>
      <c r="E31" s="49" t="s">
        <v>154</v>
      </c>
      <c r="F31" s="49" t="s">
        <v>163</v>
      </c>
      <c r="G31" s="50">
        <f>C31*7</f>
        <v>70</v>
      </c>
      <c r="H31" s="49"/>
      <c r="I31" s="49"/>
      <c r="J31" s="52" t="str">
        <f>Deflatores!$G$4&amp;"="</f>
        <v>I=</v>
      </c>
      <c r="K31" s="53">
        <f>SUMIF(Funções!$J$8:$J$465,"ALI"&amp;Deflatores!$G$4,Funções!$L$8:$L$465)</f>
        <v>0</v>
      </c>
      <c r="L31" s="54"/>
    </row>
    <row r="32" spans="1:12" ht="13.5" x14ac:dyDescent="0.25">
      <c r="A32" s="55"/>
      <c r="B32" s="49"/>
      <c r="C32" s="50">
        <f>COUNTIF(Funções!G8:G465,"ALIA")</f>
        <v>0</v>
      </c>
      <c r="D32" s="49"/>
      <c r="E32" s="49" t="s">
        <v>156</v>
      </c>
      <c r="F32" s="49" t="s">
        <v>164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SUMIF(Funções!$J$8:$J$465,"ALI"&amp;Deflatores!$G$5,Funções!$L$8:$L$465)</f>
        <v>0</v>
      </c>
      <c r="L32" s="54"/>
    </row>
    <row r="33" spans="1:12" ht="13.5" x14ac:dyDescent="0.25">
      <c r="A33" s="55"/>
      <c r="B33" s="49"/>
      <c r="C33" s="50">
        <f>COUNTIF(Funções!G8:G465,"ALIH")</f>
        <v>0</v>
      </c>
      <c r="D33" s="49"/>
      <c r="E33" s="49" t="s">
        <v>158</v>
      </c>
      <c r="F33" s="49" t="s">
        <v>165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SUMIF(Funções!$J$8:$J$465,"ALI"&amp;Deflatores!$G$6,Funções!$L$8:$L$465)</f>
        <v>0</v>
      </c>
      <c r="L33" s="56"/>
    </row>
    <row r="34" spans="1:12" ht="13.5" x14ac:dyDescent="0.2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 x14ac:dyDescent="0.25">
      <c r="A35" s="55"/>
      <c r="B35" s="58" t="s">
        <v>160</v>
      </c>
      <c r="C35" s="50">
        <f>SUM(C31:C33)</f>
        <v>10</v>
      </c>
      <c r="D35" s="49"/>
      <c r="E35" s="49"/>
      <c r="F35" s="58" t="s">
        <v>161</v>
      </c>
      <c r="G35" s="50">
        <f>SUM(G31:G33)</f>
        <v>70</v>
      </c>
      <c r="H35" s="33">
        <f>IF($G$45&lt;&gt;0,G35/$G$45,"")</f>
        <v>0.40697674418604651</v>
      </c>
      <c r="J35" s="52"/>
      <c r="K35" s="53">
        <f>SUM(K31:K34)</f>
        <v>0</v>
      </c>
      <c r="L35" s="34" t="str">
        <f>IF('Sumário 2'!L11&lt;&gt;0,K35/'Sumário 2'!L11,"")</f>
        <v/>
      </c>
    </row>
    <row r="36" spans="1:12" ht="6" customHeight="1" x14ac:dyDescent="0.25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25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 x14ac:dyDescent="0.25">
      <c r="A38" s="55"/>
      <c r="B38" s="49" t="s">
        <v>138</v>
      </c>
      <c r="C38" s="50">
        <f>COUNTIF(Funções!G8:G465,"AIEL")</f>
        <v>0</v>
      </c>
      <c r="D38" s="49"/>
      <c r="E38" s="49" t="s">
        <v>154</v>
      </c>
      <c r="F38" s="49" t="s">
        <v>162</v>
      </c>
      <c r="G38" s="50">
        <f>C38*5</f>
        <v>0</v>
      </c>
      <c r="H38" s="49"/>
      <c r="I38" s="49"/>
      <c r="J38" s="52" t="str">
        <f>Deflatores!$G$4&amp;"="</f>
        <v>I=</v>
      </c>
      <c r="K38" s="53">
        <f>SUMIF(Funções!$J$8:$J$465,"AIE"&amp;Deflatores!$G$4,Funções!$L$8:$L$465)</f>
        <v>0</v>
      </c>
      <c r="L38" s="54"/>
    </row>
    <row r="39" spans="1:12" ht="13.5" x14ac:dyDescent="0.25">
      <c r="A39" s="55"/>
      <c r="B39" s="49"/>
      <c r="C39" s="50">
        <f>COUNTIF(Funções!G8:G465,"AIEA")</f>
        <v>0</v>
      </c>
      <c r="D39" s="49"/>
      <c r="E39" s="49" t="s">
        <v>156</v>
      </c>
      <c r="F39" s="49" t="s">
        <v>163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SUMIF(Funções!$J$8:$J$465,"AIE"&amp;Deflatores!$G$5,Funções!$L$8:$L$465)</f>
        <v>0</v>
      </c>
      <c r="L39" s="54"/>
    </row>
    <row r="40" spans="1:12" ht="13.5" x14ac:dyDescent="0.25">
      <c r="A40" s="55"/>
      <c r="B40" s="49"/>
      <c r="C40" s="50">
        <f>COUNTIF(Funções!G8:G465,"AIEH")</f>
        <v>0</v>
      </c>
      <c r="D40" s="49"/>
      <c r="E40" s="49" t="s">
        <v>158</v>
      </c>
      <c r="F40" s="49" t="s">
        <v>164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SUMIF(Funções!$J$8:$J$465,"AIE"&amp;Deflatores!$G$6,Funções!$L$8:$L$465)</f>
        <v>0</v>
      </c>
      <c r="L40" s="56"/>
    </row>
    <row r="41" spans="1:12" ht="13.5" x14ac:dyDescent="0.2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 x14ac:dyDescent="0.25">
      <c r="A42" s="55"/>
      <c r="B42" s="58" t="s">
        <v>160</v>
      </c>
      <c r="C42" s="50">
        <f>SUM(C38:C40)</f>
        <v>0</v>
      </c>
      <c r="D42" s="49"/>
      <c r="E42" s="49"/>
      <c r="F42" s="58" t="s">
        <v>161</v>
      </c>
      <c r="G42" s="50">
        <f>SUM(G38:G40)</f>
        <v>0</v>
      </c>
      <c r="H42" s="33">
        <f>IF($G$45&lt;&gt;0,G42/$G$45,"")</f>
        <v>0</v>
      </c>
      <c r="J42" s="52"/>
      <c r="K42" s="53">
        <f>SUM(K38:K41)</f>
        <v>0</v>
      </c>
      <c r="L42" s="34" t="str">
        <f>IF('Sumário 2'!L11&lt;&gt;0,K42/'Sumário 2'!L11,"")</f>
        <v/>
      </c>
    </row>
    <row r="43" spans="1:12" ht="6" customHeight="1" x14ac:dyDescent="0.25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25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 x14ac:dyDescent="0.25">
      <c r="A45" s="55"/>
      <c r="B45" s="154" t="s">
        <v>166</v>
      </c>
      <c r="C45" s="154"/>
      <c r="D45" s="154"/>
      <c r="E45" s="154"/>
      <c r="F45" s="154"/>
      <c r="G45" s="50">
        <f>SUM(G14+G21+G28+G35+G42)</f>
        <v>172</v>
      </c>
      <c r="H45" s="49"/>
      <c r="I45" s="49"/>
      <c r="J45" s="49"/>
      <c r="K45" s="49"/>
      <c r="L45" s="54"/>
    </row>
    <row r="46" spans="1:12" ht="13.5" x14ac:dyDescent="0.25">
      <c r="A46" s="55"/>
      <c r="B46" s="154" t="s">
        <v>167</v>
      </c>
      <c r="C46" s="154"/>
      <c r="D46" s="154"/>
      <c r="E46" s="154"/>
      <c r="F46" s="154"/>
      <c r="G46" s="50">
        <f>(C10+C11+C12)*4+(C17+C18+C19)*5+(C24+C25+C26)*4+(C31+C32+C33)*7+(C38+C39+C40)*5</f>
        <v>198</v>
      </c>
      <c r="H46" s="49"/>
      <c r="I46" s="49"/>
      <c r="J46" s="49"/>
      <c r="K46" s="49"/>
      <c r="L46" s="54"/>
    </row>
    <row r="47" spans="1:12" ht="13.5" x14ac:dyDescent="0.25">
      <c r="A47" s="55"/>
      <c r="B47" s="154" t="s">
        <v>168</v>
      </c>
      <c r="C47" s="154"/>
      <c r="D47" s="154"/>
      <c r="E47" s="154"/>
      <c r="F47" s="154"/>
      <c r="G47" s="50">
        <f>(C31+C32+C33)*35+(C38+C39+C40)*15</f>
        <v>350</v>
      </c>
      <c r="H47" s="49"/>
      <c r="I47" s="49"/>
      <c r="J47" s="49"/>
      <c r="K47" s="49"/>
      <c r="L47" s="54"/>
    </row>
    <row r="48" spans="1:12" ht="13.5" x14ac:dyDescent="0.2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 x14ac:dyDescent="0.2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 x14ac:dyDescent="0.2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 x14ac:dyDescent="0.2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 x14ac:dyDescent="0.2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42" activePane="bottomLeft" state="frozen"/>
      <selection activeCell="B11" sqref="B11"/>
      <selection pane="bottomLeft" activeCell="G37" sqref="G37"/>
    </sheetView>
  </sheetViews>
  <sheetFormatPr defaultColWidth="11.42578125" defaultRowHeight="12.75" x14ac:dyDescent="0.2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 x14ac:dyDescent="0.2">
      <c r="A1" s="133" t="s">
        <v>169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x14ac:dyDescent="0.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x14ac:dyDescent="0.2">
      <c r="A4" s="159" t="str">
        <f>Contagem!A5&amp;" : "&amp;Contagem!F5</f>
        <v xml:space="preserve">Aplicação : </v>
      </c>
      <c r="B4" s="159"/>
      <c r="C4" s="159"/>
      <c r="D4" s="159"/>
      <c r="E4" s="159"/>
      <c r="F4" s="138" t="str">
        <f>Contagem!A8&amp;" : "&amp;Contagem!F8</f>
        <v xml:space="preserve">Projeto : </v>
      </c>
      <c r="G4" s="138"/>
      <c r="H4" s="138"/>
      <c r="I4" s="138"/>
      <c r="J4" s="138"/>
      <c r="K4" s="138"/>
      <c r="L4" s="138"/>
      <c r="M4" s="138"/>
    </row>
    <row r="5" spans="1:13" x14ac:dyDescent="0.2">
      <c r="A5" s="161" t="str">
        <f>Contagem!A9&amp;" : "&amp;Contagem!F9</f>
        <v xml:space="preserve">Responsável : </v>
      </c>
      <c r="B5" s="161"/>
      <c r="C5" s="161"/>
      <c r="D5" s="161"/>
      <c r="E5" s="161"/>
      <c r="F5" s="138" t="str">
        <f>Contagem!A10&amp;" : "&amp;Contagem!F10</f>
        <v xml:space="preserve">Revisor : </v>
      </c>
      <c r="G5" s="138"/>
      <c r="H5" s="138"/>
      <c r="I5" s="138"/>
      <c r="J5" s="138"/>
      <c r="K5" s="138"/>
      <c r="L5" s="138"/>
      <c r="M5" s="138"/>
    </row>
    <row r="6" spans="1:13" x14ac:dyDescent="0.2">
      <c r="A6" s="161" t="str">
        <f>Contagem!A4&amp;" : "&amp;Contagem!F4</f>
        <v xml:space="preserve">Empresa : </v>
      </c>
      <c r="B6" s="161"/>
      <c r="C6" s="161"/>
      <c r="D6" s="161"/>
      <c r="E6" s="161"/>
      <c r="F6" s="138" t="str">
        <f>"Tipo de Contagem : "&amp;Contagem!F6</f>
        <v xml:space="preserve">Tipo de Contagem : </v>
      </c>
      <c r="G6" s="138"/>
      <c r="H6" s="138"/>
      <c r="I6" s="138"/>
      <c r="J6" s="138"/>
      <c r="K6" s="138"/>
      <c r="L6" s="138"/>
      <c r="M6" s="138"/>
    </row>
    <row r="7" spans="1:13" x14ac:dyDescent="0.2">
      <c r="A7" s="80"/>
      <c r="M7" s="81"/>
    </row>
    <row r="8" spans="1:13" ht="13.5" x14ac:dyDescent="0.25">
      <c r="A8" s="80"/>
      <c r="B8" s="162"/>
      <c r="C8" s="162"/>
      <c r="D8" s="162"/>
      <c r="E8" s="162"/>
      <c r="F8" s="162"/>
      <c r="G8" s="162"/>
      <c r="H8" s="162"/>
      <c r="I8" s="162"/>
      <c r="M8" s="81"/>
    </row>
    <row r="9" spans="1:13" ht="13.5" x14ac:dyDescent="0.25">
      <c r="A9" s="80"/>
      <c r="B9" s="163" t="s">
        <v>170</v>
      </c>
      <c r="C9" s="163"/>
      <c r="D9" s="163"/>
      <c r="E9" s="35" t="s">
        <v>139</v>
      </c>
      <c r="F9" s="35" t="s">
        <v>2</v>
      </c>
      <c r="G9" s="35" t="s">
        <v>171</v>
      </c>
      <c r="H9" s="35" t="s">
        <v>172</v>
      </c>
      <c r="I9" s="35" t="s">
        <v>6</v>
      </c>
      <c r="J9" s="35" t="s">
        <v>173</v>
      </c>
      <c r="M9" s="81"/>
    </row>
    <row r="10" spans="1:13" ht="13.5" customHeight="1" x14ac:dyDescent="0.25">
      <c r="A10" s="80"/>
      <c r="B10" s="129" t="str">
        <f>""&amp;Deflatores!B4</f>
        <v>Inclusão</v>
      </c>
      <c r="C10" s="129"/>
      <c r="D10" s="24" t="str">
        <f>""&amp;Deflatores!G4</f>
        <v>I</v>
      </c>
      <c r="E10" s="102">
        <f>IF(D10="","",COUNTIF(Funções!C$8:C$465,D10))</f>
        <v>0</v>
      </c>
      <c r="F10" s="103">
        <f>SUMIF(Funções!$C$8:$C$465,Deflatores!G4,Funções!$H$8:$H$465)</f>
        <v>0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0</v>
      </c>
      <c r="J10" s="106" t="str">
        <f t="shared" ref="J10:J44" si="0">IF($L$11&lt;&gt;0,I10/$L$11,"")</f>
        <v/>
      </c>
      <c r="L10" s="40" t="s">
        <v>6</v>
      </c>
      <c r="M10" s="54"/>
    </row>
    <row r="11" spans="1:13" ht="13.5" customHeight="1" x14ac:dyDescent="0.25">
      <c r="A11" s="80"/>
      <c r="B11" s="129" t="str">
        <f>""&amp;Deflatores!B5</f>
        <v>Alteração (sem conhecimento do Fator de Impacto)</v>
      </c>
      <c r="C11" s="129"/>
      <c r="D11" s="24" t="str">
        <f>""&amp;Deflatores!G5</f>
        <v>A</v>
      </c>
      <c r="E11" s="102">
        <f>IF(D11="","",COUNTIF(Funções!C$8:C$465,D11))</f>
        <v>0</v>
      </c>
      <c r="F11" s="103">
        <f>SUMIF(Funções!$C$8:$C$465,Deflatores!G5,Funções!$H$8:$H$465)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 t="str">
        <f t="shared" si="0"/>
        <v/>
      </c>
      <c r="K11" s="92"/>
      <c r="L11" s="41">
        <f>Contagem!Q6</f>
        <v>0</v>
      </c>
      <c r="M11" s="54"/>
    </row>
    <row r="12" spans="1:13" ht="13.5" customHeight="1" x14ac:dyDescent="0.25">
      <c r="A12" s="80"/>
      <c r="B12" s="129" t="str">
        <f>""&amp;Deflatores!B6</f>
        <v>Exclusão</v>
      </c>
      <c r="C12" s="129"/>
      <c r="D12" s="24" t="str">
        <f>""&amp;Deflatores!G6</f>
        <v>E</v>
      </c>
      <c r="E12" s="102">
        <f>IF(D12="","",COUNTIF(Funções!C$8:C$465,D12))</f>
        <v>0</v>
      </c>
      <c r="F12" s="103">
        <f>SUMIF(Funções!$C$8:$C$465,Deflatores!G6,Funções!$H$8:$H$465)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 t="str">
        <f t="shared" si="0"/>
        <v/>
      </c>
      <c r="K12" s="92"/>
      <c r="L12" s="93"/>
      <c r="M12" s="54"/>
    </row>
    <row r="13" spans="1:13" ht="13.5" customHeight="1" x14ac:dyDescent="0.25">
      <c r="A13" s="80"/>
      <c r="B13" s="129" t="str">
        <f>""&amp;Deflatores!B7</f>
        <v>Alteração (50%) de função desenvolvida ou já alterada pela empresa atual</v>
      </c>
      <c r="C13" s="129"/>
      <c r="D13" s="24" t="str">
        <f>""&amp;Deflatores!G7</f>
        <v>A50</v>
      </c>
      <c r="E13" s="102">
        <f>IF(D13="","",COUNTIF(Funções!C$8:C$465,D13))</f>
        <v>0</v>
      </c>
      <c r="F13" s="103">
        <f>SUMIF(Funções!$C$8:$C$465,Deflatores!G7,Funções!$H$8:$H$465)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 t="str">
        <f t="shared" si="0"/>
        <v/>
      </c>
      <c r="K13" s="92"/>
      <c r="L13" s="40" t="s">
        <v>174</v>
      </c>
      <c r="M13" s="54"/>
    </row>
    <row r="14" spans="1:13" ht="13.5" customHeight="1" x14ac:dyDescent="0.25">
      <c r="A14" s="80"/>
      <c r="B14" s="129" t="str">
        <f>""&amp;Deflatores!B8</f>
        <v>Alteração (75%) de função não desenv. e ainda não alterada pela empresa atual</v>
      </c>
      <c r="C14" s="129"/>
      <c r="D14" s="24" t="str">
        <f>""&amp;Deflatores!G8</f>
        <v>A75</v>
      </c>
      <c r="E14" s="102">
        <f>IF(D14="","",COUNTIF(Funções!C$8:C$465,D14))</f>
        <v>0</v>
      </c>
      <c r="F14" s="103">
        <f>SUMIF(Funções!$C$8:$C$465,Deflatores!G8,Funções!$H$8:$H$465)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 t="str">
        <f t="shared" si="0"/>
        <v/>
      </c>
      <c r="L14" s="41">
        <f>Contagem!Q4</f>
        <v>172</v>
      </c>
      <c r="M14" s="54"/>
    </row>
    <row r="15" spans="1:13" ht="13.5" customHeight="1" x14ac:dyDescent="0.2">
      <c r="A15" s="80"/>
      <c r="B15" s="129" t="str">
        <f>""&amp;Deflatores!B9</f>
        <v>Alteração (75%+15%): o mesmo acima + redocumentar a função</v>
      </c>
      <c r="C15" s="129"/>
      <c r="D15" s="24" t="str">
        <f>""&amp;Deflatores!G9</f>
        <v>A90</v>
      </c>
      <c r="E15" s="102">
        <f>IF(D15="","",COUNTIF(Funções!C$8:C$465,D15))</f>
        <v>0</v>
      </c>
      <c r="F15" s="103">
        <f>SUMIF(Funções!$C$8:$C$465,Deflatores!G9,Funções!$H$8:$H$465)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 t="str">
        <f t="shared" si="0"/>
        <v/>
      </c>
      <c r="M15" s="81"/>
    </row>
    <row r="16" spans="1:13" ht="13.5" customHeight="1" x14ac:dyDescent="0.2">
      <c r="A16" s="80"/>
      <c r="B16" s="129" t="str">
        <f>""&amp;Deflatores!B10</f>
        <v>Migração de Dados</v>
      </c>
      <c r="C16" s="129"/>
      <c r="D16" s="24" t="str">
        <f>""&amp;Deflatores!G10</f>
        <v>PMD</v>
      </c>
      <c r="E16" s="102">
        <f>IF(D16="","",COUNTIF(Funções!C$8:C$465,D16))</f>
        <v>0</v>
      </c>
      <c r="F16" s="103">
        <f>SUMIF(Funções!$C$8:$C$465,Deflatores!G10,Funções!$H$8:$H$465)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 t="str">
        <f t="shared" si="0"/>
        <v/>
      </c>
      <c r="M16" s="81"/>
    </row>
    <row r="17" spans="1:13" ht="13.5" customHeight="1" x14ac:dyDescent="0.2">
      <c r="A17" s="80"/>
      <c r="B17" s="129" t="str">
        <f>""&amp;Deflatores!B11</f>
        <v>Corretiva (sem conhecimento do Fator de Impacto)</v>
      </c>
      <c r="C17" s="129"/>
      <c r="D17" s="24" t="str">
        <f>""&amp;Deflatores!G11</f>
        <v>COR</v>
      </c>
      <c r="E17" s="102">
        <f>IF(D17="","",COUNTIF(Funções!C$8:C$465,D17))</f>
        <v>0</v>
      </c>
      <c r="F17" s="103">
        <f>SUMIF(Funções!$C$8:$C$465,Deflatores!G11,Funções!$H$8:$H$465)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 t="str">
        <f>IF($L$11&lt;&gt;0,I17/$L$11,"")</f>
        <v/>
      </c>
      <c r="M17" s="81"/>
    </row>
    <row r="18" spans="1:13" ht="13.5" customHeight="1" x14ac:dyDescent="0.2">
      <c r="A18" s="80"/>
      <c r="B18" s="129" t="str">
        <f>""&amp;Deflatores!B12</f>
        <v>Corretiva (50%) - Fora da garantia (mesma empresa)</v>
      </c>
      <c r="C18" s="129"/>
      <c r="D18" s="24" t="str">
        <f>""&amp;Deflatores!G12</f>
        <v>COR50</v>
      </c>
      <c r="E18" s="102">
        <f>IF(D18="","",COUNTIF(Funções!C$8:C$465,D18))</f>
        <v>0</v>
      </c>
      <c r="F18" s="103">
        <f>SUMIF(Funções!$C$8:$C$465,Deflatores!G12,Funções!$H$8:$H$465)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 t="str">
        <f t="shared" si="0"/>
        <v/>
      </c>
      <c r="M18" s="81"/>
    </row>
    <row r="19" spans="1:13" ht="13.5" customHeight="1" x14ac:dyDescent="0.2">
      <c r="A19" s="80"/>
      <c r="B19" s="129" t="str">
        <f>""&amp;Deflatores!B13</f>
        <v>Corretiva (75%) - Fora da garantia (outra empresa)</v>
      </c>
      <c r="C19" s="129"/>
      <c r="D19" s="24" t="str">
        <f>""&amp;Deflatores!G13</f>
        <v>COR75</v>
      </c>
      <c r="E19" s="102">
        <f>IF(D19="","",COUNTIF(Funções!C$8:C$465,D19))</f>
        <v>0</v>
      </c>
      <c r="F19" s="103">
        <f>SUMIF(Funções!$C$8:$C$465,Deflatores!G13,Funções!$H$8:$H$465)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 t="str">
        <f t="shared" si="0"/>
        <v/>
      </c>
      <c r="M19" s="81"/>
    </row>
    <row r="20" spans="1:13" ht="13.5" customHeight="1" x14ac:dyDescent="0.2">
      <c r="A20" s="80"/>
      <c r="B20" s="129" t="str">
        <f>""&amp;Deflatores!B14</f>
        <v>Corretiva (75%+15%) - Fora da garantia (outra empresa) + Redocumentação</v>
      </c>
      <c r="C20" s="129"/>
      <c r="D20" s="24" t="str">
        <f>""&amp;Deflatores!G14</f>
        <v>COR90</v>
      </c>
      <c r="E20" s="102">
        <f>IF(D20="","",COUNTIF(Funções!C$8:C$465,D20))</f>
        <v>0</v>
      </c>
      <c r="F20" s="103">
        <f>SUMIF(Funções!$C$8:$C$465,Deflatores!G14,Funções!$H$8:$H$465)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 t="str">
        <f>IF($L$11&lt;&gt;0,I20/$L$11,"")</f>
        <v/>
      </c>
      <c r="M20" s="81"/>
    </row>
    <row r="21" spans="1:13" ht="13.5" customHeight="1" x14ac:dyDescent="0.2">
      <c r="A21" s="80"/>
      <c r="B21" s="129" t="str">
        <f>""&amp;Deflatores!B15</f>
        <v>Corretiva em Garantia</v>
      </c>
      <c r="C21" s="129"/>
      <c r="D21" s="24" t="str">
        <f>""&amp;Deflatores!G15</f>
        <v>GAR</v>
      </c>
      <c r="E21" s="102">
        <f>IF(D21="","",COUNTIF(Funções!C$8:C$465,D21))</f>
        <v>0</v>
      </c>
      <c r="F21" s="103">
        <f>SUMIF(Funções!$C$8:$C$465,Deflatores!G15,Funções!$H$8:$H$465)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 t="str">
        <f>IF($L$11&lt;&gt;0,I21/$L$11,"")</f>
        <v/>
      </c>
      <c r="M21" s="81"/>
    </row>
    <row r="22" spans="1:13" ht="13.5" customHeight="1" x14ac:dyDescent="0.2">
      <c r="A22" s="80"/>
      <c r="B22" s="129" t="str">
        <f>""&amp;Deflatores!B16</f>
        <v>Mudança de Plataforma - Linguagem de Programação</v>
      </c>
      <c r="C22" s="129"/>
      <c r="D22" s="24" t="str">
        <f>""&amp;Deflatores!G16</f>
        <v>MLP</v>
      </c>
      <c r="E22" s="102">
        <f>IF(D22="","",COUNTIF(Funções!C$8:C$465,D22))</f>
        <v>0</v>
      </c>
      <c r="F22" s="103">
        <f>SUMIF(Funções!$C$8:$C$465,Deflatores!G16,Funções!$H$8:$H$465)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 t="str">
        <f t="shared" si="0"/>
        <v/>
      </c>
      <c r="M22" s="81"/>
    </row>
    <row r="23" spans="1:13" ht="13.5" customHeight="1" x14ac:dyDescent="0.2">
      <c r="A23" s="80"/>
      <c r="B23" s="129" t="str">
        <f>""&amp;Deflatores!B17</f>
        <v>Mudança de Plataforma - Banco de Dados (outro paradigma)</v>
      </c>
      <c r="C23" s="129"/>
      <c r="D23" s="24" t="str">
        <f>""&amp;Deflatores!G17</f>
        <v>MBO</v>
      </c>
      <c r="E23" s="102">
        <f>IF(D23="","",COUNTIF(Funções!C$8:C$465,D23))</f>
        <v>0</v>
      </c>
      <c r="F23" s="103">
        <f>SUMIF(Funções!$C$8:$C$465,Deflatores!G17,Funções!$H$8:$H$465)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 t="str">
        <f t="shared" si="0"/>
        <v/>
      </c>
      <c r="M23" s="81"/>
    </row>
    <row r="24" spans="1:13" ht="13.5" customHeight="1" x14ac:dyDescent="0.2">
      <c r="A24" s="80"/>
      <c r="B24" s="129" t="str">
        <f>""&amp;Deflatores!B18</f>
        <v>Mudança de Plataforma - Banco de Dados (mesmo paradigma com alterações)</v>
      </c>
      <c r="C24" s="129"/>
      <c r="D24" s="24" t="str">
        <f>""&amp;Deflatores!G18</f>
        <v>MBM</v>
      </c>
      <c r="E24" s="102">
        <f>IF(D24="","",COUNTIF(Funções!C$8:C$465,D24))</f>
        <v>0</v>
      </c>
      <c r="F24" s="103">
        <f>SUMIF(Funções!$C$8:$C$465,Deflatores!G18,Funções!$H$8:$H$465)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 t="str">
        <f t="shared" si="0"/>
        <v/>
      </c>
      <c r="K24" s="92"/>
      <c r="M24" s="81"/>
    </row>
    <row r="25" spans="1:13" ht="13.5" customHeight="1" x14ac:dyDescent="0.2">
      <c r="A25" s="80"/>
      <c r="B25" s="129" t="str">
        <f>""&amp;Deflatores!B19</f>
        <v>Atualização de Versão – Linguagem de Programação</v>
      </c>
      <c r="C25" s="129"/>
      <c r="D25" s="24" t="str">
        <f>""&amp;Deflatores!G19</f>
        <v>ALP</v>
      </c>
      <c r="E25" s="102">
        <f>IF(D25="","",COUNTIF(Funções!C$8:C$465,D25))</f>
        <v>0</v>
      </c>
      <c r="F25" s="103">
        <f>SUMIF(Funções!$C$8:$C$465,Deflatores!G19,Funções!$H$8:$H$465)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 t="str">
        <f t="shared" si="0"/>
        <v/>
      </c>
      <c r="K25" s="92"/>
      <c r="M25" s="81"/>
    </row>
    <row r="26" spans="1:13" ht="13.5" customHeight="1" x14ac:dyDescent="0.2">
      <c r="A26" s="80"/>
      <c r="B26" s="129" t="str">
        <f>""&amp;Deflatores!B20</f>
        <v>Atualização de Versão – Browser</v>
      </c>
      <c r="C26" s="129"/>
      <c r="D26" s="24" t="str">
        <f>""&amp;Deflatores!G20</f>
        <v>AVB</v>
      </c>
      <c r="E26" s="102">
        <f>IF(D26="","",COUNTIF(Funções!C$8:C$465,D26))</f>
        <v>0</v>
      </c>
      <c r="F26" s="103">
        <f>SUMIF(Funções!$C$8:$C$465,Deflatores!G20,Funções!$H$8:$H$465)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 t="str">
        <f t="shared" si="0"/>
        <v/>
      </c>
      <c r="K26" s="92"/>
      <c r="M26" s="81"/>
    </row>
    <row r="27" spans="1:13" ht="13.5" customHeight="1" x14ac:dyDescent="0.2">
      <c r="A27" s="80"/>
      <c r="B27" s="129" t="str">
        <f>""&amp;Deflatores!B21</f>
        <v>Atualização de Versão – Banco de Dados</v>
      </c>
      <c r="C27" s="129"/>
      <c r="D27" s="24" t="str">
        <f>""&amp;Deflatores!G21</f>
        <v>ABD</v>
      </c>
      <c r="E27" s="102">
        <f>IF(D27="","",COUNTIF(Funções!C$8:C$465,D27))</f>
        <v>0</v>
      </c>
      <c r="F27" s="103">
        <f>SUMIF(Funções!$C$8:$C$465,Deflatores!G21,Funções!$H$8:$H$465)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 t="str">
        <f t="shared" si="0"/>
        <v/>
      </c>
      <c r="K27" s="92"/>
      <c r="M27" s="81"/>
    </row>
    <row r="28" spans="1:13" ht="13.5" customHeight="1" x14ac:dyDescent="0.2">
      <c r="A28" s="80"/>
      <c r="B28" s="129" t="str">
        <f>""&amp;Deflatores!B22</f>
        <v>Manutenção Cosmética</v>
      </c>
      <c r="C28" s="129"/>
      <c r="D28" s="24" t="str">
        <f>""&amp;Deflatores!G22</f>
        <v>COS</v>
      </c>
      <c r="E28" s="102">
        <f>IF(D28="","",COUNTIF(Funções!C$8:C$465,D28))</f>
        <v>0</v>
      </c>
      <c r="F28" s="103">
        <f>SUMIF(Funções!$C$8:$C$465,Deflatores!G22,Funções!$H$8:$H$465)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 t="str">
        <f t="shared" si="0"/>
        <v/>
      </c>
      <c r="M28" s="81"/>
    </row>
    <row r="29" spans="1:13" ht="27" customHeight="1" x14ac:dyDescent="0.2">
      <c r="A29" s="80"/>
      <c r="B29" s="150" t="str">
        <f>""&amp;Deflatores!B23</f>
        <v>Adaptação em Funcionalidades sem Alteração de Requisitos Funcionais
(sem conhecimento do Fator de Impacto)</v>
      </c>
      <c r="C29" s="152"/>
      <c r="D29" s="24" t="str">
        <f>""&amp;Deflatores!G23</f>
        <v>ARN</v>
      </c>
      <c r="E29" s="102">
        <f>IF(D29="","",COUNTIF(Funções!C$8:C$465,D29))</f>
        <v>0</v>
      </c>
      <c r="F29" s="103">
        <f>SUMIF(Funções!$C$8:$C$465,Deflatores!G23,Funções!$H$8:$H$465)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 t="str">
        <f>IF($L$11&lt;&gt;0,I29/$L$11,"")</f>
        <v/>
      </c>
      <c r="M29" s="81"/>
    </row>
    <row r="30" spans="1:13" ht="27" customHeight="1" x14ac:dyDescent="0.2">
      <c r="A30" s="80"/>
      <c r="B30" s="150" t="str">
        <f>""&amp;Deflatores!B24</f>
        <v>Adaptação em Funcionalidades sem Alteração de Requisitos Funcionais (50%)
(em função desenvolvida ou já alterada pela empresa atual)</v>
      </c>
      <c r="C30" s="152"/>
      <c r="D30" s="24" t="str">
        <f>""&amp;Deflatores!G24</f>
        <v>ARN50</v>
      </c>
      <c r="E30" s="102">
        <f>IF(D30="","",COUNTIF(Funções!C$8:C$465,D30))</f>
        <v>0</v>
      </c>
      <c r="F30" s="103">
        <f>SUMIF(Funções!$C$8:$C$465,Deflatores!G24,Funções!$H$8:$H$465)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 t="str">
        <f t="shared" si="0"/>
        <v/>
      </c>
      <c r="M30" s="81"/>
    </row>
    <row r="31" spans="1:13" ht="27" customHeight="1" x14ac:dyDescent="0.2">
      <c r="A31" s="80"/>
      <c r="B31" s="150" t="str">
        <f>""&amp;Deflatores!B25</f>
        <v>Adaptação em Funcionalidades sem Alteração de Requisitos Funcionais (75%)
(em função não desenvolvida e ainda não alterada pela empresa atual)</v>
      </c>
      <c r="C31" s="152"/>
      <c r="D31" s="24" t="str">
        <f>""&amp;Deflatores!G25</f>
        <v>ARN75</v>
      </c>
      <c r="E31" s="102">
        <f>IF(D31="","",COUNTIF(Funções!C$8:C$465,D31))</f>
        <v>0</v>
      </c>
      <c r="F31" s="103">
        <f>SUMIF(Funções!$C$8:$C$465,Deflatores!G25,Funções!$H$8:$H$465)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 t="str">
        <f t="shared" si="0"/>
        <v/>
      </c>
      <c r="M31" s="81"/>
    </row>
    <row r="32" spans="1:13" ht="13.5" customHeight="1" x14ac:dyDescent="0.2">
      <c r="A32" s="80"/>
      <c r="B32" s="129" t="str">
        <f>""&amp;Deflatores!B26</f>
        <v>Atualização de Dados sem Consulta Prévia</v>
      </c>
      <c r="C32" s="129"/>
      <c r="D32" s="24" t="str">
        <f>""&amp;Deflatores!G26</f>
        <v>ADS</v>
      </c>
      <c r="E32" s="102">
        <f>IF(D32="","",COUNTIF(Funções!C$8:C$465,D32))</f>
        <v>0</v>
      </c>
      <c r="F32" s="103">
        <f>SUMIF(Funções!$C$8:$C$465,Deflatores!G26,Funções!$H$8:$H$465)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 t="str">
        <f t="shared" si="0"/>
        <v/>
      </c>
      <c r="M32" s="81"/>
    </row>
    <row r="33" spans="1:13" ht="13.5" customHeight="1" x14ac:dyDescent="0.2">
      <c r="A33" s="80"/>
      <c r="B33" s="129" t="str">
        <f>""&amp;Deflatores!B27</f>
        <v>Consulta Prévia sem Atualização</v>
      </c>
      <c r="C33" s="129"/>
      <c r="D33" s="24" t="str">
        <f>""&amp;Deflatores!G27</f>
        <v>CPA</v>
      </c>
      <c r="E33" s="102">
        <f>IF(D33="","",COUNTIF(Funções!C$8:C$465,D33))</f>
        <v>0</v>
      </c>
      <c r="F33" s="103">
        <f>SUMIF(Funções!$C$8:$C$465,Deflatores!G27,Funções!$H$8:$H$465)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 t="str">
        <f t="shared" si="0"/>
        <v/>
      </c>
      <c r="M33" s="81"/>
    </row>
    <row r="34" spans="1:13" ht="13.5" customHeight="1" x14ac:dyDescent="0.2">
      <c r="A34" s="80"/>
      <c r="B34" s="129" t="str">
        <f>""&amp;Deflatores!B28</f>
        <v>Atualização de Dados com Consulta Prévia</v>
      </c>
      <c r="C34" s="129"/>
      <c r="D34" s="24" t="str">
        <f>""&amp;Deflatores!G28</f>
        <v>ADC</v>
      </c>
      <c r="E34" s="102">
        <f>IF(D34="","",COUNTIF(Funções!C$8:C$465,D34))</f>
        <v>0</v>
      </c>
      <c r="F34" s="103">
        <f>SUMIF(Funções!$C$8:$C$465,Deflatores!G28,Funções!$H$8:$H$465)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 t="str">
        <f t="shared" si="0"/>
        <v/>
      </c>
      <c r="M34" s="81"/>
    </row>
    <row r="35" spans="1:13" ht="13.5" customHeight="1" x14ac:dyDescent="0.2">
      <c r="A35" s="80"/>
      <c r="B35" s="129" t="str">
        <f>""&amp;Deflatores!B29</f>
        <v>Apuração Especial – Geração de Relatórios</v>
      </c>
      <c r="C35" s="129"/>
      <c r="D35" s="24" t="str">
        <f>""&amp;Deflatores!G29</f>
        <v>AGR</v>
      </c>
      <c r="E35" s="102">
        <f>IF(D35="","",COUNTIF(Funções!C$8:C$465,D35))</f>
        <v>0</v>
      </c>
      <c r="F35" s="103">
        <f>SUMIF(Funções!$C$8:$C$465,Deflatores!G29,Funções!$H$8:$H$465)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 t="str">
        <f t="shared" si="0"/>
        <v/>
      </c>
      <c r="M35" s="81"/>
    </row>
    <row r="36" spans="1:13" ht="13.5" customHeight="1" x14ac:dyDescent="0.2">
      <c r="A36" s="80"/>
      <c r="B36" s="129" t="str">
        <f>""&amp;Deflatores!B30</f>
        <v>Apuração Especial – Reexecução</v>
      </c>
      <c r="C36" s="129"/>
      <c r="D36" s="24" t="str">
        <f>""&amp;Deflatores!G30</f>
        <v>AER</v>
      </c>
      <c r="E36" s="102">
        <f>IF(D36="","",COUNTIF(Funções!C$8:C$465,D36))</f>
        <v>0</v>
      </c>
      <c r="F36" s="103">
        <f>SUMIF(Funções!$C$8:$C$465,Deflatores!G30,Funções!$H$8:$H$465)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 t="str">
        <f t="shared" si="0"/>
        <v/>
      </c>
      <c r="M36" s="81"/>
    </row>
    <row r="37" spans="1:13" ht="13.5" customHeight="1" x14ac:dyDescent="0.2">
      <c r="A37" s="80"/>
      <c r="B37" s="129" t="str">
        <f>""&amp;Deflatores!B31</f>
        <v>Atualização de Dados</v>
      </c>
      <c r="C37" s="129"/>
      <c r="D37" s="24" t="str">
        <f>""&amp;Deflatores!G31</f>
        <v>ATD</v>
      </c>
      <c r="E37" s="102">
        <f>IF(D37="","",COUNTIF(Funções!C$8:C$465,D37))</f>
        <v>0</v>
      </c>
      <c r="F37" s="103">
        <f>SUMIF(Funções!$C$8:$C$465,Deflatores!G31,Funções!$H$8:$H$465)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 t="str">
        <f t="shared" si="0"/>
        <v/>
      </c>
      <c r="M37" s="81"/>
    </row>
    <row r="38" spans="1:13" ht="13.5" customHeight="1" x14ac:dyDescent="0.2">
      <c r="A38" s="80"/>
      <c r="B38" s="129" t="str">
        <f>""&amp;Deflatores!B32</f>
        <v>Manutenção de Documentação de Sistemas Legados</v>
      </c>
      <c r="C38" s="129"/>
      <c r="D38" s="24" t="str">
        <f>""&amp;Deflatores!G32</f>
        <v>MSL</v>
      </c>
      <c r="E38" s="102">
        <f>IF(D38="","",COUNTIF(Funções!C$8:C$465,D38))</f>
        <v>0</v>
      </c>
      <c r="F38" s="103">
        <f>SUMIF(Funções!$C$8:$C$465,Deflatores!G32,Funções!$H$8:$H$465)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 t="str">
        <f>IF($L$11&lt;&gt;0,I38/$L$11,"")</f>
        <v/>
      </c>
      <c r="M38" s="81"/>
    </row>
    <row r="39" spans="1:13" ht="13.5" customHeight="1" x14ac:dyDescent="0.2">
      <c r="A39" s="80"/>
      <c r="B39" s="129" t="str">
        <f>""&amp;Deflatores!B33</f>
        <v>Verificação de Erros (Sem Documentação de Teste existente)</v>
      </c>
      <c r="C39" s="129"/>
      <c r="D39" s="24" t="str">
        <f>""&amp;Deflatores!G33</f>
        <v>VES</v>
      </c>
      <c r="E39" s="102">
        <f>IF(D39="","",COUNTIF(Funções!C$8:C$465,D39))</f>
        <v>0</v>
      </c>
      <c r="F39" s="103">
        <f>SUMIF(Funções!$C$8:$C$465,Deflatores!G33,Funções!$H$8:$H$465)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 t="str">
        <f>IF($L$11&lt;&gt;0,I39/$L$11,"")</f>
        <v/>
      </c>
      <c r="M39" s="81"/>
    </row>
    <row r="40" spans="1:13" ht="13.5" customHeight="1" x14ac:dyDescent="0.2">
      <c r="A40" s="80"/>
      <c r="B40" s="129" t="str">
        <f>""&amp;Deflatores!B34</f>
        <v>Verificação de Erros (Com Documentação de Teste existente)</v>
      </c>
      <c r="C40" s="129"/>
      <c r="D40" s="24" t="str">
        <f>""&amp;Deflatores!G34</f>
        <v>VEC</v>
      </c>
      <c r="E40" s="102">
        <f>IF(D40="","",COUNTIF(Funções!C$8:C$465,D40))</f>
        <v>0</v>
      </c>
      <c r="F40" s="103">
        <f>SUMIF(Funções!$C$8:$C$465,Deflatores!G34,Funções!$H$8:$H$465)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 t="str">
        <f>IF($L$11&lt;&gt;0,I40/$L$11,"")</f>
        <v/>
      </c>
      <c r="M40" s="81"/>
    </row>
    <row r="41" spans="1:13" ht="13.5" customHeight="1" x14ac:dyDescent="0.2">
      <c r="A41" s="80"/>
      <c r="B41" s="129" t="str">
        <f>""&amp;Deflatores!B35</f>
        <v>Pontos de Função de Teste</v>
      </c>
      <c r="C41" s="129"/>
      <c r="D41" s="24" t="str">
        <f>""&amp;Deflatores!G35</f>
        <v>PFT</v>
      </c>
      <c r="E41" s="102">
        <f>IF(D41="","",COUNTIF(Funções!C$8:C$465,D41))</f>
        <v>0</v>
      </c>
      <c r="F41" s="103">
        <f>SUMIF(Funções!$C$8:$C$465,Deflatores!G35,Funções!$H$8:$H$465)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 t="str">
        <f>IF($L$11&lt;&gt;0,I41/$L$11,"")</f>
        <v/>
      </c>
      <c r="M41" s="81"/>
    </row>
    <row r="42" spans="1:13" ht="13.5" customHeight="1" x14ac:dyDescent="0.2">
      <c r="A42" s="80"/>
      <c r="B42" s="129" t="str">
        <f>""&amp;Deflatores!B36</f>
        <v>Componente Interno Reusável</v>
      </c>
      <c r="C42" s="129"/>
      <c r="D42" s="24" t="str">
        <f>""&amp;Deflatores!G36</f>
        <v>CIR</v>
      </c>
      <c r="E42" s="102">
        <f>IF(D42="","",COUNTIF(Funções!C$8:C$465,D42))</f>
        <v>0</v>
      </c>
      <c r="F42" s="103">
        <f>SUMIF(Funções!$C$8:$C$465,Deflatores!G36,Funções!$H$8:$H$465)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 t="str">
        <f t="shared" si="0"/>
        <v/>
      </c>
      <c r="M42" s="81"/>
    </row>
    <row r="43" spans="1:13" ht="13.5" customHeight="1" x14ac:dyDescent="0.2">
      <c r="A43" s="80"/>
      <c r="B43" s="129" t="str">
        <f>""&amp;Deflatores!B37</f>
        <v/>
      </c>
      <c r="C43" s="129"/>
      <c r="D43" s="24" t="str">
        <f>""&amp;Deflatores!G37</f>
        <v xml:space="preserve">           .</v>
      </c>
      <c r="E43" s="102">
        <f>IF(D43="","",COUNTIF(Funções!C$8:C$465,D43))</f>
        <v>0</v>
      </c>
      <c r="F43" s="103">
        <f>SUMIF(Funções!$C$8:$C$465,Deflatores!G37,Funções!$H$8:$H$465)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 t="str">
        <f t="shared" si="0"/>
        <v/>
      </c>
      <c r="M43" s="81"/>
    </row>
    <row r="44" spans="1:13" ht="13.5" customHeight="1" x14ac:dyDescent="0.2">
      <c r="A44" s="80"/>
      <c r="B44" s="129" t="str">
        <f>""&amp;Deflatores!B38</f>
        <v/>
      </c>
      <c r="C44" s="129"/>
      <c r="D44" s="24" t="str">
        <f>""&amp;Deflatores!G38</f>
        <v xml:space="preserve">           .</v>
      </c>
      <c r="E44" s="102">
        <f>IF(D44="","",COUNTIF(Funções!C$8:C$465,D44))</f>
        <v>0</v>
      </c>
      <c r="F44" s="103">
        <f>SUMIF(Funções!$C$8:$C$465,Deflatores!G38,Funções!$H$8:$H$465)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 t="str">
        <f t="shared" si="0"/>
        <v/>
      </c>
      <c r="M44" s="81"/>
    </row>
    <row r="45" spans="1:13" ht="13.5" x14ac:dyDescent="0.2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25">
      <c r="A46" s="80"/>
      <c r="B46" s="160" t="s">
        <v>175</v>
      </c>
      <c r="C46" s="160"/>
      <c r="D46" s="160"/>
      <c r="E46" s="43" t="s">
        <v>139</v>
      </c>
      <c r="F46" s="44"/>
      <c r="G46" s="42"/>
      <c r="H46" s="43" t="s">
        <v>172</v>
      </c>
      <c r="I46" s="43" t="s">
        <v>6</v>
      </c>
      <c r="J46" s="43" t="s">
        <v>173</v>
      </c>
      <c r="M46" s="81"/>
    </row>
    <row r="47" spans="1:13" ht="13.5" customHeight="1" x14ac:dyDescent="0.25">
      <c r="A47" s="80"/>
      <c r="B47" s="129" t="str">
        <f>""&amp;Deflatores!B42</f>
        <v>Páginas Estáticas</v>
      </c>
      <c r="C47" s="129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 t="str">
        <f t="shared" ref="J47:J69" si="2">IF(ISNUMBER(I47),IF($L$11&lt;&gt;0,I47/$L$11,""),"")</f>
        <v/>
      </c>
      <c r="M47" s="81"/>
    </row>
    <row r="48" spans="1:13" ht="13.5" customHeight="1" x14ac:dyDescent="0.25">
      <c r="A48" s="80"/>
      <c r="B48" s="129" t="str">
        <f>""&amp;Deflatores!B43</f>
        <v>Manutenção Cosmética (atrelada a algo não funcional)</v>
      </c>
      <c r="C48" s="129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 t="str">
        <f t="shared" si="2"/>
        <v/>
      </c>
      <c r="M48" s="81"/>
    </row>
    <row r="49" spans="1:13" ht="13.5" x14ac:dyDescent="0.25">
      <c r="A49" s="80"/>
      <c r="B49" s="129" t="str">
        <f>""&amp;Deflatores!B44</f>
        <v>Dados de Código</v>
      </c>
      <c r="C49" s="129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 t="str">
        <f t="shared" si="2"/>
        <v/>
      </c>
      <c r="M49" s="81"/>
    </row>
    <row r="50" spans="1:13" ht="13.5" x14ac:dyDescent="0.25">
      <c r="A50" s="80"/>
      <c r="B50" s="129" t="str">
        <f>""&amp;Deflatores!B45</f>
        <v/>
      </c>
      <c r="C50" s="129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 x14ac:dyDescent="0.25">
      <c r="A51" s="80"/>
      <c r="B51" s="129" t="str">
        <f>""&amp;Deflatores!B46</f>
        <v/>
      </c>
      <c r="C51" s="129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 x14ac:dyDescent="0.25">
      <c r="A52" s="80"/>
      <c r="B52" s="129" t="str">
        <f>""&amp;Deflatores!B47</f>
        <v/>
      </c>
      <c r="C52" s="129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 x14ac:dyDescent="0.25">
      <c r="A53" s="80"/>
      <c r="B53" s="129" t="str">
        <f>""&amp;Deflatores!B48</f>
        <v/>
      </c>
      <c r="C53" s="129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 x14ac:dyDescent="0.25">
      <c r="A54" s="80"/>
      <c r="B54" s="129" t="str">
        <f>""&amp;Deflatores!B49</f>
        <v/>
      </c>
      <c r="C54" s="129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 x14ac:dyDescent="0.25">
      <c r="A55" s="80"/>
      <c r="B55" s="129" t="str">
        <f>""&amp;Deflatores!B50</f>
        <v/>
      </c>
      <c r="C55" s="129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 x14ac:dyDescent="0.25">
      <c r="A56" s="80"/>
      <c r="B56" s="129" t="str">
        <f>""&amp;Deflatores!B51</f>
        <v/>
      </c>
      <c r="C56" s="129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 x14ac:dyDescent="0.25">
      <c r="A57" s="80"/>
      <c r="B57" s="129" t="str">
        <f>""&amp;Deflatores!B52</f>
        <v/>
      </c>
      <c r="C57" s="129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 x14ac:dyDescent="0.25">
      <c r="A58" s="80"/>
      <c r="B58" s="129" t="str">
        <f>""&amp;Deflatores!B53</f>
        <v/>
      </c>
      <c r="C58" s="129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 x14ac:dyDescent="0.25">
      <c r="A59" s="80"/>
      <c r="B59" s="129" t="str">
        <f>""&amp;Deflatores!B54</f>
        <v/>
      </c>
      <c r="C59" s="129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 x14ac:dyDescent="0.25">
      <c r="A60" s="80"/>
      <c r="B60" s="129" t="str">
        <f>""&amp;Deflatores!B55</f>
        <v/>
      </c>
      <c r="C60" s="129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 x14ac:dyDescent="0.25">
      <c r="A61" s="80"/>
      <c r="B61" s="129" t="str">
        <f>""&amp;Deflatores!B56</f>
        <v/>
      </c>
      <c r="C61" s="129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 x14ac:dyDescent="0.25">
      <c r="A62" s="80"/>
      <c r="B62" s="129" t="str">
        <f>""&amp;Deflatores!B57</f>
        <v/>
      </c>
      <c r="C62" s="129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 x14ac:dyDescent="0.25">
      <c r="A63" s="80"/>
      <c r="B63" s="129" t="str">
        <f>""&amp;Deflatores!B58</f>
        <v/>
      </c>
      <c r="C63" s="129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 x14ac:dyDescent="0.25">
      <c r="A64" s="80"/>
      <c r="B64" s="129" t="str">
        <f>""&amp;Deflatores!B59</f>
        <v/>
      </c>
      <c r="C64" s="129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 x14ac:dyDescent="0.25">
      <c r="A65" s="80"/>
      <c r="B65" s="129" t="str">
        <f>""&amp;Deflatores!B60</f>
        <v/>
      </c>
      <c r="C65" s="129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 x14ac:dyDescent="0.25">
      <c r="A66" s="80"/>
      <c r="B66" s="129" t="str">
        <f>""&amp;Deflatores!B61</f>
        <v/>
      </c>
      <c r="C66" s="129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 x14ac:dyDescent="0.25">
      <c r="A67" s="80"/>
      <c r="B67" s="129" t="str">
        <f>""&amp;Deflatores!B62</f>
        <v/>
      </c>
      <c r="C67" s="129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 x14ac:dyDescent="0.25">
      <c r="A68" s="80"/>
      <c r="B68" s="129" t="str">
        <f>""&amp;Deflatores!B63</f>
        <v/>
      </c>
      <c r="C68" s="129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 x14ac:dyDescent="0.25">
      <c r="A69" s="80"/>
      <c r="B69" s="129" t="str">
        <f>""&amp;Deflatores!B64</f>
        <v/>
      </c>
      <c r="C69" s="129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 x14ac:dyDescent="0.2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>Emiry Mirella Bernardo</cp:lastModifiedBy>
  <cp:revision/>
  <dcterms:created xsi:type="dcterms:W3CDTF">2015-06-26T19:24:40Z</dcterms:created>
  <dcterms:modified xsi:type="dcterms:W3CDTF">2022-04-10T01:33:10Z</dcterms:modified>
  <cp:category/>
  <cp:contentStatus/>
</cp:coreProperties>
</file>