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1f856cd4844fe3/Documentos/Administracion de proyectos/Tercer Parcial/"/>
    </mc:Choice>
  </mc:AlternateContent>
  <xr:revisionPtr revIDLastSave="749" documentId="8_{0678B0E8-F999-4215-B1B3-6B9FEE0F3B53}" xr6:coauthVersionLast="45" xr6:coauthVersionMax="45" xr10:uidLastSave="{C5FA3D02-AB14-415B-9DDA-9AB94F3FC1BA}"/>
  <bookViews>
    <workbookView xWindow="-120" yWindow="-120" windowWidth="20730" windowHeight="11160" firstSheet="4" activeTab="3" xr2:uid="{03EA114A-2878-4474-97C6-B5787E7B45F0}"/>
  </bookViews>
  <sheets>
    <sheet name="Capital  Social" sheetId="1" r:id="rId1"/>
    <sheet name="Remuneraciones" sheetId="2" r:id="rId2"/>
    <sheet name="Inversion Total" sheetId="3" r:id="rId3"/>
    <sheet name="Costos, Gastos, Precio" sheetId="6" r:id="rId4"/>
    <sheet name="Financiamiento" sheetId="4" r:id="rId5"/>
    <sheet name="Depreciación" sheetId="5" r:id="rId6"/>
  </sheets>
  <definedNames>
    <definedName name="_xlnm.Print_Area" localSheetId="5">Depreciación!$A$1:$J$35</definedName>
    <definedName name="_xlnm.Print_Area" localSheetId="4">Financiamiento!$B$2:$K$40</definedName>
    <definedName name="_xlnm.Print_Area" localSheetId="2">'Inversion Total'!$B$2:$F$80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8" i="6" l="1"/>
  <c r="Q58" i="6" s="1"/>
  <c r="Q47" i="6"/>
  <c r="P47" i="6"/>
  <c r="H47" i="6"/>
  <c r="G47" i="6"/>
  <c r="E47" i="6"/>
  <c r="C47" i="6"/>
  <c r="I47" i="6" s="1"/>
  <c r="N46" i="6"/>
  <c r="P46" i="6" s="1"/>
  <c r="H46" i="6"/>
  <c r="G46" i="6"/>
  <c r="O46" i="6" s="1"/>
  <c r="Q46" i="6" s="1"/>
  <c r="E46" i="6"/>
  <c r="C46" i="6"/>
  <c r="I46" i="6" s="1"/>
  <c r="N45" i="6"/>
  <c r="P45" i="6" s="1"/>
  <c r="H45" i="6"/>
  <c r="G45" i="6"/>
  <c r="O45" i="6" s="1"/>
  <c r="Q45" i="6" s="1"/>
  <c r="E45" i="6"/>
  <c r="C45" i="6"/>
  <c r="I45" i="6" s="1"/>
  <c r="N44" i="6"/>
  <c r="L44" i="6"/>
  <c r="P44" i="6" s="1"/>
  <c r="H44" i="6"/>
  <c r="G44" i="6"/>
  <c r="O44" i="6" s="1"/>
  <c r="E44" i="6"/>
  <c r="M44" i="6" s="1"/>
  <c r="Q44" i="6" s="1"/>
  <c r="C44" i="6"/>
  <c r="I44" i="6" s="1"/>
  <c r="N43" i="6"/>
  <c r="L43" i="6"/>
  <c r="P43" i="6" s="1"/>
  <c r="H43" i="6"/>
  <c r="G43" i="6"/>
  <c r="O43" i="6" s="1"/>
  <c r="E43" i="6"/>
  <c r="M43" i="6" s="1"/>
  <c r="Q43" i="6" s="1"/>
  <c r="C43" i="6"/>
  <c r="I43" i="6" s="1"/>
  <c r="N42" i="6"/>
  <c r="P42" i="6" s="1"/>
  <c r="H42" i="6"/>
  <c r="G42" i="6"/>
  <c r="O42" i="6" s="1"/>
  <c r="Q42" i="6" s="1"/>
  <c r="E42" i="6"/>
  <c r="C42" i="6"/>
  <c r="I42" i="6" s="1"/>
  <c r="N41" i="6"/>
  <c r="P41" i="6" s="1"/>
  <c r="H41" i="6"/>
  <c r="G41" i="6"/>
  <c r="O41" i="6" s="1"/>
  <c r="Q41" i="6" s="1"/>
  <c r="E41" i="6"/>
  <c r="C41" i="6"/>
  <c r="I41" i="6" s="1"/>
  <c r="N40" i="6"/>
  <c r="L40" i="6"/>
  <c r="J40" i="6"/>
  <c r="P40" i="6" s="1"/>
  <c r="H40" i="6"/>
  <c r="G40" i="6"/>
  <c r="O40" i="6" s="1"/>
  <c r="E40" i="6"/>
  <c r="M40" i="6" s="1"/>
  <c r="C40" i="6"/>
  <c r="O39" i="6"/>
  <c r="O48" i="6" s="1"/>
  <c r="N39" i="6"/>
  <c r="N48" i="6" s="1"/>
  <c r="M39" i="6"/>
  <c r="L39" i="6"/>
  <c r="J39" i="6"/>
  <c r="P39" i="6" s="1"/>
  <c r="G39" i="6"/>
  <c r="G48" i="6" s="1"/>
  <c r="F39" i="6"/>
  <c r="F48" i="6" s="1"/>
  <c r="E39" i="6"/>
  <c r="D39" i="6"/>
  <c r="C39" i="6"/>
  <c r="I39" i="6" s="1"/>
  <c r="B39" i="6"/>
  <c r="H39" i="6" s="1"/>
  <c r="E38" i="6"/>
  <c r="I38" i="6" s="1"/>
  <c r="D38" i="6"/>
  <c r="H38" i="6" s="1"/>
  <c r="Q37" i="6"/>
  <c r="P37" i="6"/>
  <c r="I37" i="6"/>
  <c r="H37" i="6"/>
  <c r="Q36" i="6"/>
  <c r="P36" i="6"/>
  <c r="I36" i="6"/>
  <c r="H36" i="6"/>
  <c r="C35" i="6"/>
  <c r="I35" i="6" s="1"/>
  <c r="B35" i="6"/>
  <c r="H35" i="6" s="1"/>
  <c r="C34" i="6"/>
  <c r="I34" i="6" s="1"/>
  <c r="B34" i="6"/>
  <c r="H34" i="6" s="1"/>
  <c r="C33" i="6"/>
  <c r="I33" i="6" s="1"/>
  <c r="B33" i="6"/>
  <c r="H33" i="6" s="1"/>
  <c r="C32" i="6"/>
  <c r="I32" i="6" s="1"/>
  <c r="B32" i="6"/>
  <c r="H32" i="6" s="1"/>
  <c r="C31" i="6"/>
  <c r="I31" i="6" s="1"/>
  <c r="B31" i="6"/>
  <c r="H31" i="6" s="1"/>
  <c r="C30" i="6"/>
  <c r="I30" i="6" s="1"/>
  <c r="B30" i="6"/>
  <c r="H30" i="6" s="1"/>
  <c r="E29" i="6"/>
  <c r="E48" i="6" s="1"/>
  <c r="D29" i="6"/>
  <c r="D48" i="6" s="1"/>
  <c r="C29" i="6"/>
  <c r="B29" i="6"/>
  <c r="D19" i="6"/>
  <c r="B19" i="6"/>
  <c r="B20" i="6" s="1"/>
  <c r="E16" i="6"/>
  <c r="D13" i="6"/>
  <c r="D12" i="6"/>
  <c r="D11" i="6"/>
  <c r="D10" i="6"/>
  <c r="D9" i="6"/>
  <c r="D8" i="6"/>
  <c r="D17" i="6" s="1"/>
  <c r="K31" i="6" l="1"/>
  <c r="J31" i="6"/>
  <c r="K32" i="6"/>
  <c r="Q32" i="6" s="1"/>
  <c r="J32" i="6"/>
  <c r="P32" i="6" s="1"/>
  <c r="K33" i="6"/>
  <c r="Q33" i="6" s="1"/>
  <c r="J33" i="6"/>
  <c r="P33" i="6" s="1"/>
  <c r="K34" i="6"/>
  <c r="Q34" i="6" s="1"/>
  <c r="J34" i="6"/>
  <c r="P34" i="6" s="1"/>
  <c r="K35" i="6"/>
  <c r="Q35" i="6" s="1"/>
  <c r="J35" i="6"/>
  <c r="P35" i="6" s="1"/>
  <c r="M38" i="6"/>
  <c r="L38" i="6"/>
  <c r="E17" i="6"/>
  <c r="D18" i="6" s="1"/>
  <c r="D20" i="6"/>
  <c r="B48" i="6"/>
  <c r="H48" i="6" s="1"/>
  <c r="H52" i="6" s="1"/>
  <c r="H53" i="6" s="1"/>
  <c r="H55" i="6" s="1"/>
  <c r="H29" i="6"/>
  <c r="C48" i="6"/>
  <c r="I48" i="6" s="1"/>
  <c r="I52" i="6" s="1"/>
  <c r="I53" i="6" s="1"/>
  <c r="I55" i="6" s="1"/>
  <c r="I29" i="6"/>
  <c r="K40" i="6"/>
  <c r="I40" i="6"/>
  <c r="I11" i="5"/>
  <c r="I6" i="5"/>
  <c r="F26" i="5"/>
  <c r="G26" i="5" s="1"/>
  <c r="I26" i="5" s="1"/>
  <c r="F27" i="5"/>
  <c r="G27" i="5"/>
  <c r="I27" i="5" s="1"/>
  <c r="F28" i="5"/>
  <c r="G28" i="5" s="1"/>
  <c r="I28" i="5" s="1"/>
  <c r="F29" i="5"/>
  <c r="G29" i="5"/>
  <c r="I29" i="5" s="1"/>
  <c r="F31" i="5"/>
  <c r="G31" i="5" s="1"/>
  <c r="I31" i="5" s="1"/>
  <c r="F32" i="5"/>
  <c r="G32" i="5"/>
  <c r="I32" i="5" s="1"/>
  <c r="F33" i="5"/>
  <c r="G33" i="5" s="1"/>
  <c r="I33" i="5" s="1"/>
  <c r="F16" i="5"/>
  <c r="G16" i="5"/>
  <c r="I16" i="5" s="1"/>
  <c r="F17" i="5"/>
  <c r="G17" i="5" s="1"/>
  <c r="I17" i="5" s="1"/>
  <c r="F18" i="5"/>
  <c r="G18" i="5"/>
  <c r="I18" i="5" s="1"/>
  <c r="F19" i="5"/>
  <c r="G19" i="5" s="1"/>
  <c r="I19" i="5" s="1"/>
  <c r="F21" i="5"/>
  <c r="G21" i="5"/>
  <c r="I21" i="5" s="1"/>
  <c r="I20" i="5" s="1"/>
  <c r="F22" i="5"/>
  <c r="G22" i="5" s="1"/>
  <c r="I22" i="5" s="1"/>
  <c r="F23" i="5"/>
  <c r="G23" i="5"/>
  <c r="I23" i="5" s="1"/>
  <c r="G11" i="5"/>
  <c r="G7" i="5"/>
  <c r="I7" i="5" s="1"/>
  <c r="G6" i="5"/>
  <c r="F12" i="5"/>
  <c r="G12" i="5" s="1"/>
  <c r="I12" i="5" s="1"/>
  <c r="F13" i="5"/>
  <c r="G13" i="5" s="1"/>
  <c r="I13" i="5" s="1"/>
  <c r="F11" i="5"/>
  <c r="F7" i="5"/>
  <c r="F8" i="5"/>
  <c r="G8" i="5" s="1"/>
  <c r="I8" i="5" s="1"/>
  <c r="F9" i="5"/>
  <c r="G9" i="5" s="1"/>
  <c r="I9" i="5" s="1"/>
  <c r="F6" i="5"/>
  <c r="D8" i="1"/>
  <c r="Q40" i="6" l="1"/>
  <c r="K39" i="6"/>
  <c r="Q39" i="6" s="1"/>
  <c r="P38" i="6"/>
  <c r="L29" i="6"/>
  <c r="L48" i="6" s="1"/>
  <c r="Q38" i="6"/>
  <c r="M29" i="6"/>
  <c r="M48" i="6" s="1"/>
  <c r="P31" i="6"/>
  <c r="J30" i="6"/>
  <c r="Q31" i="6"/>
  <c r="K30" i="6"/>
  <c r="I25" i="5"/>
  <c r="J25" i="5" s="1"/>
  <c r="J20" i="5"/>
  <c r="I15" i="5"/>
  <c r="J15" i="5" s="1"/>
  <c r="I5" i="5"/>
  <c r="J5" i="5" s="1"/>
  <c r="I30" i="5"/>
  <c r="I10" i="5"/>
  <c r="E67" i="3"/>
  <c r="D31" i="4"/>
  <c r="D32" i="4"/>
  <c r="D33" i="4"/>
  <c r="D34" i="4"/>
  <c r="D35" i="4"/>
  <c r="D36" i="4"/>
  <c r="D37" i="4"/>
  <c r="D38" i="4"/>
  <c r="D39" i="4"/>
  <c r="D40" i="4"/>
  <c r="D30" i="4"/>
  <c r="D29" i="4"/>
  <c r="Q30" i="6" l="1"/>
  <c r="K29" i="6"/>
  <c r="P30" i="6"/>
  <c r="J29" i="6"/>
  <c r="J10" i="5"/>
  <c r="I14" i="5"/>
  <c r="J14" i="5" s="1"/>
  <c r="J30" i="5"/>
  <c r="I34" i="5"/>
  <c r="I24" i="5"/>
  <c r="J24" i="5" s="1"/>
  <c r="E53" i="3"/>
  <c r="E54" i="3"/>
  <c r="E55" i="3"/>
  <c r="E56" i="3"/>
  <c r="E57" i="3"/>
  <c r="E58" i="3"/>
  <c r="E59" i="3"/>
  <c r="E60" i="3"/>
  <c r="E61" i="3"/>
  <c r="E62" i="3"/>
  <c r="E63" i="3"/>
  <c r="E65" i="3"/>
  <c r="E52" i="3"/>
  <c r="J48" i="6" l="1"/>
  <c r="P29" i="6"/>
  <c r="P48" i="6" s="1"/>
  <c r="P52" i="6" s="1"/>
  <c r="P53" i="6" s="1"/>
  <c r="P55" i="6" s="1"/>
  <c r="K48" i="6"/>
  <c r="Q29" i="6"/>
  <c r="Q48" i="6" s="1"/>
  <c r="Q52" i="6" s="1"/>
  <c r="Q53" i="6" s="1"/>
  <c r="Q55" i="6" s="1"/>
  <c r="I35" i="5"/>
  <c r="J35" i="5" s="1"/>
  <c r="J34" i="5"/>
  <c r="C64" i="3"/>
  <c r="E64" i="3" s="1"/>
  <c r="E30" i="3"/>
  <c r="F12" i="3"/>
  <c r="F11" i="3"/>
  <c r="F9" i="3"/>
  <c r="G14" i="2"/>
  <c r="G15" i="2"/>
  <c r="G16" i="2"/>
  <c r="G17" i="2"/>
  <c r="G18" i="2"/>
  <c r="G13" i="2"/>
  <c r="G9" i="2"/>
  <c r="G10" i="2"/>
  <c r="G8" i="2"/>
  <c r="G4" i="2"/>
  <c r="G5" i="2"/>
  <c r="G6" i="2"/>
  <c r="E45" i="3"/>
  <c r="E44" i="3"/>
  <c r="E43" i="3"/>
  <c r="E41" i="3"/>
  <c r="E40" i="3"/>
  <c r="E39" i="3"/>
  <c r="E37" i="3"/>
  <c r="E36" i="3"/>
  <c r="E35" i="3"/>
  <c r="E34" i="3"/>
  <c r="E33" i="3"/>
  <c r="E31" i="3"/>
  <c r="E29" i="3"/>
  <c r="E28" i="3"/>
  <c r="E26" i="3"/>
  <c r="E25" i="3"/>
  <c r="E32" i="3" l="1"/>
  <c r="E42" i="3"/>
  <c r="E38" i="3"/>
  <c r="E27" i="3"/>
  <c r="F17" i="3"/>
  <c r="D73" i="3" s="1"/>
  <c r="E46" i="3" l="1"/>
  <c r="D74" i="3" s="1"/>
  <c r="E66" i="3"/>
  <c r="E68" i="3" s="1"/>
  <c r="D75" i="3" s="1"/>
  <c r="D76" i="3" s="1"/>
  <c r="D14" i="4"/>
  <c r="D18" i="4"/>
  <c r="D22" i="4"/>
  <c r="D27" i="4"/>
  <c r="D16" i="4"/>
  <c r="D28" i="4"/>
  <c r="D19" i="4"/>
  <c r="D23" i="4"/>
  <c r="D12" i="4"/>
  <c r="D20" i="4"/>
  <c r="D9" i="4"/>
  <c r="D13" i="4"/>
  <c r="D17" i="4"/>
  <c r="D21" i="4"/>
  <c r="D25" i="4"/>
  <c r="D11" i="4"/>
  <c r="D26" i="4"/>
  <c r="D6" i="4"/>
  <c r="D10" i="4"/>
  <c r="D7" i="4"/>
  <c r="D15" i="4"/>
  <c r="F4" i="4"/>
  <c r="C5" i="4" s="1"/>
  <c r="D8" i="4"/>
  <c r="D24" i="4"/>
  <c r="D5" i="4"/>
  <c r="D16" i="1" l="1"/>
  <c r="D78" i="3" s="1"/>
  <c r="D80" i="3" s="1"/>
  <c r="J8" i="4" s="1"/>
  <c r="E5" i="4"/>
  <c r="F5" i="4" s="1"/>
  <c r="C6" i="4" s="1"/>
  <c r="E6" i="4" s="1"/>
  <c r="F6" i="4" s="1"/>
  <c r="C7" i="4" l="1"/>
  <c r="E7" i="4" s="1"/>
  <c r="F7" i="4" s="1"/>
  <c r="C8" i="4" l="1"/>
  <c r="E8" i="4" s="1"/>
  <c r="F8" i="4" s="1"/>
  <c r="C9" i="4" l="1"/>
  <c r="E9" i="4" s="1"/>
  <c r="F9" i="4" s="1"/>
  <c r="C10" i="4" l="1"/>
  <c r="E10" i="4" s="1"/>
  <c r="F10" i="4" s="1"/>
  <c r="C11" i="4" l="1"/>
  <c r="E11" i="4" s="1"/>
  <c r="F11" i="4" s="1"/>
  <c r="C12" i="4" l="1"/>
  <c r="E12" i="4" s="1"/>
  <c r="F12" i="4" s="1"/>
  <c r="C13" i="4" l="1"/>
  <c r="E13" i="4" s="1"/>
  <c r="F13" i="4" s="1"/>
  <c r="C14" i="4" l="1"/>
  <c r="E14" i="4" s="1"/>
  <c r="F14" i="4" s="1"/>
  <c r="C15" i="4" l="1"/>
  <c r="E15" i="4" s="1"/>
  <c r="F15" i="4" s="1"/>
  <c r="C16" i="4" l="1"/>
  <c r="E16" i="4" s="1"/>
  <c r="F16" i="4" s="1"/>
  <c r="C17" i="4" l="1"/>
  <c r="E17" i="4" s="1"/>
  <c r="F17" i="4" s="1"/>
  <c r="C18" i="4" l="1"/>
  <c r="E18" i="4" s="1"/>
  <c r="F18" i="4" s="1"/>
  <c r="C19" i="4" l="1"/>
  <c r="E19" i="4" s="1"/>
  <c r="F19" i="4" s="1"/>
  <c r="C20" i="4" l="1"/>
  <c r="E20" i="4" s="1"/>
  <c r="F20" i="4" s="1"/>
  <c r="C21" i="4" l="1"/>
  <c r="E21" i="4" s="1"/>
  <c r="F21" i="4" s="1"/>
  <c r="C22" i="4" l="1"/>
  <c r="E22" i="4" s="1"/>
  <c r="F22" i="4" s="1"/>
  <c r="C23" i="4" l="1"/>
  <c r="E23" i="4" s="1"/>
  <c r="F23" i="4" s="1"/>
  <c r="C24" i="4" l="1"/>
  <c r="E24" i="4" s="1"/>
  <c r="F24" i="4" s="1"/>
  <c r="C25" i="4" l="1"/>
  <c r="E25" i="4" s="1"/>
  <c r="F25" i="4" s="1"/>
  <c r="C26" i="4" l="1"/>
  <c r="E26" i="4" s="1"/>
  <c r="F26" i="4" s="1"/>
  <c r="C27" i="4" l="1"/>
  <c r="E27" i="4" s="1"/>
  <c r="F27" i="4" s="1"/>
  <c r="C28" i="4" l="1"/>
  <c r="E28" i="4" s="1"/>
  <c r="F28" i="4" s="1"/>
  <c r="C29" i="4" l="1"/>
  <c r="E29" i="4" s="1"/>
  <c r="F29" i="4" s="1"/>
  <c r="C30" i="4" l="1"/>
  <c r="E30" i="4" s="1"/>
  <c r="F30" i="4" s="1"/>
  <c r="C31" i="4" l="1"/>
  <c r="E31" i="4" s="1"/>
  <c r="F31" i="4" s="1"/>
  <c r="C32" i="4" l="1"/>
  <c r="E32" i="4" s="1"/>
  <c r="F32" i="4" s="1"/>
  <c r="C33" i="4" l="1"/>
  <c r="E33" i="4" s="1"/>
  <c r="F33" i="4" s="1"/>
  <c r="C34" i="4" l="1"/>
  <c r="E34" i="4" s="1"/>
  <c r="F34" i="4" s="1"/>
  <c r="C35" i="4" l="1"/>
  <c r="E35" i="4" s="1"/>
  <c r="F35" i="4" s="1"/>
  <c r="C36" i="4" l="1"/>
  <c r="E36" i="4" s="1"/>
  <c r="F36" i="4" s="1"/>
  <c r="C37" i="4" l="1"/>
  <c r="E37" i="4" s="1"/>
  <c r="F37" i="4" s="1"/>
  <c r="C38" i="4" l="1"/>
  <c r="E38" i="4" s="1"/>
  <c r="F38" i="4" s="1"/>
  <c r="C39" i="4" l="1"/>
  <c r="E39" i="4" s="1"/>
  <c r="F39" i="4" s="1"/>
  <c r="C40" i="4" l="1"/>
  <c r="E40" i="4" s="1"/>
  <c r="F40" i="4" s="1"/>
</calcChain>
</file>

<file path=xl/sharedStrings.xml><?xml version="1.0" encoding="utf-8"?>
<sst xmlns="http://schemas.openxmlformats.org/spreadsheetml/2006/main" count="268" uniqueCount="200">
  <si>
    <t>Nombre</t>
  </si>
  <si>
    <t>Numero de Acciones</t>
  </si>
  <si>
    <t>Valor</t>
  </si>
  <si>
    <t>1.- Alvarez Velázquez Juan Carlos</t>
  </si>
  <si>
    <t>2.- Pérez Garduño José Emiliano</t>
  </si>
  <si>
    <t>3.- Reyes Ortega Ulises Axel­</t>
  </si>
  <si>
    <t>Valor de Accion</t>
  </si>
  <si>
    <t>4.- Garcia Ibañez Luis Arturo</t>
  </si>
  <si>
    <t>5.- Rosas Hernandez  Oscar Andres</t>
  </si>
  <si>
    <t>Total</t>
  </si>
  <si>
    <t>6.- Otros Socios</t>
  </si>
  <si>
    <t>Remuneraciones</t>
  </si>
  <si>
    <t>Area</t>
  </si>
  <si>
    <t>Puesto</t>
  </si>
  <si>
    <t>No. De Personas</t>
  </si>
  <si>
    <t>Sueldo/salario mensual</t>
  </si>
  <si>
    <t>Prestaciones y Carga Social 35%</t>
  </si>
  <si>
    <t>Salario/Sueldo mensual total</t>
  </si>
  <si>
    <t>Salario/Sueldo total Anual</t>
  </si>
  <si>
    <t>Administrativos</t>
  </si>
  <si>
    <t>CEO</t>
  </si>
  <si>
    <t>R.H.</t>
  </si>
  <si>
    <t>Scrum Master</t>
  </si>
  <si>
    <t>Producción</t>
  </si>
  <si>
    <t>Móbiles</t>
  </si>
  <si>
    <t>Servicios</t>
  </si>
  <si>
    <t>Marketing</t>
  </si>
  <si>
    <t>Publicista</t>
  </si>
  <si>
    <t>Redes Sociales</t>
  </si>
  <si>
    <t>Testing</t>
  </si>
  <si>
    <t>Pentesting</t>
  </si>
  <si>
    <t>Tester</t>
  </si>
  <si>
    <t>Sistemas</t>
  </si>
  <si>
    <t>Control de equipos y Seguridad</t>
  </si>
  <si>
    <t>Administrador de Sistemas</t>
  </si>
  <si>
    <t>Comedor</t>
  </si>
  <si>
    <t>Cocinero</t>
  </si>
  <si>
    <t>Sanitarios</t>
  </si>
  <si>
    <t>Personal de Limpieza</t>
  </si>
  <si>
    <t>Servicio Médico</t>
  </si>
  <si>
    <t>Psicólogo</t>
  </si>
  <si>
    <t>Ventas</t>
  </si>
  <si>
    <t>Contador</t>
  </si>
  <si>
    <t>Abogado</t>
  </si>
  <si>
    <t>INVERSION TOTAL</t>
  </si>
  <si>
    <t>PASO 1</t>
  </si>
  <si>
    <t>RECURSOS PARA CONSTRUIR, REMODELAR Y ACONDICIONAR (GASTOS DE INSTALACIÓN)</t>
  </si>
  <si>
    <t>Monto</t>
  </si>
  <si>
    <t>Albañileria</t>
  </si>
  <si>
    <t>Plomería</t>
  </si>
  <si>
    <t>Pintura</t>
  </si>
  <si>
    <t>Herrería</t>
  </si>
  <si>
    <t>Electricidad</t>
  </si>
  <si>
    <t>Acondicionamiento de las áreas de trabajo</t>
  </si>
  <si>
    <t>Varios</t>
  </si>
  <si>
    <t>Imprevistos</t>
  </si>
  <si>
    <t>Espacio requerido:</t>
  </si>
  <si>
    <t>mts. Cuadrados</t>
  </si>
  <si>
    <t>PASO 2</t>
  </si>
  <si>
    <t>RECURSOS PARA EQUIPAR (INVERSIÓN FIJA)</t>
  </si>
  <si>
    <t>Concepto</t>
  </si>
  <si>
    <t>Unidades</t>
  </si>
  <si>
    <t>Precio Unitario</t>
  </si>
  <si>
    <t>Propiedades, planta y equipo (activo fijo)</t>
  </si>
  <si>
    <t>Terrenos</t>
  </si>
  <si>
    <t>Edificios</t>
  </si>
  <si>
    <t>Mobiliario y equipo de oficina</t>
  </si>
  <si>
    <t xml:space="preserve">     Escritorios</t>
  </si>
  <si>
    <t xml:space="preserve">     Mesas para juntas</t>
  </si>
  <si>
    <t xml:space="preserve">     Sillas</t>
  </si>
  <si>
    <t xml:space="preserve">     Archiveros</t>
  </si>
  <si>
    <t>Equipo de cómputo</t>
  </si>
  <si>
    <t xml:space="preserve">    Computadoras</t>
  </si>
  <si>
    <t xml:space="preserve">    Impresoras</t>
  </si>
  <si>
    <t xml:space="preserve">    Servidores</t>
  </si>
  <si>
    <t xml:space="preserve">    Scanner</t>
  </si>
  <si>
    <t xml:space="preserve">    Ploters</t>
  </si>
  <si>
    <t>Equipo de entrega o de reparto</t>
  </si>
  <si>
    <t xml:space="preserve">    Camionetas</t>
  </si>
  <si>
    <t xml:space="preserve">    Motocicletas</t>
  </si>
  <si>
    <t xml:space="preserve">    Automóviles</t>
  </si>
  <si>
    <t>Equipo de producción</t>
  </si>
  <si>
    <t xml:space="preserve">    Maquinaria</t>
  </si>
  <si>
    <t xml:space="preserve">    Mesas de trabajo</t>
  </si>
  <si>
    <t xml:space="preserve">   Herramientas y equipo</t>
  </si>
  <si>
    <t>PASO 3</t>
  </si>
  <si>
    <t>RECURSOS PARA INICIAR</t>
  </si>
  <si>
    <t>Costo/mes</t>
  </si>
  <si>
    <t>Meses</t>
  </si>
  <si>
    <t>Depósitos de renta  (1)</t>
  </si>
  <si>
    <t>Pago de renta mensual (meses que se pagarán previos a la operación de la empresa)</t>
  </si>
  <si>
    <t xml:space="preserve">Publicidad inicial </t>
  </si>
  <si>
    <t>Licencias y permisos gubernamentales para iniciar operaciones (abrir el negocio)</t>
  </si>
  <si>
    <t>Acta constitutiva</t>
  </si>
  <si>
    <t>Contratación Líneas telefónicas</t>
  </si>
  <si>
    <t>Contratación de gas</t>
  </si>
  <si>
    <t>Contratación de cable</t>
  </si>
  <si>
    <t xml:space="preserve">Material de limpieza (Escobas, cubetas, jergas) </t>
  </si>
  <si>
    <t>Papelería</t>
  </si>
  <si>
    <t>Licencias de software</t>
  </si>
  <si>
    <t>Capital de trabajo</t>
  </si>
  <si>
    <t xml:space="preserve">      Sueldos para el primer mes de operación y si es necesario para algunos meses previos</t>
  </si>
  <si>
    <t xml:space="preserve">      Materia prima para el primer mes de operación (inventarios)</t>
  </si>
  <si>
    <t>Pago a capital (en caso de solicitar financiamiento)</t>
  </si>
  <si>
    <t>Pago de intereses (en caso de solicitar financiamiento)</t>
  </si>
  <si>
    <t>Paso 4</t>
  </si>
  <si>
    <t>INVERSIÓN TOTAL</t>
  </si>
  <si>
    <t>Recursos para remodelar</t>
  </si>
  <si>
    <t>Recursos para equipar</t>
  </si>
  <si>
    <t>Recursos para iniciar</t>
  </si>
  <si>
    <t>Total de inversión</t>
  </si>
  <si>
    <t>Disponible / capital social</t>
  </si>
  <si>
    <t>Financiamiento requerido</t>
  </si>
  <si>
    <t>PROMEDIO GENERAL DE INFLACIÓN PARA LOS PRÓXIMOS 5 AÑOS=</t>
  </si>
  <si>
    <t>ESTIMACIÓN DEL COSTO VARIBALE UNITARIO</t>
  </si>
  <si>
    <t>CONCEPTO</t>
  </si>
  <si>
    <t>ÁREA/DEPTO.</t>
  </si>
  <si>
    <t>PRODUCCIÓN</t>
  </si>
  <si>
    <t>VENTAS</t>
  </si>
  <si>
    <t>Materia prima</t>
  </si>
  <si>
    <t>Empaque</t>
  </si>
  <si>
    <t>otros costos variables</t>
  </si>
  <si>
    <t>Mano de obra a destajo (por unidad producida)</t>
  </si>
  <si>
    <t>Cargos indirectos (luz, gas)</t>
  </si>
  <si>
    <t>Comisiones por unidad vendida (par de zapatos)</t>
  </si>
  <si>
    <t>COSTO  Y GASTO VARIABLE POR ÁREA</t>
  </si>
  <si>
    <t>COSTO y GASTO VARIABLE UNITARIO (C.V.U)</t>
  </si>
  <si>
    <t>UNIDADES A PRODUCIR POR AÑO</t>
  </si>
  <si>
    <t>COSTO VARIABLE TOTAL (C.V.T)</t>
  </si>
  <si>
    <t>ESTIMACIÓN DE GASTOS VARIABLES Y COSTOS FIJOS POR ÁREA</t>
  </si>
  <si>
    <t>COSTO DE PRODUCCIÓN</t>
  </si>
  <si>
    <t>GASTOS DE VENTA</t>
  </si>
  <si>
    <t>GASTOS DE ADMÓN</t>
  </si>
  <si>
    <t>TOTAL ANUAL</t>
  </si>
  <si>
    <t>TOTAL MENSUAL TODOS LAS ÁREAS</t>
  </si>
  <si>
    <t>TOTAL ANUAL TODAS LAS ÁREAS</t>
  </si>
  <si>
    <t>MENSUAL</t>
  </si>
  <si>
    <t>ANUAL</t>
  </si>
  <si>
    <t>Costos y gastos variables totales</t>
  </si>
  <si>
    <t xml:space="preserve">    50 cm de piel</t>
  </si>
  <si>
    <t xml:space="preserve">    2 hebillas</t>
  </si>
  <si>
    <t xml:space="preserve">    Herrajes</t>
  </si>
  <si>
    <t>Costos y gastos fijos</t>
  </si>
  <si>
    <t>Sueldos/remuneraciones</t>
  </si>
  <si>
    <t>Renta</t>
  </si>
  <si>
    <t>Luz, agua y predial</t>
  </si>
  <si>
    <t>Servicio telefónico</t>
  </si>
  <si>
    <t>Publicidad</t>
  </si>
  <si>
    <t>Material de aseo y limpieza</t>
  </si>
  <si>
    <t>Depreciación del activo fijo</t>
  </si>
  <si>
    <t>COSTO TOTAL POR ÁREA (CVT + CF)</t>
  </si>
  <si>
    <t>ESTIMACIÓN DEL PRECIO DE VENTA POR UNIDAD AÑO 2020</t>
  </si>
  <si>
    <t>ESTIMACIÓN DEL PRECIO DE VENTA POR UNIDAD AÑO 2019</t>
  </si>
  <si>
    <t xml:space="preserve">COSTO TOTAL </t>
  </si>
  <si>
    <t>COSTO TOTAL</t>
  </si>
  <si>
    <t>COSTO TOTAL DE CADA PAR DE ZAPATOS</t>
  </si>
  <si>
    <t xml:space="preserve">                   COSTO TOTAL DE CADA PAR DE ZAPATOS</t>
  </si>
  <si>
    <t>UTILIDAD SOBRE EL COSTO TOTAL</t>
  </si>
  <si>
    <t>PRECIO DE VENTA UNITARIO por costeo</t>
  </si>
  <si>
    <t xml:space="preserve">                 PRECIO DE VENTA UNITARIO POR COSTEO</t>
  </si>
  <si>
    <t>PRECIO DE VENTA EN EL MERCADO</t>
  </si>
  <si>
    <t xml:space="preserve">                               PRECIO DE VENTA EN EL MERCADO</t>
  </si>
  <si>
    <t>PRESUPUESTO DE GASTOS FINANCIEROS</t>
  </si>
  <si>
    <t>Pago de intereses</t>
  </si>
  <si>
    <t>Financiamiento</t>
  </si>
  <si>
    <t>Mes</t>
  </si>
  <si>
    <t>Interes Mensual</t>
  </si>
  <si>
    <t>Pago Mensual</t>
  </si>
  <si>
    <t>Pago a principal</t>
  </si>
  <si>
    <t>Deuda despues del Pago</t>
  </si>
  <si>
    <t>Tasa de Interes</t>
  </si>
  <si>
    <t>Deuda</t>
  </si>
  <si>
    <t>Validacion Deuda</t>
  </si>
  <si>
    <t>ESTIMADO DE DEPRECIACIÓN DEL ACTIVO FIJO (INMUEBLES, PLANTA Y EQUIPO)</t>
  </si>
  <si>
    <t>Los porcentajes de depreciación están en el artículo 34 de la Ley del ISR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</si>
  <si>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</si>
  <si>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</si>
  <si>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</si>
  <si>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</si>
  <si>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</si>
  <si>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</si>
  <si>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</si>
  <si>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</si>
  <si>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</si>
  <si>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</si>
  <si>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>PRODUCCIÓN/ SERVICIO</t>
  </si>
  <si>
    <t xml:space="preserve">           Escritorio</t>
  </si>
  <si>
    <t xml:space="preserve">           Silla ejecutiva</t>
  </si>
  <si>
    <t xml:space="preserve">           Archivero</t>
  </si>
  <si>
    <t>Mesas para Juntas</t>
  </si>
  <si>
    <t xml:space="preserve">           Computadora</t>
  </si>
  <si>
    <t xml:space="preserve">           Impresora</t>
  </si>
  <si>
    <t>Servidores</t>
  </si>
  <si>
    <t>TOTAL DE DEPRECIACIÓN ANUAL A CARGO DEL ÁREA DE PRODUCCIÓN O DE PRESTACIÓN DE SERVICIOS</t>
  </si>
  <si>
    <t>TOTAL DE DEPRECIACIÓN ANUAL A CARGO DEL ÁREA DE DE VENTAS</t>
  </si>
  <si>
    <t>ADMINISTRACIÓN</t>
  </si>
  <si>
    <t>TOTAL DE DEPRECIACIÓN ANUAL A CARGO DEL ÁREA DE ADMINISTRACIÓN</t>
  </si>
  <si>
    <t>NOTA</t>
  </si>
  <si>
    <t>Para el cálculo de la depreciación utilizar el método de linea recta</t>
  </si>
  <si>
    <t>TOTAL DE 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</si>
</sst>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&quot;$&quot;#,##0"/>
    <numFmt numFmtId="168" formatCode="_-[$$-80A]* #,##0.00_-;\-[$$-80A]* #,##0.00_-;_-[$$-80A]* &quot;-&quot;??_-;_-@_-"/>
    <numFmt numFmtId="169" formatCode="_-&quot;$&quot;* #,##0.0000000_-;\-&quot;$&quot;* #,##0.0000000_-;_-&quot;$&quot;* &quot;-&quot;??_-;_-@_-"/>
    <numFmt numFmtId="170" formatCode="0.0"/>
    <numFmt numFmtId="171" formatCode="_-* #,##0.00_-;\-* #,##0.00_-;_-* &quot;-&quot;??_-;_-@_-"/>
  </numFmts>
  <fonts count="28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u/>
      <sz val="12"/>
      <color theme="1"/>
      <name val="Arial"/>
      <family val="2"/>
    </font>
    <font>
      <b/>
      <sz val="12"/>
      <color theme="3"/>
      <name val="Arial"/>
      <family val="2"/>
    </font>
    <font>
      <b/>
      <sz val="10"/>
      <name val="Lucida Console"/>
      <family val="3"/>
    </font>
    <font>
      <sz val="12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Calibri"/>
      <charset val="1"/>
    </font>
    <font>
      <b/>
      <sz val="16"/>
      <color theme="1"/>
      <name val="Calibri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gradientFill type="path" top="1" bottom="1">
        <stop position="0">
          <color theme="0"/>
        </stop>
        <stop position="1">
          <color theme="4"/>
        </stop>
      </gradientFill>
    </fill>
    <fill>
      <patternFill patternType="solid">
        <fgColor indexed="65"/>
        <bgColor theme="0"/>
      </patternFill>
    </fill>
    <fill>
      <gradientFill degree="90">
        <stop position="0">
          <color theme="3"/>
        </stop>
        <stop position="0.5">
          <color theme="4"/>
        </stop>
        <stop position="1">
          <color theme="3"/>
        </stop>
      </gradientFill>
    </fill>
    <fill>
      <patternFill patternType="solid">
        <fgColor theme="4" tint="0.59999389629810485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patternFill patternType="solid">
        <fgColor indexed="4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 style="thin">
        <color indexed="64"/>
      </bottom>
      <diagonal/>
    </border>
    <border>
      <left/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/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/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ck">
        <color theme="1"/>
      </top>
      <bottom/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1"/>
      </right>
      <top style="thin">
        <color indexed="64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8">
    <xf numFmtId="0" fontId="0" fillId="0" borderId="0" xfId="0"/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right"/>
    </xf>
    <xf numFmtId="0" fontId="6" fillId="4" borderId="0" xfId="0" applyFont="1" applyFill="1"/>
    <xf numFmtId="0" fontId="0" fillId="5" borderId="0" xfId="0" applyFill="1"/>
    <xf numFmtId="165" fontId="0" fillId="5" borderId="0" xfId="0" applyNumberFormat="1" applyFill="1" applyAlignment="1">
      <alignment horizontal="right"/>
    </xf>
    <xf numFmtId="0" fontId="9" fillId="0" borderId="0" xfId="2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64" fontId="13" fillId="9" borderId="7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/>
    <xf numFmtId="0" fontId="0" fillId="5" borderId="2" xfId="0" applyFill="1" applyBorder="1"/>
    <xf numFmtId="165" fontId="0" fillId="5" borderId="3" xfId="0" applyNumberFormat="1" applyFill="1" applyBorder="1" applyAlignment="1">
      <alignment horizontal="right"/>
    </xf>
    <xf numFmtId="167" fontId="12" fillId="9" borderId="3" xfId="1" applyNumberFormat="1" applyFont="1" applyFill="1" applyBorder="1" applyAlignment="1">
      <alignment horizontal="center" vertical="center"/>
    </xf>
    <xf numFmtId="0" fontId="12" fillId="10" borderId="0" xfId="0" applyFont="1" applyFill="1" applyAlignment="1">
      <alignment horizontal="right" vertical="center"/>
    </xf>
    <xf numFmtId="0" fontId="12" fillId="9" borderId="0" xfId="0" applyFont="1" applyFill="1" applyAlignment="1">
      <alignment horizontal="center"/>
    </xf>
    <xf numFmtId="165" fontId="13" fillId="5" borderId="0" xfId="0" applyNumberFormat="1" applyFont="1" applyFill="1" applyAlignment="1">
      <alignment horizontal="right"/>
    </xf>
    <xf numFmtId="0" fontId="14" fillId="5" borderId="0" xfId="0" applyFont="1" applyFill="1"/>
    <xf numFmtId="0" fontId="12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165" fontId="12" fillId="7" borderId="8" xfId="0" applyNumberFormat="1" applyFont="1" applyFill="1" applyBorder="1" applyAlignment="1">
      <alignment horizontal="right" vertical="center"/>
    </xf>
    <xf numFmtId="0" fontId="16" fillId="8" borderId="8" xfId="0" applyFont="1" applyFill="1" applyBorder="1" applyAlignment="1">
      <alignment horizontal="center" wrapText="1"/>
    </xf>
    <xf numFmtId="0" fontId="13" fillId="11" borderId="8" xfId="0" applyFont="1" applyFill="1" applyBorder="1" applyAlignment="1">
      <alignment horizontal="center"/>
    </xf>
    <xf numFmtId="44" fontId="13" fillId="11" borderId="8" xfId="0" applyNumberFormat="1" applyFont="1" applyFill="1" applyBorder="1"/>
    <xf numFmtId="165" fontId="13" fillId="9" borderId="8" xfId="0" applyNumberFormat="1" applyFont="1" applyFill="1" applyBorder="1" applyAlignment="1">
      <alignment horizontal="right" vertical="center" wrapText="1"/>
    </xf>
    <xf numFmtId="0" fontId="12" fillId="8" borderId="7" xfId="0" applyFont="1" applyFill="1" applyBorder="1" applyAlignment="1">
      <alignment wrapText="1"/>
    </xf>
    <xf numFmtId="0" fontId="13" fillId="11" borderId="7" xfId="0" applyFont="1" applyFill="1" applyBorder="1" applyAlignment="1">
      <alignment horizontal="center"/>
    </xf>
    <xf numFmtId="44" fontId="13" fillId="11" borderId="7" xfId="0" applyNumberFormat="1" applyFont="1" applyFill="1" applyBorder="1"/>
    <xf numFmtId="165" fontId="12" fillId="9" borderId="7" xfId="0" applyNumberFormat="1" applyFont="1" applyFill="1" applyBorder="1" applyAlignment="1">
      <alignment horizontal="right" vertical="center" wrapText="1"/>
    </xf>
    <xf numFmtId="0" fontId="13" fillId="8" borderId="7" xfId="0" applyFont="1" applyFill="1" applyBorder="1" applyAlignment="1">
      <alignment wrapText="1"/>
    </xf>
    <xf numFmtId="165" fontId="13" fillId="9" borderId="7" xfId="0" applyNumberFormat="1" applyFont="1" applyFill="1" applyBorder="1" applyAlignment="1">
      <alignment horizontal="right" vertical="center" wrapText="1"/>
    </xf>
    <xf numFmtId="0" fontId="12" fillId="5" borderId="9" xfId="0" applyFont="1" applyFill="1" applyBorder="1"/>
    <xf numFmtId="0" fontId="14" fillId="5" borderId="9" xfId="0" applyFont="1" applyFill="1" applyBorder="1" applyAlignment="1">
      <alignment horizontal="center" vertical="center" wrapText="1"/>
    </xf>
    <xf numFmtId="165" fontId="12" fillId="9" borderId="9" xfId="1" applyNumberFormat="1" applyFont="1" applyFill="1" applyBorder="1" applyAlignment="1">
      <alignment horizontal="right" vertical="center"/>
    </xf>
    <xf numFmtId="0" fontId="13" fillId="8" borderId="5" xfId="0" applyFont="1" applyFill="1" applyBorder="1" applyAlignment="1">
      <alignment vertical="center" wrapText="1"/>
    </xf>
    <xf numFmtId="164" fontId="13" fillId="8" borderId="5" xfId="0" applyNumberFormat="1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wrapText="1"/>
    </xf>
    <xf numFmtId="165" fontId="12" fillId="9" borderId="3" xfId="1" applyNumberFormat="1" applyFont="1" applyFill="1" applyBorder="1" applyAlignment="1">
      <alignment horizontal="right" vertical="center"/>
    </xf>
    <xf numFmtId="0" fontId="13" fillId="9" borderId="5" xfId="0" applyFont="1" applyFill="1" applyBorder="1"/>
    <xf numFmtId="0" fontId="13" fillId="9" borderId="9" xfId="0" applyFont="1" applyFill="1" applyBorder="1"/>
    <xf numFmtId="0" fontId="13" fillId="9" borderId="0" xfId="0" applyFont="1" applyFill="1"/>
    <xf numFmtId="0" fontId="13" fillId="9" borderId="10" xfId="0" applyFont="1" applyFill="1" applyBorder="1"/>
    <xf numFmtId="0" fontId="12" fillId="5" borderId="2" xfId="0" applyFont="1" applyFill="1" applyBorder="1"/>
    <xf numFmtId="0" fontId="13" fillId="8" borderId="7" xfId="0" applyFont="1" applyFill="1" applyBorder="1" applyAlignment="1">
      <alignment horizontal="left" vertical="center" wrapText="1"/>
    </xf>
    <xf numFmtId="0" fontId="2" fillId="12" borderId="0" xfId="0" applyFont="1" applyFill="1" applyAlignment="1">
      <alignment horizontal="center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168" fontId="17" fillId="3" borderId="0" xfId="0" applyNumberFormat="1" applyFont="1" applyFill="1"/>
    <xf numFmtId="0" fontId="17" fillId="13" borderId="0" xfId="0" applyFont="1" applyFill="1"/>
    <xf numFmtId="0" fontId="17" fillId="13" borderId="0" xfId="0" applyFont="1" applyFill="1" applyAlignment="1">
      <alignment horizontal="center"/>
    </xf>
    <xf numFmtId="168" fontId="17" fillId="13" borderId="0" xfId="0" applyNumberFormat="1" applyFont="1" applyFill="1"/>
    <xf numFmtId="0" fontId="0" fillId="13" borderId="0" xfId="0" applyFill="1"/>
    <xf numFmtId="168" fontId="0" fillId="3" borderId="0" xfId="0" applyNumberFormat="1" applyFill="1"/>
    <xf numFmtId="0" fontId="2" fillId="12" borderId="0" xfId="0" applyFont="1" applyFill="1" applyAlignment="1">
      <alignment horizontal="center" vertical="center" wrapText="1"/>
    </xf>
    <xf numFmtId="166" fontId="0" fillId="13" borderId="0" xfId="1" applyFont="1" applyFill="1" applyAlignment="1">
      <alignment horizontal="center" vertical="center" wrapText="1"/>
    </xf>
    <xf numFmtId="166" fontId="0" fillId="13" borderId="0" xfId="1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166" fontId="0" fillId="3" borderId="0" xfId="1" applyFont="1" applyFill="1" applyAlignment="1">
      <alignment horizontal="center" vertical="center" wrapText="1"/>
    </xf>
    <xf numFmtId="166" fontId="0" fillId="3" borderId="0" xfId="1" applyFont="1" applyFill="1" applyAlignment="1">
      <alignment vertical="center"/>
    </xf>
    <xf numFmtId="0" fontId="2" fillId="12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center"/>
    </xf>
    <xf numFmtId="166" fontId="0" fillId="3" borderId="0" xfId="1" applyFont="1" applyFill="1" applyBorder="1"/>
    <xf numFmtId="169" fontId="0" fillId="3" borderId="0" xfId="0" applyNumberFormat="1" applyFill="1"/>
    <xf numFmtId="0" fontId="0" fillId="13" borderId="0" xfId="0" applyFill="1" applyAlignment="1">
      <alignment horizontal="center" vertical="center"/>
    </xf>
    <xf numFmtId="166" fontId="0" fillId="13" borderId="0" xfId="1" applyFont="1" applyFill="1" applyBorder="1"/>
    <xf numFmtId="9" fontId="0" fillId="3" borderId="0" xfId="3" applyFont="1" applyFill="1"/>
    <xf numFmtId="0" fontId="0" fillId="3" borderId="0" xfId="0" applyFill="1" applyAlignment="1">
      <alignment vertical="center"/>
    </xf>
    <xf numFmtId="166" fontId="0" fillId="3" borderId="0" xfId="0" applyNumberFormat="1" applyFill="1"/>
    <xf numFmtId="164" fontId="0" fillId="3" borderId="0" xfId="1" applyNumberFormat="1" applyFont="1" applyFill="1"/>
    <xf numFmtId="166" fontId="0" fillId="0" borderId="0" xfId="0" applyNumberFormat="1"/>
    <xf numFmtId="166" fontId="13" fillId="9" borderId="7" xfId="0" applyNumberFormat="1" applyFont="1" applyFill="1" applyBorder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0" fillId="14" borderId="0" xfId="0" applyFill="1"/>
    <xf numFmtId="0" fontId="0" fillId="0" borderId="4" xfId="0" applyBorder="1" applyAlignment="1">
      <alignment horizontal="center" vertical="center" wrapText="1"/>
    </xf>
    <xf numFmtId="0" fontId="0" fillId="16" borderId="6" xfId="0" applyFill="1" applyBorder="1"/>
    <xf numFmtId="0" fontId="0" fillId="0" borderId="4" xfId="0" applyBorder="1" applyAlignment="1">
      <alignment vertical="center"/>
    </xf>
    <xf numFmtId="0" fontId="19" fillId="14" borderId="0" xfId="0" applyFont="1" applyFill="1"/>
    <xf numFmtId="0" fontId="19" fillId="0" borderId="4" xfId="0" applyFont="1" applyBorder="1" applyAlignment="1">
      <alignment horizontal="center" vertical="center" wrapText="1"/>
    </xf>
    <xf numFmtId="170" fontId="0" fillId="16" borderId="6" xfId="0" applyNumberFormat="1" applyFill="1" applyBorder="1"/>
    <xf numFmtId="170" fontId="0" fillId="0" borderId="0" xfId="0" applyNumberFormat="1"/>
    <xf numFmtId="170" fontId="0" fillId="19" borderId="0" xfId="0" applyNumberFormat="1" applyFill="1"/>
    <xf numFmtId="0" fontId="19" fillId="0" borderId="14" xfId="0" applyFont="1" applyBorder="1"/>
    <xf numFmtId="0" fontId="0" fillId="0" borderId="14" xfId="0" applyBorder="1"/>
    <xf numFmtId="0" fontId="19" fillId="18" borderId="14" xfId="0" applyFont="1" applyFill="1" applyBorder="1" applyAlignment="1">
      <alignment horizontal="center"/>
    </xf>
    <xf numFmtId="0" fontId="19" fillId="18" borderId="14" xfId="0" applyFont="1" applyFill="1" applyBorder="1" applyAlignment="1"/>
    <xf numFmtId="0" fontId="19" fillId="0" borderId="14" xfId="0" applyFont="1" applyBorder="1" applyAlignment="1"/>
    <xf numFmtId="170" fontId="0" fillId="20" borderId="0" xfId="0" applyNumberFormat="1" applyFill="1"/>
    <xf numFmtId="170" fontId="19" fillId="0" borderId="14" xfId="0" applyNumberFormat="1" applyFont="1" applyBorder="1"/>
    <xf numFmtId="170" fontId="0" fillId="0" borderId="14" xfId="0" applyNumberFormat="1" applyBorder="1"/>
    <xf numFmtId="0" fontId="19" fillId="0" borderId="14" xfId="0" applyFont="1" applyBorder="1" applyAlignment="1">
      <alignment horizontal="center"/>
    </xf>
    <xf numFmtId="0" fontId="19" fillId="18" borderId="14" xfId="0" applyFont="1" applyFill="1" applyBorder="1"/>
    <xf numFmtId="2" fontId="0" fillId="0" borderId="14" xfId="0" applyNumberFormat="1" applyBorder="1"/>
    <xf numFmtId="170" fontId="0" fillId="17" borderId="0" xfId="0" applyNumberFormat="1" applyFill="1" applyBorder="1"/>
    <xf numFmtId="0" fontId="0" fillId="15" borderId="13" xfId="0" applyFill="1" applyBorder="1" applyAlignment="1">
      <alignment horizontal="center" vertical="center" wrapText="1"/>
    </xf>
    <xf numFmtId="2" fontId="0" fillId="17" borderId="13" xfId="0" applyNumberFormat="1" applyFill="1" applyBorder="1"/>
    <xf numFmtId="170" fontId="0" fillId="19" borderId="13" xfId="0" applyNumberFormat="1" applyFill="1" applyBorder="1"/>
    <xf numFmtId="170" fontId="0" fillId="17" borderId="13" xfId="0" applyNumberFormat="1" applyFill="1" applyBorder="1"/>
    <xf numFmtId="2" fontId="0" fillId="21" borderId="0" xfId="0" applyNumberFormat="1" applyFill="1"/>
    <xf numFmtId="170" fontId="0" fillId="21" borderId="0" xfId="0" applyNumberFormat="1" applyFill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13" fillId="8" borderId="5" xfId="0" applyFont="1" applyFill="1" applyBorder="1" applyAlignment="1">
      <alignment wrapText="1"/>
    </xf>
    <xf numFmtId="0" fontId="10" fillId="6" borderId="1" xfId="0" applyFont="1" applyFill="1" applyBorder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wrapText="1"/>
    </xf>
    <xf numFmtId="0" fontId="13" fillId="8" borderId="0" xfId="0" applyFont="1" applyFill="1" applyAlignment="1">
      <alignment wrapText="1"/>
    </xf>
    <xf numFmtId="0" fontId="13" fillId="8" borderId="6" xfId="0" applyFont="1" applyFill="1" applyBorder="1" applyAlignment="1">
      <alignment wrapText="1"/>
    </xf>
    <xf numFmtId="0" fontId="5" fillId="3" borderId="0" xfId="0" applyFont="1" applyFill="1" applyAlignment="1">
      <alignment horizontal="center" vertical="center"/>
    </xf>
    <xf numFmtId="0" fontId="7" fillId="0" borderId="0" xfId="2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2" fillId="12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20" fillId="17" borderId="13" xfId="0" applyFont="1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21" fillId="21" borderId="9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2" borderId="0" xfId="0" applyFill="1" applyAlignment="1">
      <alignment horizontal="center"/>
    </xf>
    <xf numFmtId="0" fontId="0" fillId="23" borderId="0" xfId="0" applyFill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0" fillId="0" borderId="0" xfId="0" applyAlignment="1">
      <alignment horizontal="center"/>
    </xf>
    <xf numFmtId="0" fontId="24" fillId="0" borderId="28" xfId="0" applyFont="1" applyBorder="1"/>
    <xf numFmtId="43" fontId="24" fillId="0" borderId="29" xfId="4" applyFont="1" applyBorder="1" applyAlignment="1">
      <alignment horizontal="right"/>
    </xf>
    <xf numFmtId="0" fontId="0" fillId="0" borderId="1" xfId="0" applyBorder="1"/>
    <xf numFmtId="0" fontId="0" fillId="0" borderId="30" xfId="0" applyBorder="1"/>
    <xf numFmtId="0" fontId="0" fillId="0" borderId="28" xfId="0" applyBorder="1"/>
    <xf numFmtId="43" fontId="0" fillId="0" borderId="3" xfId="4" applyFont="1" applyBorder="1" applyAlignment="1">
      <alignment horizontal="right"/>
    </xf>
    <xf numFmtId="43" fontId="0" fillId="0" borderId="29" xfId="4" applyFont="1" applyBorder="1" applyAlignment="1">
      <alignment horizontal="right"/>
    </xf>
    <xf numFmtId="171" fontId="0" fillId="0" borderId="29" xfId="4" applyNumberFormat="1" applyFont="1" applyBorder="1" applyAlignment="1">
      <alignment horizontal="right"/>
    </xf>
    <xf numFmtId="43" fontId="24" fillId="0" borderId="3" xfId="4" applyFont="1" applyBorder="1" applyAlignment="1">
      <alignment horizontal="right"/>
    </xf>
    <xf numFmtId="0" fontId="24" fillId="0" borderId="28" xfId="0" applyFont="1" applyBorder="1" applyAlignment="1">
      <alignment horizontal="left" wrapText="1"/>
    </xf>
    <xf numFmtId="0" fontId="0" fillId="0" borderId="3" xfId="0" applyBorder="1" applyAlignment="1">
      <alignment horizontal="right"/>
    </xf>
    <xf numFmtId="0" fontId="0" fillId="0" borderId="29" xfId="0" applyBorder="1" applyAlignment="1">
      <alignment horizontal="right"/>
    </xf>
    <xf numFmtId="0" fontId="24" fillId="0" borderId="28" xfId="0" applyFont="1" applyBorder="1" applyAlignment="1">
      <alignment horizontal="left"/>
    </xf>
    <xf numFmtId="43" fontId="24" fillId="0" borderId="1" xfId="4" applyFont="1" applyBorder="1"/>
    <xf numFmtId="43" fontId="24" fillId="0" borderId="30" xfId="4" applyFont="1" applyBorder="1"/>
    <xf numFmtId="0" fontId="23" fillId="0" borderId="28" xfId="0" applyFont="1" applyBorder="1" applyAlignment="1">
      <alignment horizontal="left"/>
    </xf>
    <xf numFmtId="43" fontId="0" fillId="0" borderId="1" xfId="4" applyFont="1" applyBorder="1"/>
    <xf numFmtId="43" fontId="0" fillId="0" borderId="30" xfId="4" applyFont="1" applyBorder="1"/>
    <xf numFmtId="3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3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24" borderId="35" xfId="0" applyFont="1" applyFill="1" applyBorder="1" applyAlignment="1">
      <alignment horizontal="center"/>
    </xf>
    <xf numFmtId="0" fontId="0" fillId="0" borderId="39" xfId="0" applyBorder="1"/>
    <xf numFmtId="0" fontId="0" fillId="0" borderId="11" xfId="0" applyBorder="1" applyAlignment="1">
      <alignment horizontal="center"/>
    </xf>
    <xf numFmtId="0" fontId="23" fillId="25" borderId="40" xfId="0" applyFont="1" applyFill="1" applyBorder="1" applyAlignment="1">
      <alignment horizontal="center" vertical="center" wrapText="1" shrinkToFit="1"/>
    </xf>
    <xf numFmtId="0" fontId="23" fillId="25" borderId="41" xfId="0" applyFont="1" applyFill="1" applyBorder="1" applyAlignment="1">
      <alignment horizontal="center"/>
    </xf>
    <xf numFmtId="0" fontId="23" fillId="15" borderId="26" xfId="0" applyFont="1" applyFill="1" applyBorder="1" applyAlignment="1">
      <alignment horizontal="center" vertical="center" wrapText="1" shrinkToFit="1"/>
    </xf>
    <xf numFmtId="0" fontId="23" fillId="15" borderId="41" xfId="0" applyFont="1" applyFill="1" applyBorder="1" applyAlignment="1">
      <alignment horizontal="center"/>
    </xf>
    <xf numFmtId="0" fontId="23" fillId="22" borderId="26" xfId="0" applyFont="1" applyFill="1" applyBorder="1" applyAlignment="1">
      <alignment horizontal="center" vertical="center" wrapText="1" shrinkToFit="1"/>
    </xf>
    <xf numFmtId="0" fontId="23" fillId="22" borderId="41" xfId="0" applyFont="1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23" fillId="25" borderId="43" xfId="0" applyFont="1" applyFill="1" applyBorder="1" applyAlignment="1">
      <alignment horizontal="center" vertical="center" wrapText="1" shrinkToFit="1"/>
    </xf>
    <xf numFmtId="0" fontId="23" fillId="25" borderId="44" xfId="0" applyFont="1" applyFill="1" applyBorder="1" applyAlignment="1">
      <alignment horizontal="center"/>
    </xf>
    <xf numFmtId="0" fontId="23" fillId="15" borderId="45" xfId="0" applyFont="1" applyFill="1" applyBorder="1" applyAlignment="1">
      <alignment horizontal="center" vertical="center" wrapText="1" shrinkToFit="1"/>
    </xf>
    <xf numFmtId="0" fontId="23" fillId="15" borderId="44" xfId="0" applyFont="1" applyFill="1" applyBorder="1" applyAlignment="1">
      <alignment horizontal="center"/>
    </xf>
    <xf numFmtId="0" fontId="23" fillId="22" borderId="45" xfId="0" applyFont="1" applyFill="1" applyBorder="1" applyAlignment="1">
      <alignment horizontal="center" vertical="center" wrapText="1" shrinkToFit="1"/>
    </xf>
    <xf numFmtId="0" fontId="23" fillId="22" borderId="44" xfId="0" applyFont="1" applyFill="1" applyBorder="1" applyAlignment="1">
      <alignment horizont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23" fillId="0" borderId="48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6" fillId="26" borderId="11" xfId="0" applyFont="1" applyFill="1" applyBorder="1"/>
    <xf numFmtId="43" fontId="26" fillId="26" borderId="54" xfId="4" applyFont="1" applyFill="1" applyBorder="1" applyAlignment="1">
      <alignment horizontal="right"/>
    </xf>
    <xf numFmtId="43" fontId="26" fillId="26" borderId="55" xfId="4" applyFont="1" applyFill="1" applyBorder="1" applyAlignment="1">
      <alignment horizontal="right"/>
    </xf>
    <xf numFmtId="43" fontId="26" fillId="26" borderId="56" xfId="4" applyFont="1" applyFill="1" applyBorder="1" applyAlignment="1">
      <alignment horizontal="right"/>
    </xf>
    <xf numFmtId="43" fontId="26" fillId="26" borderId="57" xfId="4" applyFont="1" applyFill="1" applyBorder="1" applyAlignment="1">
      <alignment horizontal="right"/>
    </xf>
    <xf numFmtId="43" fontId="26" fillId="26" borderId="58" xfId="4" applyFont="1" applyFill="1" applyBorder="1" applyAlignment="1">
      <alignment horizontal="right"/>
    </xf>
    <xf numFmtId="43" fontId="26" fillId="26" borderId="7" xfId="4" applyFont="1" applyFill="1" applyBorder="1" applyAlignment="1">
      <alignment horizontal="right"/>
    </xf>
    <xf numFmtId="43" fontId="26" fillId="26" borderId="6" xfId="4" applyFont="1" applyFill="1" applyBorder="1" applyAlignment="1">
      <alignment horizontal="right"/>
    </xf>
    <xf numFmtId="43" fontId="26" fillId="26" borderId="59" xfId="4" applyFont="1" applyFill="1" applyBorder="1" applyAlignment="1">
      <alignment horizontal="right"/>
    </xf>
    <xf numFmtId="0" fontId="23" fillId="0" borderId="60" xfId="0" applyFont="1" applyBorder="1"/>
    <xf numFmtId="43" fontId="23" fillId="0" borderId="61" xfId="4" applyFont="1" applyBorder="1" applyAlignment="1">
      <alignment horizontal="right"/>
    </xf>
    <xf numFmtId="43" fontId="23" fillId="0" borderId="4" xfId="4" applyFont="1" applyBorder="1" applyAlignment="1">
      <alignment horizontal="right"/>
    </xf>
    <xf numFmtId="43" fontId="0" fillId="0" borderId="4" xfId="4" applyFont="1" applyBorder="1" applyAlignment="1">
      <alignment horizontal="right"/>
    </xf>
    <xf numFmtId="171" fontId="23" fillId="0" borderId="4" xfId="0" applyNumberFormat="1" applyFont="1" applyBorder="1" applyAlignment="1">
      <alignment horizontal="center"/>
    </xf>
    <xf numFmtId="171" fontId="23" fillId="0" borderId="62" xfId="0" applyNumberFormat="1" applyFont="1" applyBorder="1" applyAlignment="1">
      <alignment horizontal="center"/>
    </xf>
    <xf numFmtId="43" fontId="23" fillId="0" borderId="62" xfId="4" applyFont="1" applyBorder="1" applyAlignment="1">
      <alignment horizontal="right"/>
    </xf>
    <xf numFmtId="0" fontId="0" fillId="0" borderId="60" xfId="0" applyBorder="1"/>
    <xf numFmtId="43" fontId="0" fillId="0" borderId="61" xfId="4" applyFont="1" applyBorder="1" applyAlignment="1">
      <alignment horizontal="right"/>
    </xf>
    <xf numFmtId="171" fontId="0" fillId="0" borderId="4" xfId="0" applyNumberFormat="1" applyBorder="1" applyAlignment="1">
      <alignment horizontal="center"/>
    </xf>
    <xf numFmtId="171" fontId="0" fillId="0" borderId="62" xfId="0" applyNumberFormat="1" applyBorder="1" applyAlignment="1">
      <alignment horizontal="center"/>
    </xf>
    <xf numFmtId="43" fontId="25" fillId="0" borderId="4" xfId="4" applyFont="1" applyBorder="1" applyAlignment="1">
      <alignment horizontal="right"/>
    </xf>
    <xf numFmtId="43" fontId="25" fillId="0" borderId="62" xfId="4" applyFont="1" applyBorder="1" applyAlignment="1">
      <alignment horizontal="right"/>
    </xf>
    <xf numFmtId="43" fontId="25" fillId="0" borderId="1" xfId="4" applyFont="1" applyBorder="1" applyAlignment="1">
      <alignment horizontal="right"/>
    </xf>
    <xf numFmtId="0" fontId="0" fillId="0" borderId="39" xfId="0" applyBorder="1" applyAlignment="1">
      <alignment horizontal="center"/>
    </xf>
    <xf numFmtId="43" fontId="23" fillId="0" borderId="1" xfId="4" applyFont="1" applyBorder="1" applyAlignment="1">
      <alignment horizontal="right"/>
    </xf>
    <xf numFmtId="0" fontId="23" fillId="0" borderId="60" xfId="0" applyFont="1" applyBorder="1" applyAlignment="1">
      <alignment horizontal="left" wrapText="1"/>
    </xf>
    <xf numFmtId="43" fontId="0" fillId="0" borderId="62" xfId="4" applyFont="1" applyBorder="1" applyAlignment="1">
      <alignment horizontal="right"/>
    </xf>
    <xf numFmtId="0" fontId="23" fillId="0" borderId="60" xfId="0" applyFont="1" applyBorder="1" applyAlignment="1">
      <alignment horizontal="left"/>
    </xf>
    <xf numFmtId="0" fontId="26" fillId="27" borderId="1" xfId="0" applyFont="1" applyFill="1" applyBorder="1"/>
    <xf numFmtId="43" fontId="26" fillId="26" borderId="63" xfId="4" applyFont="1" applyFill="1" applyBorder="1" applyAlignment="1">
      <alignment horizontal="right"/>
    </xf>
    <xf numFmtId="43" fontId="26" fillId="26" borderId="8" xfId="4" applyFont="1" applyFill="1" applyBorder="1" applyAlignment="1">
      <alignment horizontal="right"/>
    </xf>
    <xf numFmtId="43" fontId="26" fillId="26" borderId="64" xfId="4" applyFont="1" applyFill="1" applyBorder="1" applyAlignment="1">
      <alignment horizontal="right"/>
    </xf>
    <xf numFmtId="43" fontId="26" fillId="26" borderId="11" xfId="4" applyFont="1" applyFill="1" applyBorder="1" applyAlignment="1">
      <alignment horizontal="right"/>
    </xf>
    <xf numFmtId="43" fontId="0" fillId="0" borderId="63" xfId="4" applyFont="1" applyBorder="1" applyAlignment="1">
      <alignment horizontal="right"/>
    </xf>
    <xf numFmtId="43" fontId="0" fillId="0" borderId="8" xfId="4" applyFont="1" applyBorder="1" applyAlignment="1">
      <alignment horizontal="right"/>
    </xf>
    <xf numFmtId="171" fontId="0" fillId="0" borderId="8" xfId="0" applyNumberFormat="1" applyBorder="1" applyAlignment="1">
      <alignment horizontal="center"/>
    </xf>
    <xf numFmtId="171" fontId="0" fillId="0" borderId="64" xfId="0" applyNumberFormat="1" applyBorder="1" applyAlignment="1">
      <alignment horizontal="center"/>
    </xf>
    <xf numFmtId="43" fontId="25" fillId="0" borderId="8" xfId="4" applyFont="1" applyBorder="1" applyAlignment="1">
      <alignment horizontal="right"/>
    </xf>
    <xf numFmtId="43" fontId="25" fillId="0" borderId="64" xfId="4" applyFont="1" applyBorder="1" applyAlignment="1">
      <alignment horizontal="right"/>
    </xf>
    <xf numFmtId="0" fontId="27" fillId="28" borderId="1" xfId="0" applyFont="1" applyFill="1" applyBorder="1"/>
    <xf numFmtId="171" fontId="22" fillId="28" borderId="35" xfId="0" applyNumberFormat="1" applyFont="1" applyFill="1" applyBorder="1" applyAlignment="1">
      <alignment horizontal="right"/>
    </xf>
    <xf numFmtId="171" fontId="22" fillId="28" borderId="36" xfId="0" applyNumberFormat="1" applyFont="1" applyFill="1" applyBorder="1" applyAlignment="1">
      <alignment horizontal="right"/>
    </xf>
    <xf numFmtId="171" fontId="22" fillId="28" borderId="36" xfId="0" applyNumberFormat="1" applyFont="1" applyFill="1" applyBorder="1" applyAlignment="1">
      <alignment horizontal="center"/>
    </xf>
    <xf numFmtId="171" fontId="22" fillId="28" borderId="37" xfId="0" applyNumberFormat="1" applyFont="1" applyFill="1" applyBorder="1" applyAlignment="1">
      <alignment horizontal="center"/>
    </xf>
    <xf numFmtId="171" fontId="22" fillId="28" borderId="37" xfId="0" applyNumberFormat="1" applyFont="1" applyFill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0" fillId="0" borderId="11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71" fontId="0" fillId="0" borderId="9" xfId="0" applyNumberFormat="1" applyBorder="1"/>
    <xf numFmtId="171" fontId="0" fillId="0" borderId="12" xfId="0" applyNumberFormat="1" applyBorder="1" applyAlignment="1">
      <alignment horizontal="right"/>
    </xf>
    <xf numFmtId="171" fontId="0" fillId="0" borderId="6" xfId="0" applyNumberFormat="1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6" xfId="0" applyBorder="1"/>
    <xf numFmtId="9" fontId="0" fillId="0" borderId="0" xfId="0" applyNumberFormat="1"/>
    <xf numFmtId="9" fontId="0" fillId="0" borderId="6" xfId="0" applyNumberFormat="1" applyBorder="1" applyAlignment="1">
      <alignment horizontal="right"/>
    </xf>
    <xf numFmtId="9" fontId="0" fillId="0" borderId="6" xfId="0" applyNumberFormat="1" applyBorder="1"/>
    <xf numFmtId="0" fontId="0" fillId="29" borderId="5" xfId="0" applyFill="1" applyBorder="1"/>
    <xf numFmtId="0" fontId="0" fillId="29" borderId="0" xfId="0" applyFill="1"/>
    <xf numFmtId="0" fontId="0" fillId="29" borderId="6" xfId="0" applyFill="1" applyBorder="1" applyAlignment="1">
      <alignment horizontal="right"/>
    </xf>
    <xf numFmtId="0" fontId="0" fillId="29" borderId="6" xfId="0" applyFill="1" applyBorder="1"/>
    <xf numFmtId="0" fontId="0" fillId="29" borderId="26" xfId="0" applyFill="1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29" borderId="10" xfId="0" applyFill="1" applyBorder="1"/>
    <xf numFmtId="0" fontId="0" fillId="29" borderId="41" xfId="0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41" xfId="0" applyBorder="1"/>
    <xf numFmtId="0" fontId="0" fillId="29" borderId="41" xfId="0" applyFill="1" applyBorder="1"/>
    <xf numFmtId="0" fontId="22" fillId="0" borderId="4" xfId="0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11" fillId="6" borderId="2" xfId="0" applyFont="1" applyFill="1" applyBorder="1" applyAlignment="1"/>
    <xf numFmtId="0" fontId="11" fillId="6" borderId="3" xfId="0" applyFont="1" applyFill="1" applyBorder="1" applyAlignment="1"/>
    <xf numFmtId="0" fontId="0" fillId="0" borderId="21" xfId="0" applyBorder="1" applyAlignment="1"/>
    <xf numFmtId="0" fontId="0" fillId="24" borderId="36" xfId="0" applyFill="1" applyBorder="1" applyAlignment="1"/>
    <xf numFmtId="0" fontId="0" fillId="24" borderId="37" xfId="0" applyFill="1" applyBorder="1" applyAlignment="1"/>
    <xf numFmtId="0" fontId="0" fillId="24" borderId="38" xfId="0" applyFill="1" applyBorder="1" applyAlignment="1"/>
    <xf numFmtId="0" fontId="0" fillId="0" borderId="26" xfId="0" applyBorder="1" applyAlignment="1"/>
    <xf numFmtId="0" fontId="20" fillId="16" borderId="11" xfId="0" applyFont="1" applyFill="1" applyBorder="1" applyAlignment="1"/>
    <xf numFmtId="0" fontId="19" fillId="0" borderId="9" xfId="0" applyFont="1" applyBorder="1" applyAlignment="1"/>
    <xf numFmtId="0" fontId="19" fillId="0" borderId="12" xfId="0" applyFont="1" applyBorder="1" applyAlignment="1"/>
    <xf numFmtId="0" fontId="20" fillId="16" borderId="5" xfId="0" applyFont="1" applyFill="1" applyBorder="1" applyAlignment="1"/>
    <xf numFmtId="0" fontId="19" fillId="0" borderId="0" xfId="0" applyFont="1" applyAlignment="1"/>
    <xf numFmtId="0" fontId="19" fillId="0" borderId="6" xfId="0" applyFont="1" applyBorder="1" applyAlignment="1"/>
  </cellXfs>
  <cellStyles count="5">
    <cellStyle name="Accent6" xfId="2" builtinId="49"/>
    <cellStyle name="Comma" xfId="4" builtinId="3"/>
    <cellStyle name="Currency" xfId="1" builtinId="4"/>
    <cellStyle name="Normal" xfId="0" builtinId="0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1AB2-7855-405D-8EA8-60FADF5C8D75}">
  <dimension ref="A1:AI154"/>
  <sheetViews>
    <sheetView workbookViewId="0">
      <selection activeCell="E11" sqref="E11"/>
    </sheetView>
  </sheetViews>
  <sheetFormatPr defaultColWidth="11.5546875" defaultRowHeight="15"/>
  <cols>
    <col min="2" max="2" width="27.5546875" customWidth="1"/>
    <col min="3" max="3" width="19" customWidth="1"/>
    <col min="4" max="4" width="21.21875" customWidth="1"/>
    <col min="6" max="6" width="17.77734375" customWidth="1"/>
  </cols>
  <sheetData>
    <row r="1" spans="1: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>
      <c r="A2" s="2"/>
      <c r="B2" s="46" t="s">
        <v>0</v>
      </c>
      <c r="C2" s="46" t="s">
        <v>1</v>
      </c>
      <c r="D2" s="46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5" ht="15.75">
      <c r="A3" s="2"/>
      <c r="B3" s="47" t="s">
        <v>3</v>
      </c>
      <c r="C3" s="48">
        <v>125</v>
      </c>
      <c r="D3" s="49">
        <v>75000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5" ht="15.75">
      <c r="A4" s="2"/>
      <c r="B4" s="50" t="s">
        <v>4</v>
      </c>
      <c r="C4" s="51">
        <v>75</v>
      </c>
      <c r="D4" s="52">
        <v>45000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5" ht="15.75">
      <c r="A5" s="2"/>
      <c r="B5" s="47" t="s">
        <v>5</v>
      </c>
      <c r="C5" s="48">
        <v>100</v>
      </c>
      <c r="D5" s="49">
        <v>60000</v>
      </c>
      <c r="E5" s="2"/>
      <c r="F5" s="46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35" ht="15.75">
      <c r="A6" s="2"/>
      <c r="B6" s="50" t="s">
        <v>7</v>
      </c>
      <c r="C6" s="51">
        <v>50</v>
      </c>
      <c r="D6" s="52">
        <v>30000</v>
      </c>
      <c r="E6" s="2"/>
      <c r="F6" s="54">
        <v>600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35" ht="15.75">
      <c r="A7" s="2"/>
      <c r="B7" s="47" t="s">
        <v>8</v>
      </c>
      <c r="C7" s="48">
        <v>300</v>
      </c>
      <c r="D7" s="49">
        <v>180000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35" ht="15.75">
      <c r="A8" s="2"/>
      <c r="B8" s="52" t="s">
        <v>9</v>
      </c>
      <c r="C8" s="52"/>
      <c r="D8" s="52">
        <f>SUM(D3:D7)</f>
        <v>390000</v>
      </c>
      <c r="E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35" ht="15.75">
      <c r="A16" s="2"/>
      <c r="B16" s="50" t="s">
        <v>10</v>
      </c>
      <c r="D16" s="71">
        <f>Financiamiento!D5+Financiamiento!D6</f>
        <v>19446.370065534044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B149" s="2"/>
      <c r="C149" s="2"/>
      <c r="D149" s="2"/>
      <c r="E149" s="2"/>
      <c r="F149" s="2"/>
      <c r="G149" s="2"/>
      <c r="H149" s="2"/>
    </row>
    <row r="150" spans="1:25">
      <c r="B150" s="2"/>
      <c r="C150" s="2"/>
      <c r="D150" s="2"/>
      <c r="E150" s="2"/>
      <c r="F150" s="2"/>
      <c r="G150" s="2"/>
      <c r="H150" s="2"/>
    </row>
    <row r="151" spans="1:25">
      <c r="B151" s="2"/>
      <c r="C151" s="2"/>
      <c r="D151" s="2"/>
      <c r="E151" s="2"/>
      <c r="F151" s="2"/>
      <c r="G151" s="2"/>
      <c r="H151" s="2"/>
    </row>
    <row r="152" spans="1:25">
      <c r="B152" s="2"/>
      <c r="C152" s="2"/>
      <c r="D152" s="2"/>
      <c r="E152" s="2"/>
      <c r="F152" s="2"/>
      <c r="G152" s="2"/>
      <c r="H152" s="2"/>
    </row>
    <row r="153" spans="1:25">
      <c r="B153" s="2"/>
      <c r="C153" s="2"/>
      <c r="D153" s="2"/>
      <c r="E153" s="2"/>
      <c r="F153" s="2"/>
      <c r="G153" s="2"/>
      <c r="H153" s="2"/>
    </row>
    <row r="154" spans="1:25">
      <c r="B154" s="2"/>
      <c r="C154" s="2"/>
      <c r="D154" s="2"/>
      <c r="E154" s="2"/>
      <c r="F154" s="2"/>
      <c r="G154" s="2"/>
      <c r="H1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5AB4-ACC9-4046-93BC-F7DFC13DC680}">
  <dimension ref="A1:AH200"/>
  <sheetViews>
    <sheetView workbookViewId="0">
      <selection activeCell="E3" sqref="E3:E18"/>
    </sheetView>
  </sheetViews>
  <sheetFormatPr defaultColWidth="11.5546875" defaultRowHeight="15"/>
  <cols>
    <col min="3" max="3" width="12.33203125" customWidth="1"/>
    <col min="4" max="4" width="14.109375" customWidth="1"/>
    <col min="5" max="5" width="15.109375" customWidth="1"/>
    <col min="6" max="6" width="15.5546875" customWidth="1"/>
    <col min="7" max="7" width="14.6640625" customWidth="1"/>
    <col min="8" max="8" width="12.88671875" customWidth="1"/>
  </cols>
  <sheetData>
    <row r="1" spans="1:34" ht="20.25" customHeight="1">
      <c r="A1" s="2"/>
      <c r="B1" s="109" t="s">
        <v>11</v>
      </c>
      <c r="C1" s="109"/>
      <c r="D1" s="109"/>
      <c r="E1" s="109"/>
      <c r="F1" s="109"/>
      <c r="G1" s="109"/>
      <c r="H1" s="10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47.25">
      <c r="A2" s="2"/>
      <c r="B2" s="55" t="s">
        <v>12</v>
      </c>
      <c r="C2" s="55" t="s">
        <v>13</v>
      </c>
      <c r="D2" s="55" t="s">
        <v>14</v>
      </c>
      <c r="E2" s="55" t="s">
        <v>15</v>
      </c>
      <c r="F2" s="55" t="s">
        <v>16</v>
      </c>
      <c r="G2" s="55" t="s">
        <v>17</v>
      </c>
      <c r="H2" s="55" t="s">
        <v>18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>
      <c r="A3" s="2"/>
      <c r="B3" s="110" t="s">
        <v>19</v>
      </c>
      <c r="C3" s="104" t="s">
        <v>20</v>
      </c>
      <c r="D3" s="53">
        <v>1</v>
      </c>
      <c r="E3" s="56">
        <v>10000</v>
      </c>
      <c r="F3" s="57">
        <v>3500</v>
      </c>
      <c r="G3" s="57">
        <v>13500</v>
      </c>
      <c r="H3" s="57">
        <v>162000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>
      <c r="A4" s="2"/>
      <c r="B4" s="110"/>
      <c r="C4" s="104" t="s">
        <v>21</v>
      </c>
      <c r="D4" s="53">
        <v>1</v>
      </c>
      <c r="E4" s="56">
        <v>6000</v>
      </c>
      <c r="F4" s="57">
        <v>2100</v>
      </c>
      <c r="G4" s="57">
        <f>(F4+E4)*D4</f>
        <v>8100</v>
      </c>
      <c r="H4" s="57">
        <v>97200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>
      <c r="A5" s="2"/>
      <c r="B5" s="110"/>
      <c r="C5" s="104" t="s">
        <v>22</v>
      </c>
      <c r="D5" s="53">
        <v>1</v>
      </c>
      <c r="E5" s="56">
        <v>6000</v>
      </c>
      <c r="F5" s="57">
        <v>2100</v>
      </c>
      <c r="G5" s="57">
        <f>(F5+E5)*D5</f>
        <v>8100</v>
      </c>
      <c r="H5" s="57">
        <v>97200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4">
      <c r="A6" s="2"/>
      <c r="B6" s="108" t="s">
        <v>23</v>
      </c>
      <c r="C6" s="58" t="s">
        <v>24</v>
      </c>
      <c r="D6" s="2">
        <v>3</v>
      </c>
      <c r="E6" s="59">
        <v>6000</v>
      </c>
      <c r="F6" s="60">
        <v>2100</v>
      </c>
      <c r="G6" s="60">
        <f>(F6+E6)*D6</f>
        <v>24300</v>
      </c>
      <c r="H6" s="60">
        <v>291600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4">
      <c r="A7" s="2"/>
      <c r="B7" s="108"/>
      <c r="C7" s="58" t="s">
        <v>25</v>
      </c>
      <c r="D7" s="2">
        <v>1</v>
      </c>
      <c r="E7" s="59">
        <v>1000</v>
      </c>
      <c r="F7" s="60">
        <v>350</v>
      </c>
      <c r="G7" s="60">
        <v>1350</v>
      </c>
      <c r="H7" s="60">
        <v>16200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4">
      <c r="A8" s="2"/>
      <c r="B8" s="104" t="s">
        <v>26</v>
      </c>
      <c r="C8" s="104" t="s">
        <v>27</v>
      </c>
      <c r="D8" s="53">
        <v>1</v>
      </c>
      <c r="E8" s="56">
        <v>2000</v>
      </c>
      <c r="F8" s="57">
        <v>700</v>
      </c>
      <c r="G8" s="57">
        <f>(F8+E8)*D8</f>
        <v>2700</v>
      </c>
      <c r="H8" s="57">
        <v>32400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4" ht="30">
      <c r="A9" s="2"/>
      <c r="B9" s="102" t="s">
        <v>28</v>
      </c>
      <c r="C9" s="58" t="s">
        <v>27</v>
      </c>
      <c r="D9" s="2">
        <v>1</v>
      </c>
      <c r="E9" s="59">
        <v>2000</v>
      </c>
      <c r="F9" s="60">
        <v>700</v>
      </c>
      <c r="G9" s="60">
        <f>(F9+E9)*D9</f>
        <v>2700</v>
      </c>
      <c r="H9" s="60">
        <v>32400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4">
      <c r="A10" s="2"/>
      <c r="B10" s="110" t="s">
        <v>29</v>
      </c>
      <c r="C10" s="104" t="s">
        <v>30</v>
      </c>
      <c r="D10" s="53">
        <v>1</v>
      </c>
      <c r="E10" s="56">
        <v>5000</v>
      </c>
      <c r="F10" s="57">
        <v>1750</v>
      </c>
      <c r="G10" s="57">
        <f>(F10+E10)*D10</f>
        <v>6750</v>
      </c>
      <c r="H10" s="57">
        <v>81000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4">
      <c r="A11" s="2"/>
      <c r="B11" s="110"/>
      <c r="C11" s="104" t="s">
        <v>31</v>
      </c>
      <c r="D11" s="53">
        <v>1</v>
      </c>
      <c r="E11" s="56">
        <v>1000</v>
      </c>
      <c r="F11" s="57">
        <v>350</v>
      </c>
      <c r="G11" s="57">
        <v>1350</v>
      </c>
      <c r="H11" s="57">
        <v>16200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4" ht="45">
      <c r="A12" s="2"/>
      <c r="B12" s="108" t="s">
        <v>32</v>
      </c>
      <c r="C12" s="58" t="s">
        <v>33</v>
      </c>
      <c r="D12" s="2">
        <v>1</v>
      </c>
      <c r="E12" s="59">
        <v>1000</v>
      </c>
      <c r="F12" s="60">
        <v>350</v>
      </c>
      <c r="G12" s="60">
        <v>1350</v>
      </c>
      <c r="H12" s="60">
        <v>16200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4" ht="30">
      <c r="A13" s="2"/>
      <c r="B13" s="108"/>
      <c r="C13" s="58" t="s">
        <v>34</v>
      </c>
      <c r="D13" s="2">
        <v>1</v>
      </c>
      <c r="E13" s="59">
        <v>3000</v>
      </c>
      <c r="F13" s="60">
        <v>1050</v>
      </c>
      <c r="G13" s="60">
        <f t="shared" ref="G13:G18" si="0">(F13+E13)*D13</f>
        <v>4050</v>
      </c>
      <c r="H13" s="60">
        <v>48600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4">
      <c r="A14" s="2"/>
      <c r="B14" s="104" t="s">
        <v>35</v>
      </c>
      <c r="C14" s="104" t="s">
        <v>36</v>
      </c>
      <c r="D14" s="53">
        <v>1</v>
      </c>
      <c r="E14" s="56">
        <v>1000</v>
      </c>
      <c r="F14" s="57">
        <v>350</v>
      </c>
      <c r="G14" s="57">
        <f t="shared" si="0"/>
        <v>1350</v>
      </c>
      <c r="H14" s="57">
        <v>16200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4" ht="30">
      <c r="A15" s="2"/>
      <c r="B15" s="102" t="s">
        <v>37</v>
      </c>
      <c r="C15" s="58" t="s">
        <v>38</v>
      </c>
      <c r="D15" s="2">
        <v>1</v>
      </c>
      <c r="E15" s="59">
        <v>1000</v>
      </c>
      <c r="F15" s="60">
        <v>350</v>
      </c>
      <c r="G15" s="60">
        <f t="shared" si="0"/>
        <v>1350</v>
      </c>
      <c r="H15" s="60">
        <v>16200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4" ht="30">
      <c r="A16" s="2"/>
      <c r="B16" s="104" t="s">
        <v>39</v>
      </c>
      <c r="C16" s="104" t="s">
        <v>40</v>
      </c>
      <c r="D16" s="53">
        <v>1</v>
      </c>
      <c r="E16" s="56">
        <v>6000</v>
      </c>
      <c r="F16" s="57">
        <v>2100</v>
      </c>
      <c r="G16" s="57">
        <f t="shared" si="0"/>
        <v>8100</v>
      </c>
      <c r="H16" s="57">
        <v>97200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2"/>
      <c r="B17" s="108" t="s">
        <v>41</v>
      </c>
      <c r="C17" s="58" t="s">
        <v>42</v>
      </c>
      <c r="D17" s="2">
        <v>1</v>
      </c>
      <c r="E17" s="59">
        <v>6000</v>
      </c>
      <c r="F17" s="60">
        <v>2100</v>
      </c>
      <c r="G17" s="60">
        <f t="shared" si="0"/>
        <v>8100</v>
      </c>
      <c r="H17" s="60">
        <v>97200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"/>
      <c r="B18" s="108"/>
      <c r="C18" s="58" t="s">
        <v>43</v>
      </c>
      <c r="D18" s="2">
        <v>1</v>
      </c>
      <c r="E18" s="59">
        <v>6000</v>
      </c>
      <c r="F18" s="60">
        <v>2100</v>
      </c>
      <c r="G18" s="60">
        <f t="shared" si="0"/>
        <v>8100</v>
      </c>
      <c r="H18" s="60">
        <v>97200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</sheetData>
  <mergeCells count="6">
    <mergeCell ref="B17:B18"/>
    <mergeCell ref="B1:H1"/>
    <mergeCell ref="B3:B5"/>
    <mergeCell ref="B6:B7"/>
    <mergeCell ref="B10:B11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8D750-C823-4700-AB45-5ECEFBCC8615}">
  <dimension ref="A1:V111"/>
  <sheetViews>
    <sheetView topLeftCell="A32" workbookViewId="0">
      <selection activeCell="H41" sqref="H41"/>
    </sheetView>
  </sheetViews>
  <sheetFormatPr defaultColWidth="11.5546875" defaultRowHeight="15"/>
  <cols>
    <col min="2" max="2" width="45.77734375" customWidth="1"/>
    <col min="3" max="4" width="9.33203125" customWidth="1"/>
    <col min="5" max="5" width="10.6640625" customWidth="1"/>
    <col min="6" max="6" width="9.44140625" customWidth="1"/>
    <col min="7" max="7" width="15.109375" customWidth="1"/>
    <col min="8" max="8" width="14.5546875" customWidth="1"/>
  </cols>
  <sheetData>
    <row r="1" spans="1:2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2"/>
      <c r="B2" s="119" t="s">
        <v>44</v>
      </c>
      <c r="C2" s="119"/>
      <c r="D2" s="119"/>
      <c r="E2" s="119"/>
      <c r="F2" s="11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 customHeight="1">
      <c r="A3" s="2"/>
      <c r="B3" s="3"/>
      <c r="C3" s="3"/>
      <c r="D3" s="3"/>
      <c r="E3" s="4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 customHeight="1">
      <c r="A4" s="2"/>
      <c r="B4" s="3"/>
      <c r="C4" s="3"/>
      <c r="D4" s="3"/>
      <c r="E4" s="4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 customHeight="1">
      <c r="A5" s="2"/>
      <c r="B5" s="5" t="s">
        <v>45</v>
      </c>
      <c r="C5" s="6"/>
      <c r="D5" s="6"/>
      <c r="E5" s="7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.75">
      <c r="A6" s="2"/>
      <c r="B6" s="6"/>
      <c r="C6" s="6"/>
      <c r="D6" s="120"/>
      <c r="E6" s="121"/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>
      <c r="A7" s="2"/>
      <c r="B7" s="111" t="s">
        <v>46</v>
      </c>
      <c r="C7" s="275"/>
      <c r="D7" s="275"/>
      <c r="E7" s="275"/>
      <c r="F7" s="10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111"/>
      <c r="C8" s="275"/>
      <c r="D8" s="275"/>
      <c r="E8" s="275"/>
      <c r="F8" s="9" t="s">
        <v>47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/>
      <c r="B9" s="116" t="s">
        <v>48</v>
      </c>
      <c r="C9" s="117"/>
      <c r="D9" s="117"/>
      <c r="E9" s="118"/>
      <c r="F9" s="10">
        <f>40*199+2000</f>
        <v>9960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/>
      <c r="B10" s="116" t="s">
        <v>49</v>
      </c>
      <c r="C10" s="117"/>
      <c r="D10" s="117"/>
      <c r="E10" s="118"/>
      <c r="F10" s="10">
        <v>1200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116" t="s">
        <v>50</v>
      </c>
      <c r="C11" s="117"/>
      <c r="D11" s="117"/>
      <c r="E11" s="118"/>
      <c r="F11" s="10">
        <f>5*406+1500</f>
        <v>3530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/>
      <c r="B12" s="116" t="s">
        <v>51</v>
      </c>
      <c r="C12" s="117"/>
      <c r="D12" s="117"/>
      <c r="E12" s="118"/>
      <c r="F12" s="10">
        <f>719*11</f>
        <v>7909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/>
      <c r="B13" s="116" t="s">
        <v>52</v>
      </c>
      <c r="C13" s="117"/>
      <c r="D13" s="117"/>
      <c r="E13" s="118"/>
      <c r="F13" s="10">
        <v>5000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 customHeight="1">
      <c r="A14" s="2"/>
      <c r="B14" s="116" t="s">
        <v>53</v>
      </c>
      <c r="C14" s="117"/>
      <c r="D14" s="117"/>
      <c r="E14" s="118"/>
      <c r="F14" s="10">
        <v>6000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/>
      <c r="B15" s="116" t="s">
        <v>54</v>
      </c>
      <c r="C15" s="117"/>
      <c r="D15" s="117"/>
      <c r="E15" s="118"/>
      <c r="F15" s="10">
        <v>12000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116" t="s">
        <v>55</v>
      </c>
      <c r="C16" s="117"/>
      <c r="D16" s="117"/>
      <c r="E16" s="118"/>
      <c r="F16" s="10">
        <v>300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11" t="s">
        <v>9</v>
      </c>
      <c r="C17" s="12"/>
      <c r="D17" s="12"/>
      <c r="E17" s="13"/>
      <c r="F17" s="14">
        <f>SUM(F9:F16)</f>
        <v>45899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15" t="s">
        <v>56</v>
      </c>
      <c r="D18" s="16">
        <v>40</v>
      </c>
      <c r="E18" s="17" t="s">
        <v>57</v>
      </c>
      <c r="F18" s="1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6"/>
      <c r="C19" s="6"/>
      <c r="D19" s="6"/>
      <c r="E19" s="7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>
      <c r="A20" s="2"/>
      <c r="B20" s="5" t="s">
        <v>58</v>
      </c>
      <c r="C20" s="6"/>
      <c r="D20" s="6"/>
      <c r="E20" s="7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6"/>
      <c r="C21" s="6"/>
      <c r="D21" s="6"/>
      <c r="E21" s="7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 customHeight="1">
      <c r="A22" s="2"/>
      <c r="B22" s="111" t="s">
        <v>59</v>
      </c>
      <c r="C22" s="112"/>
      <c r="D22" s="112"/>
      <c r="E22" s="113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2"/>
      <c r="B23" s="19" t="s">
        <v>60</v>
      </c>
      <c r="C23" s="19" t="s">
        <v>61</v>
      </c>
      <c r="D23" s="20" t="s">
        <v>62</v>
      </c>
      <c r="E23" s="21" t="s">
        <v>47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">
      <c r="A24" s="2"/>
      <c r="B24" s="22" t="s">
        <v>63</v>
      </c>
      <c r="C24" s="23"/>
      <c r="D24" s="24"/>
      <c r="E24" s="25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2"/>
      <c r="B25" s="26" t="s">
        <v>64</v>
      </c>
      <c r="C25" s="27">
        <v>0</v>
      </c>
      <c r="D25" s="28">
        <v>0</v>
      </c>
      <c r="E25" s="29">
        <f t="shared" ref="E25:E45" si="0">+D25*C25</f>
        <v>0</v>
      </c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2"/>
      <c r="B26" s="26" t="s">
        <v>65</v>
      </c>
      <c r="C26" s="27">
        <v>0</v>
      </c>
      <c r="D26" s="28">
        <v>0</v>
      </c>
      <c r="E26" s="29">
        <f t="shared" si="0"/>
        <v>0</v>
      </c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>
      <c r="A27" s="2"/>
      <c r="B27" s="26" t="s">
        <v>66</v>
      </c>
      <c r="C27" s="27"/>
      <c r="D27" s="28"/>
      <c r="E27" s="29">
        <f>SUM(E28:E31)</f>
        <v>44000</v>
      </c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>
      <c r="A28" s="2"/>
      <c r="B28" s="30" t="s">
        <v>67</v>
      </c>
      <c r="C28" s="27">
        <v>13</v>
      </c>
      <c r="D28" s="28">
        <v>800</v>
      </c>
      <c r="E28" s="31">
        <f t="shared" si="0"/>
        <v>10400</v>
      </c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>
      <c r="A29" s="2"/>
      <c r="B29" s="30" t="s">
        <v>68</v>
      </c>
      <c r="C29" s="27">
        <v>1</v>
      </c>
      <c r="D29" s="28">
        <v>2100</v>
      </c>
      <c r="E29" s="31">
        <f>+D29*C29</f>
        <v>2100</v>
      </c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>
      <c r="A30" s="2"/>
      <c r="B30" s="30" t="s">
        <v>69</v>
      </c>
      <c r="C30" s="27">
        <v>25</v>
      </c>
      <c r="D30" s="28">
        <v>1200</v>
      </c>
      <c r="E30" s="31">
        <f t="shared" si="0"/>
        <v>30000</v>
      </c>
      <c r="F30" s="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2"/>
      <c r="B31" s="30" t="s">
        <v>70</v>
      </c>
      <c r="C31" s="27">
        <v>1</v>
      </c>
      <c r="D31" s="28">
        <v>1500</v>
      </c>
      <c r="E31" s="31">
        <f t="shared" si="0"/>
        <v>1500</v>
      </c>
      <c r="F31" s="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2"/>
      <c r="B32" s="26" t="s">
        <v>71</v>
      </c>
      <c r="C32" s="27"/>
      <c r="D32" s="28"/>
      <c r="E32" s="29">
        <f>SUM(E33:E37)</f>
        <v>230000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>
      <c r="A33" s="2"/>
      <c r="B33" s="30" t="s">
        <v>72</v>
      </c>
      <c r="C33" s="27">
        <v>13</v>
      </c>
      <c r="D33" s="28">
        <v>15000</v>
      </c>
      <c r="E33" s="31">
        <f t="shared" si="0"/>
        <v>195000</v>
      </c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>
      <c r="A34" s="2"/>
      <c r="B34" s="30" t="s">
        <v>73</v>
      </c>
      <c r="C34" s="27">
        <v>2</v>
      </c>
      <c r="D34" s="28">
        <v>5000</v>
      </c>
      <c r="E34" s="31">
        <f t="shared" si="0"/>
        <v>10000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>
      <c r="A35" s="2"/>
      <c r="B35" s="30" t="s">
        <v>74</v>
      </c>
      <c r="C35" s="27">
        <v>1</v>
      </c>
      <c r="D35" s="28">
        <v>25000</v>
      </c>
      <c r="E35" s="31">
        <f t="shared" si="0"/>
        <v>25000</v>
      </c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>
      <c r="A36" s="2"/>
      <c r="B36" s="30" t="s">
        <v>75</v>
      </c>
      <c r="C36" s="27">
        <v>0</v>
      </c>
      <c r="D36" s="28">
        <v>0</v>
      </c>
      <c r="E36" s="31">
        <f t="shared" si="0"/>
        <v>0</v>
      </c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>
      <c r="A37" s="2"/>
      <c r="B37" s="30" t="s">
        <v>76</v>
      </c>
      <c r="C37" s="27">
        <v>0</v>
      </c>
      <c r="D37" s="28">
        <v>0</v>
      </c>
      <c r="E37" s="31">
        <f t="shared" si="0"/>
        <v>0</v>
      </c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>
      <c r="A38" s="2"/>
      <c r="B38" s="26" t="s">
        <v>77</v>
      </c>
      <c r="C38" s="27"/>
      <c r="D38" s="28"/>
      <c r="E38" s="29">
        <f>SUM(E39:E41)</f>
        <v>0</v>
      </c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>
      <c r="A39" s="2"/>
      <c r="B39" s="30" t="s">
        <v>78</v>
      </c>
      <c r="C39" s="27">
        <v>0</v>
      </c>
      <c r="D39" s="28">
        <v>0</v>
      </c>
      <c r="E39" s="31">
        <f t="shared" si="0"/>
        <v>0</v>
      </c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30" t="s">
        <v>79</v>
      </c>
      <c r="C40" s="27">
        <v>0</v>
      </c>
      <c r="D40" s="28">
        <v>0</v>
      </c>
      <c r="E40" s="31">
        <f t="shared" si="0"/>
        <v>0</v>
      </c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30" t="s">
        <v>80</v>
      </c>
      <c r="C41" s="27">
        <v>0</v>
      </c>
      <c r="D41" s="28">
        <v>0</v>
      </c>
      <c r="E41" s="31">
        <f t="shared" si="0"/>
        <v>0</v>
      </c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6" t="s">
        <v>81</v>
      </c>
      <c r="C42" s="27"/>
      <c r="D42" s="28"/>
      <c r="E42" s="29">
        <f>SUM(E43:E45)</f>
        <v>0</v>
      </c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/>
      <c r="B43" s="30" t="s">
        <v>82</v>
      </c>
      <c r="C43" s="27">
        <v>0</v>
      </c>
      <c r="D43" s="28">
        <v>0</v>
      </c>
      <c r="E43" s="31">
        <f t="shared" si="0"/>
        <v>0</v>
      </c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/>
      <c r="B44" s="30" t="s">
        <v>83</v>
      </c>
      <c r="C44" s="27">
        <v>0</v>
      </c>
      <c r="D44" s="28">
        <v>0</v>
      </c>
      <c r="E44" s="31">
        <f t="shared" si="0"/>
        <v>0</v>
      </c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/>
      <c r="B45" s="30" t="s">
        <v>84</v>
      </c>
      <c r="C45" s="27">
        <v>0</v>
      </c>
      <c r="D45" s="28">
        <v>0</v>
      </c>
      <c r="E45" s="31">
        <f t="shared" si="0"/>
        <v>0</v>
      </c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/>
      <c r="B46" s="32"/>
      <c r="C46" s="33"/>
      <c r="D46" s="33"/>
      <c r="E46" s="34">
        <f>+E25+E26+E27+E32+E38+E42</f>
        <v>274000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>
      <c r="A48" s="2"/>
      <c r="B48" s="5" t="s">
        <v>85</v>
      </c>
      <c r="C48" s="6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>
      <c r="A49" s="2"/>
      <c r="B49" s="6"/>
      <c r="C49" s="6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 customHeight="1">
      <c r="A50" s="2"/>
      <c r="B50" s="111" t="s">
        <v>86</v>
      </c>
      <c r="C50" s="275"/>
      <c r="D50" s="275"/>
      <c r="E50" s="27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>
      <c r="A51" s="2"/>
      <c r="B51" s="9" t="s">
        <v>60</v>
      </c>
      <c r="C51" s="9" t="s">
        <v>87</v>
      </c>
      <c r="D51" s="9" t="s">
        <v>88</v>
      </c>
      <c r="E51" s="21" t="s">
        <v>47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>
      <c r="A52" s="2"/>
      <c r="B52" s="105" t="s">
        <v>89</v>
      </c>
      <c r="C52" s="36">
        <v>30000</v>
      </c>
      <c r="D52" s="37">
        <v>1</v>
      </c>
      <c r="E52" s="31">
        <f>C52*D52</f>
        <v>30000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5.5">
      <c r="A53" s="2"/>
      <c r="B53" s="35" t="s">
        <v>90</v>
      </c>
      <c r="C53" s="36">
        <v>30000</v>
      </c>
      <c r="D53" s="37">
        <v>2</v>
      </c>
      <c r="E53" s="31">
        <f t="shared" ref="E53:E67" si="1">C53*D53</f>
        <v>60000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>
      <c r="A54" s="2"/>
      <c r="B54" s="105" t="s">
        <v>91</v>
      </c>
      <c r="C54" s="36">
        <v>1500</v>
      </c>
      <c r="D54" s="37">
        <v>2</v>
      </c>
      <c r="E54" s="31">
        <f t="shared" si="1"/>
        <v>3000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5.5">
      <c r="A55" s="2"/>
      <c r="B55" s="35" t="s">
        <v>92</v>
      </c>
      <c r="C55" s="36">
        <v>1343</v>
      </c>
      <c r="D55" s="37">
        <v>1</v>
      </c>
      <c r="E55" s="31">
        <f t="shared" si="1"/>
        <v>1343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>
      <c r="A56" s="2"/>
      <c r="B56" s="105" t="s">
        <v>93</v>
      </c>
      <c r="C56" s="36">
        <v>12300</v>
      </c>
      <c r="D56" s="37">
        <v>1</v>
      </c>
      <c r="E56" s="31">
        <f t="shared" si="1"/>
        <v>12300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>
      <c r="A57" s="2"/>
      <c r="B57" s="105" t="s">
        <v>94</v>
      </c>
      <c r="C57" s="36">
        <v>1500</v>
      </c>
      <c r="D57" s="37">
        <v>1</v>
      </c>
      <c r="E57" s="31">
        <f t="shared" si="1"/>
        <v>1500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>
      <c r="A58" s="2"/>
      <c r="B58" s="105" t="s">
        <v>95</v>
      </c>
      <c r="C58" s="36">
        <v>0</v>
      </c>
      <c r="D58" s="37"/>
      <c r="E58" s="31">
        <f t="shared" si="1"/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>
      <c r="A59" s="2"/>
      <c r="B59" s="105" t="s">
        <v>96</v>
      </c>
      <c r="C59" s="36">
        <v>0</v>
      </c>
      <c r="D59" s="37"/>
      <c r="E59" s="31">
        <f t="shared" si="1"/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>
      <c r="A60" s="2"/>
      <c r="B60" s="45" t="s">
        <v>97</v>
      </c>
      <c r="C60" s="36">
        <v>1000</v>
      </c>
      <c r="D60" s="37"/>
      <c r="E60" s="31">
        <f t="shared" si="1"/>
        <v>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>
      <c r="A61" s="2"/>
      <c r="B61" s="105" t="s">
        <v>98</v>
      </c>
      <c r="C61" s="36">
        <v>3000</v>
      </c>
      <c r="D61" s="37">
        <v>1</v>
      </c>
      <c r="E61" s="31">
        <f t="shared" si="1"/>
        <v>3000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>
      <c r="A62" s="2"/>
      <c r="B62" s="105" t="s">
        <v>99</v>
      </c>
      <c r="C62" s="36">
        <v>5000</v>
      </c>
      <c r="D62" s="37"/>
      <c r="E62" s="31">
        <f t="shared" si="1"/>
        <v>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>
      <c r="A63" s="2"/>
      <c r="B63" s="38" t="s">
        <v>100</v>
      </c>
      <c r="C63" s="36"/>
      <c r="D63" s="37"/>
      <c r="E63" s="31">
        <f t="shared" si="1"/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5.5">
      <c r="A64" s="2"/>
      <c r="B64" s="35" t="s">
        <v>101</v>
      </c>
      <c r="C64" s="36">
        <f>SUM(Remuneraciones!E3:E18)+Remuneraciones!E6*2</f>
        <v>75000</v>
      </c>
      <c r="D64" s="37">
        <v>2</v>
      </c>
      <c r="E64" s="31">
        <f t="shared" si="1"/>
        <v>150000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>
      <c r="A65" s="2"/>
      <c r="B65" s="105" t="s">
        <v>102</v>
      </c>
      <c r="C65" s="36">
        <v>0</v>
      </c>
      <c r="D65" s="37">
        <v>2</v>
      </c>
      <c r="E65" s="31">
        <f t="shared" si="1"/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>
      <c r="A66" s="2"/>
      <c r="B66" s="105" t="s">
        <v>103</v>
      </c>
      <c r="C66" s="36">
        <v>0</v>
      </c>
      <c r="D66" s="37">
        <v>1</v>
      </c>
      <c r="E66" s="31">
        <f t="shared" si="1"/>
        <v>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>
      <c r="A67" s="2"/>
      <c r="B67" s="105" t="s">
        <v>104</v>
      </c>
      <c r="C67" s="36">
        <v>0</v>
      </c>
      <c r="D67" s="37">
        <v>1</v>
      </c>
      <c r="E67" s="31">
        <f t="shared" si="1"/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>
      <c r="A68" s="2"/>
      <c r="B68" s="105" t="s">
        <v>9</v>
      </c>
      <c r="C68" s="36"/>
      <c r="D68" s="37"/>
      <c r="E68" s="39">
        <f>SUM(E52:E67)</f>
        <v>261143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>
      <c r="A69" s="2"/>
      <c r="B69" s="6"/>
      <c r="C69" s="6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>
      <c r="A70" s="2"/>
      <c r="B70" s="5" t="s">
        <v>105</v>
      </c>
      <c r="C70" s="6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>
      <c r="A71" s="2"/>
      <c r="B71" s="6"/>
      <c r="C71" s="6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 customHeight="1">
      <c r="A72" s="2"/>
      <c r="B72" s="111" t="s">
        <v>106</v>
      </c>
      <c r="C72" s="114"/>
      <c r="D72" s="115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>
      <c r="A73" s="2"/>
      <c r="B73" s="40" t="s">
        <v>107</v>
      </c>
      <c r="C73" s="41"/>
      <c r="D73" s="10">
        <f>+F17</f>
        <v>45899</v>
      </c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>
      <c r="A74" s="2"/>
      <c r="B74" s="40" t="s">
        <v>108</v>
      </c>
      <c r="C74" s="42"/>
      <c r="D74" s="10">
        <f>+E46</f>
        <v>274000</v>
      </c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>
      <c r="A75" s="2"/>
      <c r="B75" s="40" t="s">
        <v>109</v>
      </c>
      <c r="C75" s="43"/>
      <c r="D75" s="10">
        <f>+E68</f>
        <v>261143</v>
      </c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>
      <c r="A76" s="2"/>
      <c r="B76" s="11" t="s">
        <v>110</v>
      </c>
      <c r="C76" s="44"/>
      <c r="D76" s="14">
        <f>SUM(D73:D75)</f>
        <v>581042</v>
      </c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>
      <c r="A78" s="2"/>
      <c r="B78" s="2" t="s">
        <v>111</v>
      </c>
      <c r="C78" s="2"/>
      <c r="D78" s="72">
        <f>'Capital  Social'!D8+'Capital  Social'!D16</f>
        <v>409446.37006553402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>
      <c r="A80" s="2"/>
      <c r="B80" s="2" t="s">
        <v>112</v>
      </c>
      <c r="C80" s="2"/>
      <c r="D80" s="10">
        <f>+D76-D78</f>
        <v>171595.62993446598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</sheetData>
  <mergeCells count="15">
    <mergeCell ref="B10:E10"/>
    <mergeCell ref="B7:E7"/>
    <mergeCell ref="B2:F2"/>
    <mergeCell ref="D6:E6"/>
    <mergeCell ref="B8:E8"/>
    <mergeCell ref="B9:E9"/>
    <mergeCell ref="B22:E22"/>
    <mergeCell ref="B50:E50"/>
    <mergeCell ref="B72:D72"/>
    <mergeCell ref="B11:E11"/>
    <mergeCell ref="B12:E12"/>
    <mergeCell ref="B13:E13"/>
    <mergeCell ref="B14:E14"/>
    <mergeCell ref="B15:E15"/>
    <mergeCell ref="B16:E16"/>
  </mergeCells>
  <pageMargins left="0.70866141732283472" right="0.70866141732283472" top="0.74803149606299213" bottom="0.74803149606299213" header="0.31496062992125984" footer="0.31496062992125984"/>
  <pageSetup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FC3F-4B0B-4D9D-B3A1-F4666025FD3B}">
  <dimension ref="A1:R72"/>
  <sheetViews>
    <sheetView tabSelected="1" workbookViewId="0">
      <selection activeCell="B14" sqref="B14"/>
    </sheetView>
  </sheetViews>
  <sheetFormatPr defaultRowHeight="15"/>
  <cols>
    <col min="1" max="1" width="57.5546875" customWidth="1"/>
  </cols>
  <sheetData>
    <row r="1" spans="1:18">
      <c r="B1" s="127"/>
    </row>
    <row r="2" spans="1:18">
      <c r="A2" s="128" t="s">
        <v>113</v>
      </c>
      <c r="B2" s="128"/>
      <c r="C2" s="128"/>
      <c r="D2" s="129">
        <v>3.5000000000000003E-2</v>
      </c>
    </row>
    <row r="3" spans="1:18">
      <c r="B3" s="127"/>
    </row>
    <row r="4" spans="1:18" ht="18.75">
      <c r="A4" s="130" t="s">
        <v>114</v>
      </c>
      <c r="B4" s="130"/>
      <c r="C4" s="130"/>
      <c r="D4" s="130"/>
      <c r="E4" s="130"/>
    </row>
    <row r="5" spans="1:18" ht="18.75">
      <c r="A5" s="131" t="s">
        <v>115</v>
      </c>
      <c r="B5" s="132">
        <v>2020</v>
      </c>
      <c r="C5" s="133"/>
      <c r="D5" s="134">
        <v>2021</v>
      </c>
      <c r="E5" s="135"/>
      <c r="F5" s="132">
        <v>2022</v>
      </c>
      <c r="G5" s="133"/>
      <c r="H5" s="132">
        <v>2023</v>
      </c>
      <c r="I5" s="133"/>
      <c r="J5" s="132">
        <v>2024</v>
      </c>
      <c r="K5" s="133"/>
    </row>
    <row r="6" spans="1:18">
      <c r="A6" s="277"/>
      <c r="B6" s="136" t="s">
        <v>116</v>
      </c>
      <c r="C6" s="137"/>
      <c r="D6" s="136" t="s">
        <v>116</v>
      </c>
      <c r="E6" s="137"/>
      <c r="F6" s="136" t="s">
        <v>116</v>
      </c>
      <c r="G6" s="137"/>
      <c r="H6" s="136" t="s">
        <v>116</v>
      </c>
      <c r="I6" s="137"/>
      <c r="J6" s="136" t="s">
        <v>116</v>
      </c>
      <c r="K6" s="137"/>
    </row>
    <row r="7" spans="1:18" ht="15.75">
      <c r="A7" s="138"/>
      <c r="B7" s="139" t="s">
        <v>117</v>
      </c>
      <c r="C7" s="140" t="s">
        <v>118</v>
      </c>
      <c r="D7" s="139" t="s">
        <v>117</v>
      </c>
      <c r="E7" s="141" t="s">
        <v>118</v>
      </c>
      <c r="F7" s="139" t="s">
        <v>117</v>
      </c>
      <c r="G7" s="140" t="s">
        <v>118</v>
      </c>
      <c r="H7" s="139" t="s">
        <v>117</v>
      </c>
      <c r="I7" s="141" t="s">
        <v>118</v>
      </c>
      <c r="J7" s="139" t="s">
        <v>117</v>
      </c>
      <c r="K7" s="141" t="s">
        <v>118</v>
      </c>
      <c r="L7" s="142"/>
      <c r="M7" s="142"/>
      <c r="N7" s="142"/>
      <c r="O7" s="142"/>
      <c r="P7" s="142"/>
      <c r="Q7" s="142"/>
      <c r="R7" s="142"/>
    </row>
    <row r="8" spans="1:18" ht="15.75">
      <c r="A8" s="143" t="s">
        <v>119</v>
      </c>
      <c r="B8" s="144"/>
      <c r="C8" s="145"/>
      <c r="D8" s="144">
        <f>+D9+D10+D11</f>
        <v>0</v>
      </c>
      <c r="E8" s="146"/>
      <c r="F8" s="144"/>
      <c r="G8" s="145"/>
      <c r="H8" s="144"/>
      <c r="I8" s="146"/>
      <c r="J8" s="144"/>
      <c r="K8" s="146"/>
    </row>
    <row r="9" spans="1:18">
      <c r="A9" s="147"/>
      <c r="B9" s="148"/>
      <c r="C9" s="145"/>
      <c r="D9" s="149">
        <f>+B9*1.035</f>
        <v>0</v>
      </c>
      <c r="E9" s="146"/>
      <c r="F9" s="148"/>
      <c r="G9" s="145"/>
      <c r="H9" s="149"/>
      <c r="I9" s="146"/>
      <c r="J9" s="149"/>
      <c r="K9" s="146"/>
    </row>
    <row r="10" spans="1:18">
      <c r="A10" s="147"/>
      <c r="B10" s="148"/>
      <c r="C10" s="145"/>
      <c r="D10" s="150">
        <f>+B10*1.035</f>
        <v>0</v>
      </c>
      <c r="E10" s="146"/>
      <c r="F10" s="148"/>
      <c r="G10" s="145"/>
      <c r="H10" s="150"/>
      <c r="I10" s="146"/>
      <c r="J10" s="150"/>
      <c r="K10" s="146"/>
    </row>
    <row r="11" spans="1:18">
      <c r="A11" s="147"/>
      <c r="B11" s="148"/>
      <c r="C11" s="145"/>
      <c r="D11" s="149">
        <f>+B11*1.035</f>
        <v>0</v>
      </c>
      <c r="E11" s="146"/>
      <c r="F11" s="148"/>
      <c r="G11" s="145"/>
      <c r="H11" s="149"/>
      <c r="I11" s="146"/>
      <c r="J11" s="149"/>
      <c r="K11" s="146"/>
    </row>
    <row r="12" spans="1:18" ht="15.75">
      <c r="A12" s="143" t="s">
        <v>120</v>
      </c>
      <c r="B12" s="151"/>
      <c r="C12" s="145"/>
      <c r="D12" s="144">
        <f>+B12*1.035</f>
        <v>0</v>
      </c>
      <c r="E12" s="146"/>
      <c r="F12" s="151"/>
      <c r="G12" s="145"/>
      <c r="H12" s="144"/>
      <c r="I12" s="146"/>
      <c r="J12" s="144"/>
      <c r="K12" s="146"/>
    </row>
    <row r="13" spans="1:18" ht="15.75">
      <c r="A13" s="143" t="s">
        <v>121</v>
      </c>
      <c r="B13" s="151"/>
      <c r="C13" s="145"/>
      <c r="D13" s="144">
        <f>+B13*1.035</f>
        <v>0</v>
      </c>
      <c r="E13" s="146"/>
      <c r="F13" s="151"/>
      <c r="G13" s="145"/>
      <c r="H13" s="144"/>
      <c r="I13" s="146"/>
      <c r="J13" s="144"/>
      <c r="K13" s="146"/>
    </row>
    <row r="14" spans="1:18" ht="75" customHeight="1">
      <c r="A14" s="152" t="s">
        <v>122</v>
      </c>
      <c r="B14" s="153"/>
      <c r="C14" s="145"/>
      <c r="D14" s="154"/>
      <c r="E14" s="146"/>
      <c r="F14" s="153"/>
      <c r="G14" s="145"/>
      <c r="H14" s="154"/>
      <c r="I14" s="146"/>
      <c r="J14" s="154"/>
      <c r="K14" s="146"/>
    </row>
    <row r="15" spans="1:18" ht="15.75">
      <c r="A15" s="155" t="s">
        <v>123</v>
      </c>
      <c r="B15" s="153"/>
      <c r="C15" s="145"/>
      <c r="D15" s="154"/>
      <c r="E15" s="146"/>
      <c r="F15" s="153"/>
      <c r="G15" s="145"/>
      <c r="H15" s="154"/>
      <c r="I15" s="146"/>
      <c r="J15" s="154"/>
      <c r="K15" s="146"/>
    </row>
    <row r="16" spans="1:18" ht="75" customHeight="1">
      <c r="A16" s="152" t="s">
        <v>124</v>
      </c>
      <c r="B16" s="148"/>
      <c r="C16" s="156"/>
      <c r="D16" s="149"/>
      <c r="E16" s="157">
        <f>+C16*1.035</f>
        <v>0</v>
      </c>
      <c r="F16" s="148"/>
      <c r="G16" s="156"/>
      <c r="H16" s="149"/>
      <c r="I16" s="157"/>
      <c r="J16" s="149"/>
      <c r="K16" s="157"/>
    </row>
    <row r="17" spans="1:18" ht="15.75">
      <c r="A17" s="158" t="s">
        <v>125</v>
      </c>
      <c r="B17" s="148"/>
      <c r="C17" s="159"/>
      <c r="D17" s="148">
        <f>SUM(D8+D12+D13+D14+D15+D16)</f>
        <v>0</v>
      </c>
      <c r="E17" s="160">
        <f>+E16</f>
        <v>0</v>
      </c>
      <c r="F17" s="148"/>
      <c r="G17" s="160"/>
      <c r="H17" s="148"/>
      <c r="I17" s="160"/>
      <c r="J17" s="148"/>
      <c r="K17" s="160"/>
      <c r="M17" s="160"/>
    </row>
    <row r="18" spans="1:18">
      <c r="A18" s="147" t="s">
        <v>126</v>
      </c>
      <c r="B18" s="161"/>
      <c r="C18" s="162"/>
      <c r="D18" s="163">
        <f>+D17+E17</f>
        <v>0</v>
      </c>
      <c r="E18" s="164"/>
      <c r="F18" s="161"/>
      <c r="G18" s="162"/>
      <c r="H18" s="163"/>
      <c r="I18" s="164"/>
      <c r="J18" s="163"/>
      <c r="K18" s="164"/>
    </row>
    <row r="19" spans="1:18">
      <c r="A19" s="147" t="s">
        <v>127</v>
      </c>
      <c r="B19" s="161" t="e">
        <f>#REF!</f>
        <v>#REF!</v>
      </c>
      <c r="C19" s="162"/>
      <c r="D19" s="163" t="e">
        <f>#REF!</f>
        <v>#REF!</v>
      </c>
      <c r="E19" s="164"/>
      <c r="F19" s="161"/>
      <c r="G19" s="162"/>
      <c r="H19" s="163"/>
      <c r="I19" s="164"/>
      <c r="J19" s="163"/>
      <c r="K19" s="164"/>
    </row>
    <row r="20" spans="1:18">
      <c r="A20" s="165" t="s">
        <v>128</v>
      </c>
      <c r="B20" s="166" t="e">
        <f>+B19*B18</f>
        <v>#REF!</v>
      </c>
      <c r="C20" s="167"/>
      <c r="D20" s="166" t="e">
        <f>+D19*D18</f>
        <v>#REF!</v>
      </c>
      <c r="E20" s="168"/>
      <c r="F20" s="166"/>
      <c r="G20" s="167"/>
      <c r="H20" s="166"/>
      <c r="I20" s="168"/>
      <c r="J20" s="166"/>
      <c r="K20" s="168"/>
    </row>
    <row r="21" spans="1:18">
      <c r="B21" s="169"/>
      <c r="C21" s="170"/>
    </row>
    <row r="22" spans="1:18">
      <c r="B22" s="127"/>
    </row>
    <row r="23" spans="1:18">
      <c r="B23" s="127"/>
    </row>
    <row r="24" spans="1:18">
      <c r="B24" s="127"/>
    </row>
    <row r="25" spans="1:18" ht="18.75">
      <c r="A25" s="171" t="s">
        <v>129</v>
      </c>
      <c r="B25" s="171"/>
      <c r="C25" s="171"/>
      <c r="D25" s="171"/>
      <c r="E25" s="171"/>
      <c r="F25" s="171"/>
      <c r="G25" s="171"/>
      <c r="H25" s="171"/>
      <c r="I25" s="171"/>
    </row>
    <row r="26" spans="1:18" ht="18.75">
      <c r="A26" s="172"/>
      <c r="B26" s="173">
        <v>2020</v>
      </c>
      <c r="C26" s="278"/>
      <c r="D26" s="278"/>
      <c r="E26" s="278"/>
      <c r="F26" s="278"/>
      <c r="G26" s="278"/>
      <c r="H26" s="278"/>
      <c r="I26" s="279"/>
      <c r="J26" s="173">
        <v>2021</v>
      </c>
      <c r="K26" s="278"/>
      <c r="L26" s="278"/>
      <c r="M26" s="278"/>
      <c r="N26" s="278"/>
      <c r="O26" s="278"/>
      <c r="P26" s="278"/>
      <c r="Q26" s="280"/>
      <c r="R26" s="174"/>
    </row>
    <row r="27" spans="1:18" ht="15.75" customHeight="1">
      <c r="A27" s="175" t="s">
        <v>115</v>
      </c>
      <c r="B27" s="176" t="s">
        <v>130</v>
      </c>
      <c r="C27" s="177"/>
      <c r="D27" s="178" t="s">
        <v>131</v>
      </c>
      <c r="E27" s="179" t="s">
        <v>117</v>
      </c>
      <c r="F27" s="180" t="s">
        <v>132</v>
      </c>
      <c r="G27" s="181" t="s">
        <v>133</v>
      </c>
      <c r="H27" s="182" t="s">
        <v>134</v>
      </c>
      <c r="I27" s="183" t="s">
        <v>135</v>
      </c>
      <c r="J27" s="184" t="s">
        <v>130</v>
      </c>
      <c r="K27" s="185"/>
      <c r="L27" s="186" t="s">
        <v>131</v>
      </c>
      <c r="M27" s="187" t="s">
        <v>117</v>
      </c>
      <c r="N27" s="188" t="s">
        <v>132</v>
      </c>
      <c r="O27" s="189" t="s">
        <v>133</v>
      </c>
      <c r="P27" s="190" t="s">
        <v>134</v>
      </c>
      <c r="Q27" s="191" t="s">
        <v>135</v>
      </c>
      <c r="R27" s="142"/>
    </row>
    <row r="28" spans="1:18" ht="15.75">
      <c r="A28" s="281"/>
      <c r="B28" s="192" t="s">
        <v>136</v>
      </c>
      <c r="C28" s="193" t="s">
        <v>137</v>
      </c>
      <c r="D28" s="194" t="s">
        <v>136</v>
      </c>
      <c r="E28" s="193" t="s">
        <v>137</v>
      </c>
      <c r="F28" s="194" t="s">
        <v>136</v>
      </c>
      <c r="G28" s="194" t="s">
        <v>137</v>
      </c>
      <c r="H28" s="195"/>
      <c r="I28" s="196"/>
      <c r="J28" s="192" t="s">
        <v>136</v>
      </c>
      <c r="K28" s="193" t="s">
        <v>137</v>
      </c>
      <c r="L28" s="194" t="s">
        <v>136</v>
      </c>
      <c r="M28" s="193" t="s">
        <v>137</v>
      </c>
      <c r="N28" s="194" t="s">
        <v>136</v>
      </c>
      <c r="O28" s="194" t="s">
        <v>137</v>
      </c>
      <c r="P28" s="197"/>
      <c r="Q28" s="198"/>
      <c r="R28" s="142"/>
    </row>
    <row r="29" spans="1:18" ht="15.75">
      <c r="A29" s="199" t="s">
        <v>138</v>
      </c>
      <c r="B29" s="200" t="e">
        <f>+B30+B34+B35+B36+B37</f>
        <v>#REF!</v>
      </c>
      <c r="C29" s="201" t="e">
        <f>+C30+C34+C35+C36+C37</f>
        <v>#REF!</v>
      </c>
      <c r="D29" s="202" t="e">
        <f>+D38</f>
        <v>#REF!</v>
      </c>
      <c r="E29" s="201" t="e">
        <f>+E38</f>
        <v>#REF!</v>
      </c>
      <c r="F29" s="202"/>
      <c r="G29" s="202"/>
      <c r="H29" s="201" t="e">
        <f>+B29+D29+F29</f>
        <v>#REF!</v>
      </c>
      <c r="I29" s="203" t="e">
        <f>+C29+E29+G29</f>
        <v>#REF!</v>
      </c>
      <c r="J29" s="204" t="e">
        <f>+J30+J34+J35</f>
        <v>#REF!</v>
      </c>
      <c r="K29" s="205" t="e">
        <f>+K30+K34+K35</f>
        <v>#REF!</v>
      </c>
      <c r="L29" s="206" t="e">
        <f>+L38</f>
        <v>#REF!</v>
      </c>
      <c r="M29" s="205" t="e">
        <f>+M38</f>
        <v>#REF!</v>
      </c>
      <c r="N29" s="206"/>
      <c r="O29" s="206"/>
      <c r="P29" s="205" t="e">
        <f>+J29+L29+N29</f>
        <v>#REF!</v>
      </c>
      <c r="Q29" s="207" t="e">
        <f>+K29+M29+O29</f>
        <v>#REF!</v>
      </c>
      <c r="R29" s="142"/>
    </row>
    <row r="30" spans="1:18" ht="15.75">
      <c r="A30" s="208" t="s">
        <v>119</v>
      </c>
      <c r="B30" s="209" t="e">
        <f>+B31+B32+B33</f>
        <v>#REF!</v>
      </c>
      <c r="C30" s="210" t="e">
        <f>+C31+C32+C33</f>
        <v>#REF!</v>
      </c>
      <c r="D30" s="211"/>
      <c r="E30" s="211"/>
      <c r="F30" s="211"/>
      <c r="G30" s="211"/>
      <c r="H30" s="212" t="e">
        <f t="shared" ref="H30:I48" si="0">+B30+D30+F30</f>
        <v>#REF!</v>
      </c>
      <c r="I30" s="213" t="e">
        <f t="shared" si="0"/>
        <v>#REF!</v>
      </c>
      <c r="J30" s="209" t="e">
        <f>SUM(J31:J33)</f>
        <v>#REF!</v>
      </c>
      <c r="K30" s="210" t="e">
        <f>SUM(K31:K33)</f>
        <v>#REF!</v>
      </c>
      <c r="L30" s="211"/>
      <c r="M30" s="211"/>
      <c r="N30" s="211"/>
      <c r="O30" s="211"/>
      <c r="P30" s="210" t="e">
        <f t="shared" ref="P30:Q38" si="1">+J30+L30+N30</f>
        <v>#REF!</v>
      </c>
      <c r="Q30" s="214" t="e">
        <f t="shared" si="1"/>
        <v>#REF!</v>
      </c>
      <c r="R30" s="142"/>
    </row>
    <row r="31" spans="1:18" ht="15.75">
      <c r="A31" s="215" t="s">
        <v>139</v>
      </c>
      <c r="B31" s="216" t="e">
        <f>+B9*#REF!</f>
        <v>#REF!</v>
      </c>
      <c r="C31" s="211" t="e">
        <f>+B9*#REF!</f>
        <v>#REF!</v>
      </c>
      <c r="D31" s="211"/>
      <c r="E31" s="211"/>
      <c r="F31" s="211"/>
      <c r="G31" s="211"/>
      <c r="H31" s="217" t="e">
        <f t="shared" si="0"/>
        <v>#REF!</v>
      </c>
      <c r="I31" s="218" t="e">
        <f t="shared" si="0"/>
        <v>#REF!</v>
      </c>
      <c r="J31" s="216" t="e">
        <f>+D9*#REF!</f>
        <v>#REF!</v>
      </c>
      <c r="K31" s="219" t="e">
        <f>+D9*#REF!</f>
        <v>#REF!</v>
      </c>
      <c r="L31" s="211"/>
      <c r="M31" s="211"/>
      <c r="N31" s="211"/>
      <c r="O31" s="211"/>
      <c r="P31" s="219" t="e">
        <f t="shared" si="1"/>
        <v>#REF!</v>
      </c>
      <c r="Q31" s="220" t="e">
        <f t="shared" si="1"/>
        <v>#REF!</v>
      </c>
      <c r="R31" s="142"/>
    </row>
    <row r="32" spans="1:18" ht="15.75">
      <c r="A32" s="215" t="s">
        <v>140</v>
      </c>
      <c r="B32" s="216" t="e">
        <f>+B10*#REF!</f>
        <v>#REF!</v>
      </c>
      <c r="C32" s="211" t="e">
        <f>+B10*#REF!</f>
        <v>#REF!</v>
      </c>
      <c r="D32" s="211"/>
      <c r="E32" s="211"/>
      <c r="F32" s="211"/>
      <c r="G32" s="211"/>
      <c r="H32" s="217" t="e">
        <f t="shared" si="0"/>
        <v>#REF!</v>
      </c>
      <c r="I32" s="218" t="e">
        <f t="shared" si="0"/>
        <v>#REF!</v>
      </c>
      <c r="J32" s="216" t="e">
        <f>+D10*#REF!</f>
        <v>#REF!</v>
      </c>
      <c r="K32" s="219" t="e">
        <f>+D10*#REF!</f>
        <v>#REF!</v>
      </c>
      <c r="L32" s="211"/>
      <c r="M32" s="211"/>
      <c r="N32" s="211"/>
      <c r="O32" s="211"/>
      <c r="P32" s="219" t="e">
        <f t="shared" si="1"/>
        <v>#REF!</v>
      </c>
      <c r="Q32" s="220" t="e">
        <f t="shared" si="1"/>
        <v>#REF!</v>
      </c>
      <c r="R32" s="142"/>
    </row>
    <row r="33" spans="1:18" ht="15.75">
      <c r="A33" s="215" t="s">
        <v>141</v>
      </c>
      <c r="B33" s="216" t="e">
        <f>+B11*#REF!</f>
        <v>#REF!</v>
      </c>
      <c r="C33" s="211" t="e">
        <f>+B11*#REF!</f>
        <v>#REF!</v>
      </c>
      <c r="D33" s="211"/>
      <c r="E33" s="211"/>
      <c r="F33" s="211"/>
      <c r="G33" s="211"/>
      <c r="H33" s="217" t="e">
        <f t="shared" si="0"/>
        <v>#REF!</v>
      </c>
      <c r="I33" s="218" t="e">
        <f t="shared" si="0"/>
        <v>#REF!</v>
      </c>
      <c r="J33" s="216" t="e">
        <f>+D11*#REF!</f>
        <v>#REF!</v>
      </c>
      <c r="K33" s="219" t="e">
        <f>+D11*#REF!</f>
        <v>#REF!</v>
      </c>
      <c r="L33" s="211"/>
      <c r="M33" s="219"/>
      <c r="N33" s="211"/>
      <c r="O33" s="211"/>
      <c r="P33" s="219" t="e">
        <f t="shared" si="1"/>
        <v>#REF!</v>
      </c>
      <c r="Q33" s="221" t="e">
        <f t="shared" si="1"/>
        <v>#REF!</v>
      </c>
      <c r="R33" s="222"/>
    </row>
    <row r="34" spans="1:18" ht="15.75">
      <c r="A34" s="208" t="s">
        <v>120</v>
      </c>
      <c r="B34" s="209" t="e">
        <f>+B12*#REF!</f>
        <v>#REF!</v>
      </c>
      <c r="C34" s="210" t="e">
        <f>+B12*#REF!</f>
        <v>#REF!</v>
      </c>
      <c r="D34" s="211"/>
      <c r="E34" s="211"/>
      <c r="F34" s="211"/>
      <c r="G34" s="211"/>
      <c r="H34" s="212" t="e">
        <f t="shared" si="0"/>
        <v>#REF!</v>
      </c>
      <c r="I34" s="213" t="e">
        <f t="shared" si="0"/>
        <v>#REF!</v>
      </c>
      <c r="J34" s="209" t="e">
        <f>+D12*#REF!</f>
        <v>#REF!</v>
      </c>
      <c r="K34" s="210" t="e">
        <f>+D12*#REF!</f>
        <v>#REF!</v>
      </c>
      <c r="L34" s="211"/>
      <c r="M34" s="211"/>
      <c r="N34" s="211"/>
      <c r="O34" s="211"/>
      <c r="P34" s="210" t="e">
        <f t="shared" si="1"/>
        <v>#REF!</v>
      </c>
      <c r="Q34" s="223" t="e">
        <f t="shared" si="1"/>
        <v>#REF!</v>
      </c>
      <c r="R34" s="222"/>
    </row>
    <row r="35" spans="1:18" ht="15.75">
      <c r="A35" s="208" t="s">
        <v>121</v>
      </c>
      <c r="B35" s="209" t="e">
        <f>+B13*#REF!</f>
        <v>#REF!</v>
      </c>
      <c r="C35" s="210" t="e">
        <f>+B13*#REF!</f>
        <v>#REF!</v>
      </c>
      <c r="D35" s="211"/>
      <c r="E35" s="211"/>
      <c r="F35" s="211"/>
      <c r="G35" s="211"/>
      <c r="H35" s="212" t="e">
        <f t="shared" si="0"/>
        <v>#REF!</v>
      </c>
      <c r="I35" s="213" t="e">
        <f t="shared" si="0"/>
        <v>#REF!</v>
      </c>
      <c r="J35" s="209" t="e">
        <f>+D13*#REF!</f>
        <v>#REF!</v>
      </c>
      <c r="K35" s="210" t="e">
        <f>+D13*#REF!</f>
        <v>#REF!</v>
      </c>
      <c r="L35" s="211"/>
      <c r="M35" s="211"/>
      <c r="N35" s="211"/>
      <c r="O35" s="211"/>
      <c r="P35" s="210" t="e">
        <f t="shared" si="1"/>
        <v>#REF!</v>
      </c>
      <c r="Q35" s="223" t="e">
        <f t="shared" si="1"/>
        <v>#REF!</v>
      </c>
      <c r="R35" s="174"/>
    </row>
    <row r="36" spans="1:18" ht="75" customHeight="1">
      <c r="A36" s="224" t="s">
        <v>122</v>
      </c>
      <c r="B36" s="216"/>
      <c r="C36" s="211"/>
      <c r="D36" s="211"/>
      <c r="E36" s="211"/>
      <c r="F36" s="211"/>
      <c r="G36" s="211"/>
      <c r="H36" s="217">
        <f t="shared" si="0"/>
        <v>0</v>
      </c>
      <c r="I36" s="218">
        <f t="shared" si="0"/>
        <v>0</v>
      </c>
      <c r="J36" s="216"/>
      <c r="K36" s="210"/>
      <c r="L36" s="211"/>
      <c r="M36" s="211"/>
      <c r="N36" s="211"/>
      <c r="O36" s="211"/>
      <c r="P36" s="211">
        <f t="shared" si="1"/>
        <v>0</v>
      </c>
      <c r="Q36" s="225">
        <f t="shared" si="1"/>
        <v>0</v>
      </c>
    </row>
    <row r="37" spans="1:18" ht="15.75">
      <c r="A37" s="226" t="s">
        <v>123</v>
      </c>
      <c r="B37" s="216"/>
      <c r="C37" s="211"/>
      <c r="D37" s="211"/>
      <c r="E37" s="211"/>
      <c r="F37" s="211"/>
      <c r="G37" s="211"/>
      <c r="H37" s="217">
        <f t="shared" si="0"/>
        <v>0</v>
      </c>
      <c r="I37" s="218">
        <f t="shared" si="0"/>
        <v>0</v>
      </c>
      <c r="J37" s="216"/>
      <c r="K37" s="210"/>
      <c r="L37" s="211"/>
      <c r="M37" s="211"/>
      <c r="N37" s="211"/>
      <c r="O37" s="211"/>
      <c r="P37" s="211">
        <f t="shared" si="1"/>
        <v>0</v>
      </c>
      <c r="Q37" s="225">
        <f t="shared" si="1"/>
        <v>0</v>
      </c>
    </row>
    <row r="38" spans="1:18" ht="75" customHeight="1">
      <c r="A38" s="224" t="s">
        <v>124</v>
      </c>
      <c r="B38" s="216"/>
      <c r="C38" s="211"/>
      <c r="D38" s="211" t="e">
        <f>+C16*#REF!</f>
        <v>#REF!</v>
      </c>
      <c r="E38" s="211" t="e">
        <f>+C16*#REF!</f>
        <v>#REF!</v>
      </c>
      <c r="F38" s="211"/>
      <c r="G38" s="211"/>
      <c r="H38" s="212" t="e">
        <f t="shared" si="0"/>
        <v>#REF!</v>
      </c>
      <c r="I38" s="213" t="e">
        <f t="shared" si="0"/>
        <v>#REF!</v>
      </c>
      <c r="J38" s="216"/>
      <c r="K38" s="210"/>
      <c r="L38" s="210" t="e">
        <f>+E16*#REF!</f>
        <v>#REF!</v>
      </c>
      <c r="M38" s="210" t="e">
        <f>+E16*#REF!</f>
        <v>#REF!</v>
      </c>
      <c r="N38" s="211"/>
      <c r="O38" s="211"/>
      <c r="P38" s="210" t="e">
        <f t="shared" si="1"/>
        <v>#REF!</v>
      </c>
      <c r="Q38" s="223" t="e">
        <f t="shared" si="1"/>
        <v>#REF!</v>
      </c>
      <c r="R38" s="174"/>
    </row>
    <row r="39" spans="1:18" ht="15.75">
      <c r="A39" s="227" t="s">
        <v>142</v>
      </c>
      <c r="B39" s="228">
        <f>SUM(B40:B47)</f>
        <v>33500</v>
      </c>
      <c r="C39" s="229">
        <f>SUM(C40:C47)</f>
        <v>402000</v>
      </c>
      <c r="D39" s="229">
        <f t="shared" ref="D39:E39" si="2">SUM(D40:D47)</f>
        <v>46000</v>
      </c>
      <c r="E39" s="229">
        <f t="shared" si="2"/>
        <v>552000</v>
      </c>
      <c r="F39" s="229">
        <f>SUM(F40:F47)</f>
        <v>43000</v>
      </c>
      <c r="G39" s="229">
        <f>SUM(G40:G47)</f>
        <v>516000</v>
      </c>
      <c r="H39" s="229">
        <f t="shared" si="0"/>
        <v>122500</v>
      </c>
      <c r="I39" s="230">
        <f t="shared" si="0"/>
        <v>1470000</v>
      </c>
      <c r="J39" s="228">
        <f t="shared" ref="J39:O39" si="3">SUM(J40:J47)</f>
        <v>34550</v>
      </c>
      <c r="K39" s="229">
        <f t="shared" si="3"/>
        <v>414600</v>
      </c>
      <c r="L39" s="229">
        <f t="shared" si="3"/>
        <v>47575</v>
      </c>
      <c r="M39" s="229">
        <f t="shared" si="3"/>
        <v>570900</v>
      </c>
      <c r="N39" s="229">
        <f t="shared" si="3"/>
        <v>44470</v>
      </c>
      <c r="O39" s="229">
        <f t="shared" si="3"/>
        <v>533640</v>
      </c>
      <c r="P39" s="229">
        <f>+J39+L39+N39</f>
        <v>126595</v>
      </c>
      <c r="Q39" s="231">
        <f>+K39+M39+O39</f>
        <v>1519140</v>
      </c>
      <c r="R39" s="174"/>
    </row>
    <row r="40" spans="1:18" ht="15.75">
      <c r="A40" s="145" t="s">
        <v>143</v>
      </c>
      <c r="B40" s="216">
        <v>30000</v>
      </c>
      <c r="C40" s="211">
        <f>+B40*12</f>
        <v>360000</v>
      </c>
      <c r="D40" s="211">
        <v>25000</v>
      </c>
      <c r="E40" s="211">
        <f>+D40*12</f>
        <v>300000</v>
      </c>
      <c r="F40" s="211">
        <v>20000</v>
      </c>
      <c r="G40" s="211">
        <f>+F40*12</f>
        <v>240000</v>
      </c>
      <c r="H40" s="217">
        <f t="shared" si="0"/>
        <v>75000</v>
      </c>
      <c r="I40" s="218">
        <f t="shared" si="0"/>
        <v>900000</v>
      </c>
      <c r="J40" s="216">
        <f t="shared" ref="J40:O46" si="4">+B40*1.035</f>
        <v>31049.999999999996</v>
      </c>
      <c r="K40" s="211">
        <f t="shared" si="4"/>
        <v>372600</v>
      </c>
      <c r="L40" s="211">
        <f t="shared" si="4"/>
        <v>25874.999999999996</v>
      </c>
      <c r="M40" s="219">
        <f t="shared" si="4"/>
        <v>310500</v>
      </c>
      <c r="N40" s="211">
        <f t="shared" si="4"/>
        <v>20700</v>
      </c>
      <c r="O40" s="211">
        <f t="shared" si="4"/>
        <v>248399.99999999997</v>
      </c>
      <c r="P40" s="219">
        <f t="shared" ref="P40:Q47" si="5">+J40+L40+N40</f>
        <v>77625</v>
      </c>
      <c r="Q40" s="221">
        <f t="shared" si="5"/>
        <v>931500</v>
      </c>
      <c r="R40" s="174"/>
    </row>
    <row r="41" spans="1:18" ht="15.75">
      <c r="A41" s="145" t="s">
        <v>144</v>
      </c>
      <c r="B41" s="216"/>
      <c r="C41" s="211">
        <f t="shared" ref="C41:C47" si="6">+B41*12</f>
        <v>0</v>
      </c>
      <c r="D41" s="211"/>
      <c r="E41" s="211">
        <f t="shared" ref="E41:E47" si="7">+D41*12</f>
        <v>0</v>
      </c>
      <c r="F41" s="211">
        <v>15000</v>
      </c>
      <c r="G41" s="211">
        <f t="shared" ref="G41:G47" si="8">+F41*12</f>
        <v>180000</v>
      </c>
      <c r="H41" s="217">
        <f t="shared" si="0"/>
        <v>15000</v>
      </c>
      <c r="I41" s="218">
        <f t="shared" si="0"/>
        <v>180000</v>
      </c>
      <c r="J41" s="216"/>
      <c r="K41" s="211"/>
      <c r="L41" s="211"/>
      <c r="M41" s="211"/>
      <c r="N41" s="211">
        <f t="shared" si="4"/>
        <v>15524.999999999998</v>
      </c>
      <c r="O41" s="211">
        <f t="shared" si="4"/>
        <v>186300</v>
      </c>
      <c r="P41" s="219">
        <f t="shared" si="5"/>
        <v>15524.999999999998</v>
      </c>
      <c r="Q41" s="221">
        <f t="shared" si="5"/>
        <v>186300</v>
      </c>
      <c r="R41" s="174"/>
    </row>
    <row r="42" spans="1:18" ht="15.75">
      <c r="A42" s="145" t="s">
        <v>145</v>
      </c>
      <c r="B42" s="216"/>
      <c r="C42" s="211">
        <f t="shared" si="6"/>
        <v>0</v>
      </c>
      <c r="D42" s="211"/>
      <c r="E42" s="211">
        <f t="shared" si="7"/>
        <v>0</v>
      </c>
      <c r="F42" s="211">
        <v>2000</v>
      </c>
      <c r="G42" s="211">
        <f t="shared" si="8"/>
        <v>24000</v>
      </c>
      <c r="H42" s="217">
        <f t="shared" si="0"/>
        <v>2000</v>
      </c>
      <c r="I42" s="218">
        <f t="shared" si="0"/>
        <v>24000</v>
      </c>
      <c r="J42" s="216"/>
      <c r="K42" s="211"/>
      <c r="L42" s="211"/>
      <c r="M42" s="211"/>
      <c r="N42" s="211">
        <f t="shared" si="4"/>
        <v>2070</v>
      </c>
      <c r="O42" s="211">
        <f t="shared" si="4"/>
        <v>24839.999999999996</v>
      </c>
      <c r="P42" s="219">
        <f t="shared" si="5"/>
        <v>2070</v>
      </c>
      <c r="Q42" s="221">
        <f t="shared" si="5"/>
        <v>24839.999999999996</v>
      </c>
      <c r="R42" s="174"/>
    </row>
    <row r="43" spans="1:18" ht="15.75">
      <c r="A43" s="145" t="s">
        <v>146</v>
      </c>
      <c r="B43" s="216"/>
      <c r="C43" s="211">
        <f t="shared" si="6"/>
        <v>0</v>
      </c>
      <c r="D43" s="211">
        <v>2000</v>
      </c>
      <c r="E43" s="211">
        <f t="shared" si="7"/>
        <v>24000</v>
      </c>
      <c r="F43" s="211">
        <v>500</v>
      </c>
      <c r="G43" s="211">
        <f t="shared" si="8"/>
        <v>6000</v>
      </c>
      <c r="H43" s="217">
        <f t="shared" si="0"/>
        <v>2500</v>
      </c>
      <c r="I43" s="218">
        <f t="shared" si="0"/>
        <v>30000</v>
      </c>
      <c r="J43" s="216"/>
      <c r="K43" s="211"/>
      <c r="L43" s="211">
        <f>+D43*1.035</f>
        <v>2070</v>
      </c>
      <c r="M43" s="211">
        <f>+E43*1.035</f>
        <v>24839.999999999996</v>
      </c>
      <c r="N43" s="211">
        <f t="shared" si="4"/>
        <v>517.5</v>
      </c>
      <c r="O43" s="211">
        <f t="shared" si="4"/>
        <v>6209.9999999999991</v>
      </c>
      <c r="P43" s="219">
        <f t="shared" si="5"/>
        <v>2587.5</v>
      </c>
      <c r="Q43" s="221">
        <f t="shared" si="5"/>
        <v>31049.999999999996</v>
      </c>
      <c r="R43" s="174"/>
    </row>
    <row r="44" spans="1:18" ht="15.75">
      <c r="A44" s="145" t="s">
        <v>147</v>
      </c>
      <c r="B44" s="216"/>
      <c r="C44" s="211">
        <f t="shared" si="6"/>
        <v>0</v>
      </c>
      <c r="D44" s="211">
        <v>18000</v>
      </c>
      <c r="E44" s="211">
        <f t="shared" si="7"/>
        <v>216000</v>
      </c>
      <c r="F44" s="211"/>
      <c r="G44" s="211">
        <f t="shared" si="8"/>
        <v>0</v>
      </c>
      <c r="H44" s="217">
        <f t="shared" si="0"/>
        <v>18000</v>
      </c>
      <c r="I44" s="218">
        <f t="shared" si="0"/>
        <v>216000</v>
      </c>
      <c r="J44" s="216"/>
      <c r="K44" s="211"/>
      <c r="L44" s="211">
        <f>+D44*1.035</f>
        <v>18630</v>
      </c>
      <c r="M44" s="211">
        <f>+E44*1.035</f>
        <v>223559.99999999997</v>
      </c>
      <c r="N44" s="211">
        <f t="shared" si="4"/>
        <v>0</v>
      </c>
      <c r="O44" s="211">
        <f t="shared" si="4"/>
        <v>0</v>
      </c>
      <c r="P44" s="219">
        <f t="shared" si="5"/>
        <v>18630</v>
      </c>
      <c r="Q44" s="221">
        <f t="shared" si="5"/>
        <v>223559.99999999997</v>
      </c>
      <c r="R44" s="174"/>
    </row>
    <row r="45" spans="1:18" ht="15.75">
      <c r="A45" s="145" t="s">
        <v>98</v>
      </c>
      <c r="B45" s="216"/>
      <c r="C45" s="211">
        <f t="shared" si="6"/>
        <v>0</v>
      </c>
      <c r="D45" s="211"/>
      <c r="E45" s="211">
        <f t="shared" si="7"/>
        <v>0</v>
      </c>
      <c r="F45" s="211">
        <v>3000</v>
      </c>
      <c r="G45" s="211">
        <f t="shared" si="8"/>
        <v>36000</v>
      </c>
      <c r="H45" s="217">
        <f t="shared" si="0"/>
        <v>3000</v>
      </c>
      <c r="I45" s="218">
        <f t="shared" si="0"/>
        <v>36000</v>
      </c>
      <c r="J45" s="216"/>
      <c r="K45" s="211"/>
      <c r="L45" s="211"/>
      <c r="M45" s="211"/>
      <c r="N45" s="211">
        <f t="shared" si="4"/>
        <v>3104.9999999999995</v>
      </c>
      <c r="O45" s="211">
        <f t="shared" si="4"/>
        <v>37260</v>
      </c>
      <c r="P45" s="219">
        <f t="shared" si="5"/>
        <v>3104.9999999999995</v>
      </c>
      <c r="Q45" s="221">
        <f t="shared" si="5"/>
        <v>37260</v>
      </c>
      <c r="R45" s="174"/>
    </row>
    <row r="46" spans="1:18" ht="15.75">
      <c r="A46" s="145" t="s">
        <v>148</v>
      </c>
      <c r="B46" s="216"/>
      <c r="C46" s="211">
        <f t="shared" si="6"/>
        <v>0</v>
      </c>
      <c r="D46" s="211"/>
      <c r="E46" s="211">
        <f t="shared" si="7"/>
        <v>0</v>
      </c>
      <c r="F46" s="211">
        <v>1500</v>
      </c>
      <c r="G46" s="211">
        <f t="shared" si="8"/>
        <v>18000</v>
      </c>
      <c r="H46" s="217">
        <f t="shared" si="0"/>
        <v>1500</v>
      </c>
      <c r="I46" s="218">
        <f t="shared" si="0"/>
        <v>18000</v>
      </c>
      <c r="J46" s="216"/>
      <c r="K46" s="211"/>
      <c r="L46" s="211"/>
      <c r="M46" s="211"/>
      <c r="N46" s="211">
        <f t="shared" si="4"/>
        <v>1552.4999999999998</v>
      </c>
      <c r="O46" s="211">
        <f t="shared" si="4"/>
        <v>18630</v>
      </c>
      <c r="P46" s="219">
        <f t="shared" si="5"/>
        <v>1552.4999999999998</v>
      </c>
      <c r="Q46" s="221">
        <f t="shared" si="5"/>
        <v>18630</v>
      </c>
      <c r="R46" s="174"/>
    </row>
    <row r="47" spans="1:18" ht="15.75">
      <c r="A47" s="145" t="s">
        <v>149</v>
      </c>
      <c r="B47" s="232">
        <v>3500</v>
      </c>
      <c r="C47" s="233">
        <f t="shared" si="6"/>
        <v>42000</v>
      </c>
      <c r="D47" s="233">
        <v>1000</v>
      </c>
      <c r="E47" s="233">
        <f t="shared" si="7"/>
        <v>12000</v>
      </c>
      <c r="F47" s="233">
        <v>1000</v>
      </c>
      <c r="G47" s="233">
        <f t="shared" si="8"/>
        <v>12000</v>
      </c>
      <c r="H47" s="234">
        <f t="shared" si="0"/>
        <v>5500</v>
      </c>
      <c r="I47" s="235">
        <f t="shared" si="0"/>
        <v>66000</v>
      </c>
      <c r="J47" s="232">
        <v>3500</v>
      </c>
      <c r="K47" s="233">
        <v>42000</v>
      </c>
      <c r="L47" s="233">
        <v>1000</v>
      </c>
      <c r="M47" s="233">
        <v>12000</v>
      </c>
      <c r="N47" s="233">
        <v>1000</v>
      </c>
      <c r="O47" s="233">
        <v>12000</v>
      </c>
      <c r="P47" s="236">
        <f t="shared" si="5"/>
        <v>5500</v>
      </c>
      <c r="Q47" s="237">
        <f t="shared" si="5"/>
        <v>66000</v>
      </c>
    </row>
    <row r="48" spans="1:18" ht="18.75">
      <c r="A48" s="238" t="s">
        <v>150</v>
      </c>
      <c r="B48" s="239" t="e">
        <f>+B29+B39</f>
        <v>#REF!</v>
      </c>
      <c r="C48" s="240" t="e">
        <f t="shared" ref="C48:G48" si="9">+C29+C39</f>
        <v>#REF!</v>
      </c>
      <c r="D48" s="240" t="e">
        <f t="shared" si="9"/>
        <v>#REF!</v>
      </c>
      <c r="E48" s="240" t="e">
        <f t="shared" si="9"/>
        <v>#REF!</v>
      </c>
      <c r="F48" s="240">
        <f t="shared" si="9"/>
        <v>43000</v>
      </c>
      <c r="G48" s="240">
        <f t="shared" si="9"/>
        <v>516000</v>
      </c>
      <c r="H48" s="241" t="e">
        <f t="shared" si="0"/>
        <v>#REF!</v>
      </c>
      <c r="I48" s="242" t="e">
        <f>+C48+E48+G48</f>
        <v>#REF!</v>
      </c>
      <c r="J48" s="239" t="e">
        <f t="shared" ref="J48:Q48" si="10">+J29+J39</f>
        <v>#REF!</v>
      </c>
      <c r="K48" s="240" t="e">
        <f t="shared" si="10"/>
        <v>#REF!</v>
      </c>
      <c r="L48" s="240" t="e">
        <f t="shared" si="10"/>
        <v>#REF!</v>
      </c>
      <c r="M48" s="240" t="e">
        <f t="shared" si="10"/>
        <v>#REF!</v>
      </c>
      <c r="N48" s="240">
        <f t="shared" si="10"/>
        <v>44470</v>
      </c>
      <c r="O48" s="240">
        <f t="shared" si="10"/>
        <v>533640</v>
      </c>
      <c r="P48" s="240" t="e">
        <f t="shared" si="10"/>
        <v>#REF!</v>
      </c>
      <c r="Q48" s="243" t="e">
        <f t="shared" si="10"/>
        <v>#REF!</v>
      </c>
      <c r="R48" s="174"/>
    </row>
    <row r="49" spans="1:17">
      <c r="B49" s="127"/>
    </row>
    <row r="50" spans="1:17">
      <c r="B50" s="127"/>
    </row>
    <row r="51" spans="1:17" ht="18.75">
      <c r="A51" s="244" t="s">
        <v>151</v>
      </c>
      <c r="B51" s="245"/>
      <c r="C51" s="245"/>
      <c r="D51" s="245"/>
      <c r="E51" s="245"/>
      <c r="F51" s="245"/>
      <c r="G51" s="245"/>
      <c r="H51" s="245"/>
      <c r="I51" s="246"/>
      <c r="J51" s="247" t="s">
        <v>152</v>
      </c>
      <c r="K51" s="247"/>
      <c r="L51" s="247"/>
      <c r="M51" s="247"/>
      <c r="N51" s="247"/>
      <c r="O51" s="247"/>
      <c r="P51" s="247"/>
      <c r="Q51" s="247"/>
    </row>
    <row r="52" spans="1:17">
      <c r="A52" s="248" t="s">
        <v>153</v>
      </c>
      <c r="B52" s="249"/>
      <c r="C52" s="250"/>
      <c r="D52" s="250"/>
      <c r="E52" s="250"/>
      <c r="F52" s="250"/>
      <c r="G52" s="250"/>
      <c r="H52" s="251" t="e">
        <f>+H48</f>
        <v>#REF!</v>
      </c>
      <c r="I52" s="252" t="e">
        <f>+I48</f>
        <v>#REF!</v>
      </c>
      <c r="O52" s="127" t="s">
        <v>154</v>
      </c>
      <c r="P52" s="253" t="e">
        <f>+P48</f>
        <v>#REF!</v>
      </c>
      <c r="Q52" s="253" t="e">
        <f>+Q48</f>
        <v>#REF!</v>
      </c>
    </row>
    <row r="53" spans="1:17">
      <c r="A53" s="254" t="s">
        <v>155</v>
      </c>
      <c r="B53" s="127"/>
      <c r="H53" t="e">
        <f>+H52/#REF!</f>
        <v>#REF!</v>
      </c>
      <c r="I53" s="255" t="e">
        <f>+I52/#REF!</f>
        <v>#REF!</v>
      </c>
      <c r="L53" s="127"/>
      <c r="M53" t="s">
        <v>156</v>
      </c>
      <c r="P53" s="256" t="e">
        <f>+P52/#REF!</f>
        <v>#REF!</v>
      </c>
      <c r="Q53" s="256" t="e">
        <f>+Q52/#REF!</f>
        <v>#REF!</v>
      </c>
    </row>
    <row r="54" spans="1:17">
      <c r="A54" s="254" t="s">
        <v>157</v>
      </c>
      <c r="B54" s="127"/>
      <c r="H54" s="257">
        <v>0.8</v>
      </c>
      <c r="I54" s="258">
        <v>0.8</v>
      </c>
      <c r="K54" s="127"/>
      <c r="N54" t="s">
        <v>157</v>
      </c>
      <c r="P54" s="259">
        <v>0.8</v>
      </c>
      <c r="Q54" s="259">
        <v>0.8</v>
      </c>
    </row>
    <row r="55" spans="1:17">
      <c r="A55" s="260" t="s">
        <v>158</v>
      </c>
      <c r="B55" s="127"/>
      <c r="H55" s="261" t="e">
        <f>+H53*1.8</f>
        <v>#REF!</v>
      </c>
      <c r="I55" s="262" t="e">
        <f>+I53*1.8</f>
        <v>#REF!</v>
      </c>
      <c r="J55" s="127"/>
      <c r="K55" s="127"/>
      <c r="M55" t="s">
        <v>159</v>
      </c>
      <c r="O55" s="127"/>
      <c r="P55" s="256" t="e">
        <f>+P53*1.8</f>
        <v>#REF!</v>
      </c>
      <c r="Q55" s="263" t="e">
        <f>+Q53*1.8</f>
        <v>#REF!</v>
      </c>
    </row>
    <row r="56" spans="1:17">
      <c r="A56" s="254"/>
      <c r="B56" s="127"/>
      <c r="I56" s="255"/>
      <c r="K56" s="127"/>
      <c r="P56" s="256"/>
      <c r="Q56" s="256"/>
    </row>
    <row r="57" spans="1:17">
      <c r="A57" s="254"/>
      <c r="B57" s="127"/>
      <c r="I57" s="255"/>
      <c r="J57" s="127"/>
      <c r="K57" s="127"/>
      <c r="P57" s="256"/>
      <c r="Q57" s="256"/>
    </row>
    <row r="58" spans="1:17">
      <c r="A58" s="264" t="s">
        <v>160</v>
      </c>
      <c r="B58" s="265"/>
      <c r="C58" s="266"/>
      <c r="D58" s="266"/>
      <c r="E58" s="266"/>
      <c r="F58" s="266"/>
      <c r="G58" s="266"/>
      <c r="H58" s="267">
        <v>500</v>
      </c>
      <c r="I58" s="268">
        <v>500</v>
      </c>
      <c r="J58" s="269"/>
      <c r="K58" s="265"/>
      <c r="L58" s="266"/>
      <c r="M58" s="266" t="s">
        <v>161</v>
      </c>
      <c r="N58" s="266"/>
      <c r="O58" s="266"/>
      <c r="P58" s="270">
        <f>+H58*1.035</f>
        <v>517.5</v>
      </c>
      <c r="Q58" s="271">
        <f>+P58</f>
        <v>517.5</v>
      </c>
    </row>
    <row r="59" spans="1:17">
      <c r="B59" s="127"/>
    </row>
    <row r="60" spans="1:17">
      <c r="B60" s="127"/>
    </row>
    <row r="61" spans="1:17">
      <c r="B61" s="127"/>
    </row>
    <row r="62" spans="1:17" ht="18.75">
      <c r="A62" s="247" t="s">
        <v>162</v>
      </c>
      <c r="B62" s="247"/>
      <c r="C62" s="247"/>
      <c r="D62" s="247"/>
      <c r="E62" s="247"/>
      <c r="F62" s="247"/>
      <c r="G62" s="247"/>
    </row>
    <row r="63" spans="1:17" ht="18.75">
      <c r="A63" s="272" t="s">
        <v>115</v>
      </c>
      <c r="B63" s="272">
        <v>2020</v>
      </c>
      <c r="C63" s="272">
        <v>2021</v>
      </c>
      <c r="D63" s="272">
        <v>2022</v>
      </c>
      <c r="E63" s="272">
        <v>2023</v>
      </c>
      <c r="F63" s="272">
        <v>2024</v>
      </c>
      <c r="G63" s="272">
        <v>2025</v>
      </c>
    </row>
    <row r="64" spans="1:17">
      <c r="A64" s="273" t="s">
        <v>163</v>
      </c>
      <c r="B64" s="274">
        <v>15000</v>
      </c>
      <c r="C64" s="273">
        <v>12000</v>
      </c>
      <c r="D64" s="273"/>
      <c r="E64" s="273"/>
      <c r="F64" s="273"/>
      <c r="G64" s="273"/>
    </row>
    <row r="65" spans="2:2">
      <c r="B65" s="127"/>
    </row>
    <row r="66" spans="2:2">
      <c r="B66" s="127"/>
    </row>
    <row r="67" spans="2:2">
      <c r="B67" s="127"/>
    </row>
    <row r="68" spans="2:2">
      <c r="B68" s="127"/>
    </row>
    <row r="69" spans="2:2">
      <c r="B69" s="127"/>
    </row>
    <row r="70" spans="2:2">
      <c r="B70" s="127"/>
    </row>
    <row r="71" spans="2:2">
      <c r="B71" s="127"/>
    </row>
    <row r="72" spans="2:2">
      <c r="B72" s="127"/>
    </row>
  </sheetData>
  <mergeCells count="45">
    <mergeCell ref="N27:O27"/>
    <mergeCell ref="P27:P28"/>
    <mergeCell ref="Q27:Q28"/>
    <mergeCell ref="A51:I51"/>
    <mergeCell ref="J51:Q51"/>
    <mergeCell ref="A62:G62"/>
    <mergeCell ref="B26:I26"/>
    <mergeCell ref="J26:Q26"/>
    <mergeCell ref="A27:A28"/>
    <mergeCell ref="B27:C27"/>
    <mergeCell ref="D27:E27"/>
    <mergeCell ref="F27:G27"/>
    <mergeCell ref="H27:H28"/>
    <mergeCell ref="I27:I28"/>
    <mergeCell ref="J27:K27"/>
    <mergeCell ref="L27:M27"/>
    <mergeCell ref="B20:C20"/>
    <mergeCell ref="D20:E20"/>
    <mergeCell ref="F20:G20"/>
    <mergeCell ref="H20:I20"/>
    <mergeCell ref="J20:K20"/>
    <mergeCell ref="A25:I2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H5:I5"/>
    <mergeCell ref="J5:K5"/>
    <mergeCell ref="B6:C6"/>
    <mergeCell ref="D6:E6"/>
    <mergeCell ref="F6:G6"/>
    <mergeCell ref="H6:I6"/>
    <mergeCell ref="J6:K6"/>
    <mergeCell ref="A2:C2"/>
    <mergeCell ref="A4:E4"/>
    <mergeCell ref="A5:A6"/>
    <mergeCell ref="B5:C5"/>
    <mergeCell ref="D5:E5"/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96C6-1CB5-4169-B6B1-4954DF4A8838}">
  <sheetPr>
    <pageSetUpPr fitToPage="1"/>
  </sheetPr>
  <dimension ref="A1:BI379"/>
  <sheetViews>
    <sheetView workbookViewId="0">
      <selection activeCell="E5" sqref="E5"/>
    </sheetView>
  </sheetViews>
  <sheetFormatPr defaultColWidth="11.5546875" defaultRowHeight="15"/>
  <cols>
    <col min="6" max="6" width="17.5546875" customWidth="1"/>
    <col min="9" max="9" width="18.33203125" customWidth="1"/>
    <col min="10" max="10" width="16.109375" customWidth="1"/>
  </cols>
  <sheetData>
    <row r="1" spans="1:6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.75">
      <c r="A2" s="103"/>
      <c r="B2" s="103"/>
      <c r="C2" s="109" t="s">
        <v>164</v>
      </c>
      <c r="D2" s="109"/>
      <c r="E2" s="109"/>
      <c r="F2" s="10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ht="31.5">
      <c r="A3" s="61"/>
      <c r="B3" s="61" t="s">
        <v>165</v>
      </c>
      <c r="C3" s="61" t="s">
        <v>166</v>
      </c>
      <c r="D3" s="61" t="s">
        <v>167</v>
      </c>
      <c r="E3" s="61" t="s">
        <v>168</v>
      </c>
      <c r="F3" s="61" t="s">
        <v>169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>
      <c r="A4" s="2"/>
      <c r="B4" s="73">
        <v>0</v>
      </c>
      <c r="C4" s="63"/>
      <c r="D4" s="63"/>
      <c r="E4" s="63"/>
      <c r="F4" s="63">
        <f>J6</f>
        <v>191041</v>
      </c>
      <c r="G4" s="64"/>
      <c r="H4" s="2"/>
      <c r="I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ht="15.75">
      <c r="A5" s="2"/>
      <c r="B5" s="65">
        <v>1</v>
      </c>
      <c r="C5" s="66">
        <f>(F4/12)*$I$6</f>
        <v>3184.0166666666669</v>
      </c>
      <c r="D5" s="66">
        <f t="shared" ref="D5:D40" si="0">IF(B5&lt;=$K$6,($J$6*($I$6/12)*(((1+($I$6/12))^$K$6)/(((1+($I$6/12))^$K$6)-1))),0)</f>
        <v>9723.1850327670218</v>
      </c>
      <c r="E5" s="66">
        <f>D5-C5</f>
        <v>6539.1683661003553</v>
      </c>
      <c r="F5" s="66">
        <f>F4-E5</f>
        <v>184501.83163389965</v>
      </c>
      <c r="G5" s="64"/>
      <c r="H5" s="2"/>
      <c r="I5" s="46" t="s">
        <v>170</v>
      </c>
      <c r="J5" s="46" t="s">
        <v>171</v>
      </c>
      <c r="K5" s="103" t="s">
        <v>88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>
      <c r="A6" s="2"/>
      <c r="B6" s="62">
        <v>2</v>
      </c>
      <c r="C6" s="63">
        <f>(F5/12)*$I$6</f>
        <v>3075.0305272316609</v>
      </c>
      <c r="D6" s="63">
        <f t="shared" si="0"/>
        <v>9723.1850327670218</v>
      </c>
      <c r="E6" s="63">
        <f t="shared" ref="E6:E40" si="1">D6-C6</f>
        <v>6648.1545055353608</v>
      </c>
      <c r="F6" s="63">
        <f t="shared" ref="F6:F39" si="2">F5-E6</f>
        <v>177853.6771283643</v>
      </c>
      <c r="G6" s="64"/>
      <c r="H6" s="2"/>
      <c r="I6" s="67">
        <v>0.2</v>
      </c>
      <c r="J6" s="70">
        <v>191041</v>
      </c>
      <c r="K6" s="68">
        <v>24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ht="15.75">
      <c r="A7" s="2"/>
      <c r="B7" s="65">
        <v>3</v>
      </c>
      <c r="C7" s="66">
        <f t="shared" ref="C7:C40" si="3">(F6/12)*$I$6</f>
        <v>2964.2279521394053</v>
      </c>
      <c r="D7" s="66">
        <f t="shared" si="0"/>
        <v>9723.1850327670218</v>
      </c>
      <c r="E7" s="66">
        <f t="shared" si="1"/>
        <v>6758.957080627617</v>
      </c>
      <c r="F7" s="66">
        <f t="shared" si="2"/>
        <v>171094.72004773669</v>
      </c>
      <c r="G7" s="64"/>
      <c r="H7" s="2"/>
      <c r="I7" s="2"/>
      <c r="J7" s="122" t="s">
        <v>172</v>
      </c>
      <c r="K7" s="12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>
      <c r="A8" s="2"/>
      <c r="B8" s="62">
        <v>4</v>
      </c>
      <c r="C8" s="63">
        <f t="shared" si="3"/>
        <v>2851.5786674622782</v>
      </c>
      <c r="D8" s="63">
        <f t="shared" si="0"/>
        <v>9723.1850327670218</v>
      </c>
      <c r="E8" s="63">
        <f t="shared" si="1"/>
        <v>6871.606365304744</v>
      </c>
      <c r="F8" s="63">
        <f t="shared" si="2"/>
        <v>164223.11368243195</v>
      </c>
      <c r="G8" s="64"/>
      <c r="H8" s="2"/>
      <c r="I8" s="2"/>
      <c r="J8" s="74">
        <f>'Inversion Total'!D80</f>
        <v>171595.62993446598</v>
      </c>
      <c r="K8" s="7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>
      <c r="A9" s="2"/>
      <c r="B9" s="65">
        <v>5</v>
      </c>
      <c r="C9" s="66">
        <f t="shared" si="3"/>
        <v>2737.0518947071996</v>
      </c>
      <c r="D9" s="66">
        <f t="shared" si="0"/>
        <v>9723.1850327670218</v>
      </c>
      <c r="E9" s="66">
        <f t="shared" si="1"/>
        <v>6986.1331380598222</v>
      </c>
      <c r="F9" s="66">
        <f t="shared" si="2"/>
        <v>157236.98054437214</v>
      </c>
      <c r="G9" s="64"/>
      <c r="H9" s="2"/>
      <c r="I9" s="2"/>
      <c r="K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>
      <c r="A10" s="2"/>
      <c r="B10" s="62">
        <v>6</v>
      </c>
      <c r="C10" s="63">
        <f t="shared" si="3"/>
        <v>2620.6163424062024</v>
      </c>
      <c r="D10" s="63">
        <f t="shared" si="0"/>
        <v>9723.1850327670218</v>
      </c>
      <c r="E10" s="63">
        <f t="shared" si="1"/>
        <v>7102.5686903608193</v>
      </c>
      <c r="F10" s="63">
        <f t="shared" si="2"/>
        <v>150134.41185401133</v>
      </c>
      <c r="G10" s="6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>
      <c r="A11" s="2"/>
      <c r="B11" s="65">
        <v>7</v>
      </c>
      <c r="C11" s="66">
        <f t="shared" si="3"/>
        <v>2502.2401975668558</v>
      </c>
      <c r="D11" s="66">
        <f t="shared" si="0"/>
        <v>9723.1850327670218</v>
      </c>
      <c r="E11" s="66">
        <f t="shared" si="1"/>
        <v>7220.9448352001655</v>
      </c>
      <c r="F11" s="66">
        <f t="shared" si="2"/>
        <v>142913.46701881115</v>
      </c>
      <c r="G11" s="64"/>
      <c r="H11" s="2"/>
      <c r="I11" s="6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>
      <c r="A12" s="2"/>
      <c r="B12" s="62">
        <v>8</v>
      </c>
      <c r="C12" s="63">
        <f t="shared" si="3"/>
        <v>2381.8911169801859</v>
      </c>
      <c r="D12" s="63">
        <f t="shared" si="0"/>
        <v>9723.1850327670218</v>
      </c>
      <c r="E12" s="63">
        <f t="shared" si="1"/>
        <v>7341.2939157868359</v>
      </c>
      <c r="F12" s="63">
        <f t="shared" si="2"/>
        <v>135572.17310302431</v>
      </c>
      <c r="G12" s="6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>
      <c r="A13" s="2"/>
      <c r="B13" s="65">
        <v>9</v>
      </c>
      <c r="C13" s="66">
        <f t="shared" si="3"/>
        <v>2259.5362183837383</v>
      </c>
      <c r="D13" s="66">
        <f t="shared" si="0"/>
        <v>9723.1850327670218</v>
      </c>
      <c r="E13" s="66">
        <f t="shared" si="1"/>
        <v>7463.648814383283</v>
      </c>
      <c r="F13" s="66">
        <f t="shared" si="2"/>
        <v>128108.52428864103</v>
      </c>
      <c r="G13" s="6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>
      <c r="A14" s="2"/>
      <c r="B14" s="62">
        <v>10</v>
      </c>
      <c r="C14" s="63">
        <f t="shared" si="3"/>
        <v>2135.1420714773503</v>
      </c>
      <c r="D14" s="63">
        <f t="shared" si="0"/>
        <v>9723.1850327670218</v>
      </c>
      <c r="E14" s="63">
        <f t="shared" si="1"/>
        <v>7588.0429612896714</v>
      </c>
      <c r="F14" s="63">
        <f t="shared" si="2"/>
        <v>120520.48132735136</v>
      </c>
      <c r="G14" s="6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>
      <c r="A15" s="2"/>
      <c r="B15" s="65">
        <v>11</v>
      </c>
      <c r="C15" s="66">
        <f t="shared" si="3"/>
        <v>2008.6746887891893</v>
      </c>
      <c r="D15" s="66">
        <f t="shared" si="0"/>
        <v>9723.1850327670218</v>
      </c>
      <c r="E15" s="66">
        <f t="shared" si="1"/>
        <v>7714.5103439778322</v>
      </c>
      <c r="F15" s="66">
        <f t="shared" si="2"/>
        <v>112805.97098337353</v>
      </c>
      <c r="G15" s="6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>
      <c r="A16" s="2"/>
      <c r="B16" s="62">
        <v>12</v>
      </c>
      <c r="C16" s="63">
        <f t="shared" si="3"/>
        <v>1880.0995163895586</v>
      </c>
      <c r="D16" s="63">
        <f t="shared" si="0"/>
        <v>9723.1850327670218</v>
      </c>
      <c r="E16" s="63">
        <f t="shared" si="1"/>
        <v>7843.0855163774631</v>
      </c>
      <c r="F16" s="63">
        <f t="shared" si="2"/>
        <v>104962.88546699606</v>
      </c>
      <c r="G16" s="6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1:61">
      <c r="A17" s="2"/>
      <c r="B17" s="65">
        <v>13</v>
      </c>
      <c r="C17" s="66">
        <f t="shared" si="3"/>
        <v>1749.3814244499345</v>
      </c>
      <c r="D17" s="66">
        <f t="shared" si="0"/>
        <v>9723.1850327670218</v>
      </c>
      <c r="E17" s="66">
        <f t="shared" si="1"/>
        <v>7973.8036083170873</v>
      </c>
      <c r="F17" s="66">
        <f t="shared" si="2"/>
        <v>96989.081858678968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>
      <c r="A18" s="2"/>
      <c r="B18" s="62">
        <v>14</v>
      </c>
      <c r="C18" s="63">
        <f t="shared" si="3"/>
        <v>1616.4846976446497</v>
      </c>
      <c r="D18" s="63">
        <f t="shared" si="0"/>
        <v>9723.1850327670218</v>
      </c>
      <c r="E18" s="63">
        <f t="shared" si="1"/>
        <v>8106.7003351223721</v>
      </c>
      <c r="F18" s="63">
        <f t="shared" si="2"/>
        <v>88882.3815235566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>
      <c r="A19" s="2"/>
      <c r="B19" s="65">
        <v>15</v>
      </c>
      <c r="C19" s="66">
        <f t="shared" si="3"/>
        <v>1481.3730253926101</v>
      </c>
      <c r="D19" s="66">
        <f t="shared" si="0"/>
        <v>9723.1850327670218</v>
      </c>
      <c r="E19" s="66">
        <f t="shared" si="1"/>
        <v>8241.8120073744121</v>
      </c>
      <c r="F19" s="66">
        <f t="shared" si="2"/>
        <v>80640.569516182193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>
      <c r="A20" s="2"/>
      <c r="B20" s="62">
        <v>16</v>
      </c>
      <c r="C20" s="63">
        <f t="shared" si="3"/>
        <v>1344.0094919363701</v>
      </c>
      <c r="D20" s="63">
        <f t="shared" si="0"/>
        <v>9723.1850327670218</v>
      </c>
      <c r="E20" s="63">
        <f t="shared" si="1"/>
        <v>8379.1755408306526</v>
      </c>
      <c r="F20" s="63">
        <f t="shared" si="2"/>
        <v>72261.393975351544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>
      <c r="A21" s="2"/>
      <c r="B21" s="65">
        <v>17</v>
      </c>
      <c r="C21" s="66">
        <f t="shared" si="3"/>
        <v>1204.3565662558592</v>
      </c>
      <c r="D21" s="66">
        <f t="shared" si="0"/>
        <v>9723.1850327670218</v>
      </c>
      <c r="E21" s="66">
        <f t="shared" si="1"/>
        <v>8518.8284665111623</v>
      </c>
      <c r="F21" s="66">
        <f t="shared" si="2"/>
        <v>63742.56550884038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>
      <c r="A22" s="2"/>
      <c r="B22" s="62">
        <v>18</v>
      </c>
      <c r="C22" s="63">
        <f t="shared" si="3"/>
        <v>1062.3760918140065</v>
      </c>
      <c r="D22" s="63">
        <f t="shared" si="0"/>
        <v>9723.1850327670218</v>
      </c>
      <c r="E22" s="63">
        <f t="shared" si="1"/>
        <v>8660.8089409530148</v>
      </c>
      <c r="F22" s="63">
        <f t="shared" si="2"/>
        <v>55081.756567887365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>
      <c r="A23" s="2"/>
      <c r="B23" s="65">
        <v>19</v>
      </c>
      <c r="C23" s="66">
        <f t="shared" si="3"/>
        <v>918.02927613145607</v>
      </c>
      <c r="D23" s="66">
        <f t="shared" si="0"/>
        <v>9723.1850327670218</v>
      </c>
      <c r="E23" s="66">
        <f t="shared" si="1"/>
        <v>8805.1557566355659</v>
      </c>
      <c r="F23" s="66">
        <f t="shared" si="2"/>
        <v>46276.600811251803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>
      <c r="A24" s="2"/>
      <c r="B24" s="62">
        <v>20</v>
      </c>
      <c r="C24" s="63">
        <f t="shared" si="3"/>
        <v>771.27668018753002</v>
      </c>
      <c r="D24" s="63">
        <f t="shared" si="0"/>
        <v>9723.1850327670218</v>
      </c>
      <c r="E24" s="63">
        <f t="shared" si="1"/>
        <v>8951.9083525794922</v>
      </c>
      <c r="F24" s="63">
        <f t="shared" si="2"/>
        <v>37324.692458672311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>
      <c r="A25" s="2"/>
      <c r="B25" s="65">
        <v>21</v>
      </c>
      <c r="C25" s="66">
        <f t="shared" si="3"/>
        <v>622.07820764453857</v>
      </c>
      <c r="D25" s="66">
        <f t="shared" si="0"/>
        <v>9723.1850327670218</v>
      </c>
      <c r="E25" s="66">
        <f t="shared" si="1"/>
        <v>9101.1068251224824</v>
      </c>
      <c r="F25" s="66">
        <f t="shared" si="2"/>
        <v>28223.585633549828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>
      <c r="A26" s="2"/>
      <c r="B26" s="62">
        <v>22</v>
      </c>
      <c r="C26" s="63">
        <f t="shared" si="3"/>
        <v>470.39309389249712</v>
      </c>
      <c r="D26" s="63">
        <f t="shared" si="0"/>
        <v>9723.1850327670218</v>
      </c>
      <c r="E26" s="63">
        <f t="shared" si="1"/>
        <v>9252.7919388745249</v>
      </c>
      <c r="F26" s="63">
        <f t="shared" si="2"/>
        <v>18970.793694675303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>
      <c r="A27" s="2"/>
      <c r="B27" s="65">
        <v>23</v>
      </c>
      <c r="C27" s="66">
        <f t="shared" si="3"/>
        <v>316.17989491125508</v>
      </c>
      <c r="D27" s="66">
        <f t="shared" si="0"/>
        <v>9723.1850327670218</v>
      </c>
      <c r="E27" s="66">
        <f t="shared" si="1"/>
        <v>9407.0051378557673</v>
      </c>
      <c r="F27" s="66">
        <f t="shared" si="2"/>
        <v>9563.7885568195361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>
      <c r="A28" s="2"/>
      <c r="B28" s="62">
        <v>24</v>
      </c>
      <c r="C28" s="63">
        <f t="shared" si="3"/>
        <v>159.39647594699227</v>
      </c>
      <c r="D28" s="63">
        <f t="shared" si="0"/>
        <v>9723.1850327670218</v>
      </c>
      <c r="E28" s="63">
        <f t="shared" si="1"/>
        <v>9563.788556820029</v>
      </c>
      <c r="F28" s="63">
        <f t="shared" si="2"/>
        <v>-4.929461283609271E-10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>
      <c r="A29" s="2"/>
      <c r="B29" s="65">
        <v>25</v>
      </c>
      <c r="C29" s="66">
        <f t="shared" si="3"/>
        <v>-8.2157688060154516E-12</v>
      </c>
      <c r="D29" s="66">
        <f t="shared" si="0"/>
        <v>0</v>
      </c>
      <c r="E29" s="66">
        <f t="shared" si="1"/>
        <v>8.2157688060154516E-12</v>
      </c>
      <c r="F29" s="66">
        <f t="shared" si="2"/>
        <v>-5.0116189716694253E-10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>
      <c r="A30" s="2"/>
      <c r="B30" s="62">
        <v>26</v>
      </c>
      <c r="C30" s="63">
        <f t="shared" si="3"/>
        <v>-8.3526982861157096E-12</v>
      </c>
      <c r="D30" s="63">
        <f t="shared" si="0"/>
        <v>0</v>
      </c>
      <c r="E30" s="63">
        <f t="shared" si="1"/>
        <v>8.3526982861157096E-12</v>
      </c>
      <c r="F30" s="63">
        <f t="shared" si="2"/>
        <v>-5.0951459545305822E-10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>
      <c r="A31" s="2"/>
      <c r="B31" s="65">
        <v>27</v>
      </c>
      <c r="C31" s="66">
        <f t="shared" si="3"/>
        <v>-8.4919099242176385E-12</v>
      </c>
      <c r="D31" s="66">
        <f t="shared" si="0"/>
        <v>0</v>
      </c>
      <c r="E31" s="66">
        <f t="shared" si="1"/>
        <v>8.4919099242176385E-12</v>
      </c>
      <c r="F31" s="66">
        <f t="shared" si="2"/>
        <v>-5.1800650537727583E-10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>
      <c r="A32" s="2"/>
      <c r="B32" s="62">
        <v>28</v>
      </c>
      <c r="C32" s="63">
        <f t="shared" si="3"/>
        <v>-8.6334417562879312E-12</v>
      </c>
      <c r="D32" s="63">
        <f t="shared" si="0"/>
        <v>0</v>
      </c>
      <c r="E32" s="63">
        <f t="shared" si="1"/>
        <v>8.6334417562879312E-12</v>
      </c>
      <c r="F32" s="63">
        <f t="shared" si="2"/>
        <v>-5.2663994713356372E-10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>
      <c r="A33" s="2"/>
      <c r="B33" s="65">
        <v>29</v>
      </c>
      <c r="C33" s="66">
        <f t="shared" si="3"/>
        <v>-8.7773324522260633E-12</v>
      </c>
      <c r="D33" s="66">
        <f t="shared" si="0"/>
        <v>0</v>
      </c>
      <c r="E33" s="66">
        <f t="shared" si="1"/>
        <v>8.7773324522260633E-12</v>
      </c>
      <c r="F33" s="66">
        <f t="shared" si="2"/>
        <v>-5.354172795857898E-10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>
      <c r="A34" s="2"/>
      <c r="B34" s="62">
        <v>30</v>
      </c>
      <c r="C34" s="63">
        <f t="shared" si="3"/>
        <v>-8.9236213264298308E-12</v>
      </c>
      <c r="D34" s="63">
        <f t="shared" si="0"/>
        <v>0</v>
      </c>
      <c r="E34" s="63">
        <f t="shared" si="1"/>
        <v>8.9236213264298308E-12</v>
      </c>
      <c r="F34" s="63">
        <f t="shared" si="2"/>
        <v>-5.4434090091221962E-10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>
      <c r="A35" s="2"/>
      <c r="B35" s="65">
        <v>31</v>
      </c>
      <c r="C35" s="66">
        <f t="shared" si="3"/>
        <v>-9.0723483485369946E-12</v>
      </c>
      <c r="D35" s="66">
        <f t="shared" si="0"/>
        <v>0</v>
      </c>
      <c r="E35" s="66">
        <f t="shared" si="1"/>
        <v>9.0723483485369946E-12</v>
      </c>
      <c r="F35" s="66">
        <f t="shared" si="2"/>
        <v>-5.534132492607566E-10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>
      <c r="A36" s="2"/>
      <c r="B36" s="62">
        <v>32</v>
      </c>
      <c r="C36" s="63">
        <f t="shared" si="3"/>
        <v>-9.2235541543459437E-12</v>
      </c>
      <c r="D36" s="63">
        <f t="shared" si="0"/>
        <v>0</v>
      </c>
      <c r="E36" s="63">
        <f t="shared" si="1"/>
        <v>9.2235541543459437E-12</v>
      </c>
      <c r="F36" s="63">
        <f t="shared" si="2"/>
        <v>-5.6263680341510258E-10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>
      <c r="A37" s="2"/>
      <c r="B37" s="65">
        <v>33</v>
      </c>
      <c r="C37" s="66">
        <f t="shared" si="3"/>
        <v>-9.3772800569183765E-12</v>
      </c>
      <c r="D37" s="66">
        <f t="shared" si="0"/>
        <v>0</v>
      </c>
      <c r="E37" s="66">
        <f t="shared" si="1"/>
        <v>9.3772800569183765E-12</v>
      </c>
      <c r="F37" s="66">
        <f t="shared" si="2"/>
        <v>-5.7201408347202098E-10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>
      <c r="A38" s="2"/>
      <c r="B38" s="62">
        <v>34</v>
      </c>
      <c r="C38" s="63">
        <f t="shared" si="3"/>
        <v>-9.5335680578670174E-12</v>
      </c>
      <c r="D38" s="63">
        <f t="shared" si="0"/>
        <v>0</v>
      </c>
      <c r="E38" s="63">
        <f t="shared" si="1"/>
        <v>9.5335680578670174E-12</v>
      </c>
      <c r="F38" s="63">
        <f t="shared" si="2"/>
        <v>-5.8154765152988802E-10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>
      <c r="A39" s="2"/>
      <c r="B39" s="65">
        <v>35</v>
      </c>
      <c r="C39" s="66">
        <f t="shared" si="3"/>
        <v>-9.6924608588314679E-12</v>
      </c>
      <c r="D39" s="66">
        <f t="shared" si="0"/>
        <v>0</v>
      </c>
      <c r="E39" s="66">
        <f t="shared" si="1"/>
        <v>9.6924608588314679E-12</v>
      </c>
      <c r="F39" s="66">
        <f t="shared" si="2"/>
        <v>-5.9124011238871945E-10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>
      <c r="A40" s="2"/>
      <c r="B40" s="62">
        <v>36</v>
      </c>
      <c r="C40" s="63">
        <f t="shared" si="3"/>
        <v>-9.8540018731453246E-12</v>
      </c>
      <c r="D40" s="63">
        <f t="shared" si="0"/>
        <v>0</v>
      </c>
      <c r="E40" s="63">
        <f t="shared" si="1"/>
        <v>9.8540018731453246E-12</v>
      </c>
      <c r="F40" s="63">
        <f>F39-E40</f>
        <v>-6.0109411426186473E-10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1:6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1:6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1:6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1:6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1:6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1:6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1: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1:6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1:6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1:6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1:6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1:6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1:6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1:6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1:6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1:6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1:6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1:6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1:6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1:6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1:6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1:6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1:6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1:6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1:6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1:6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1:6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1:6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1:6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1:6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1:6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1:6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1:6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1:6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1:6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1:6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1:6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1:6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1:6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1:6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1:6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1:6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1:6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1:6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1:6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1:6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1:6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1:6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1:6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1:6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1:6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1:6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1:6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1:6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1:6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1:6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1:6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1:6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1:6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1:6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1:6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1:6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1:6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1:6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1:6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1:6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1:6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1:6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1:6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1:6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1:6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1:6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1:6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1: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1:6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1:6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1:6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1:6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1:6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1:6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1:6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1:6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1:6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1:6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1:6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1:6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1:6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1:6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1:6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1:6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1:6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1:6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1:6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1:6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1:6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1:6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1:6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1:6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1:6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1:6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1:6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1:6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1:6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1:6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1:6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1:6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1:6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1:6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1:6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1:6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1:6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1:6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1:6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1:6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1:6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1:6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1:6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1:6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1:6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1:6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1:6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1:6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1:6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1:6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1:6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1:6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1:6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1:6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1:6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1:6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1:6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1:6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1:6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1:6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1:6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1:6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1:6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1:6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1:6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1:6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1:6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1:6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1:6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1:6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1:6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1:6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1:6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1:6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1:6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1:6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1:6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1:6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1:6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1:6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1:6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1:6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1:6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1:6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1:6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1:6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1:6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1:6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1:6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1:6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1:6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1:6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1:6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1:6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1:6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1:6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1:6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1:6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1:6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1: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1:6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1:6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1:6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1:6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1:6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1:6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1:6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1:6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1:6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1:6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1:6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1:6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1:6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1:6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1:6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1:6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1:6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1:6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1:6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1:6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1:6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1:6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1:6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1:6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1:6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1:6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1:6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1:6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1:6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1:6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1:6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1:6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1:6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1:6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1:6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1:6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1:6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6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6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6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6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6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6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</sheetData>
  <mergeCells count="2">
    <mergeCell ref="C2:E2"/>
    <mergeCell ref="J7:K7"/>
  </mergeCells>
  <conditionalFormatting sqref="K8">
    <cfRule type="colorScale" priority="1">
      <colorScale>
        <cfvo type="min"/>
        <cfvo type="max"/>
        <color rgb="FF00B050"/>
        <color rgb="FF00B050"/>
      </colorScale>
    </cfRule>
    <cfRule type="cellIs" dxfId="1" priority="3" operator="equal">
      <formula>19445</formula>
    </cfRule>
  </conditionalFormatting>
  <conditionalFormatting sqref="J8:K8 J6">
    <cfRule type="cellIs" dxfId="0" priority="2" operator="equal">
      <formula>105243</formula>
    </cfRule>
  </conditionalFormatting>
  <pageMargins left="0.7" right="0.7" top="0.75" bottom="0.75" header="0.3" footer="0.3"/>
  <pageSetup scale="77" fitToHeight="0" orientation="landscape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7EA9-BA92-41F1-ACD6-ECE2BF3467EB}">
  <sheetPr>
    <pageSetUpPr fitToPage="1"/>
  </sheetPr>
  <dimension ref="A1:J42"/>
  <sheetViews>
    <sheetView topLeftCell="A4" zoomScale="54" workbookViewId="0">
      <selection sqref="A1:J35"/>
    </sheetView>
  </sheetViews>
  <sheetFormatPr defaultColWidth="11.5546875" defaultRowHeight="15"/>
  <cols>
    <col min="1" max="1" width="23.109375" bestFit="1" customWidth="1"/>
    <col min="2" max="2" width="16.6640625" bestFit="1" customWidth="1"/>
    <col min="3" max="3" width="18" customWidth="1"/>
    <col min="4" max="4" width="12.5546875" bestFit="1" customWidth="1"/>
    <col min="5" max="5" width="15.109375" customWidth="1"/>
    <col min="6" max="6" width="14" customWidth="1"/>
    <col min="7" max="7" width="30.44140625" customWidth="1"/>
    <col min="8" max="8" width="15.6640625" customWidth="1"/>
    <col min="9" max="9" width="13.6640625" customWidth="1"/>
    <col min="10" max="10" width="27.6640625" customWidth="1"/>
  </cols>
  <sheetData>
    <row r="1" spans="1:10" ht="21">
      <c r="A1" s="123" t="s">
        <v>173</v>
      </c>
      <c r="B1" s="123"/>
      <c r="C1" s="123"/>
      <c r="D1" s="123"/>
      <c r="E1" s="123"/>
      <c r="F1" s="123"/>
      <c r="G1" s="123"/>
      <c r="H1" s="123"/>
      <c r="I1" s="123"/>
    </row>
    <row r="3" spans="1:10">
      <c r="A3" s="75" t="s">
        <v>174</v>
      </c>
      <c r="B3" s="79"/>
      <c r="C3" s="107"/>
      <c r="D3" s="107"/>
      <c r="E3" s="107"/>
      <c r="F3" s="107"/>
      <c r="G3" s="107"/>
      <c r="H3" s="107"/>
    </row>
    <row r="4" spans="1:10" ht="30">
      <c r="A4" s="76" t="s">
        <v>175</v>
      </c>
      <c r="B4" s="80" t="s">
        <v>176</v>
      </c>
      <c r="C4" s="80" t="s">
        <v>177</v>
      </c>
      <c r="D4" s="80" t="s">
        <v>178</v>
      </c>
      <c r="E4" s="80" t="s">
        <v>179</v>
      </c>
      <c r="F4" s="80" t="s">
        <v>180</v>
      </c>
      <c r="G4" s="80" t="s">
        <v>181</v>
      </c>
      <c r="H4" s="80" t="s">
        <v>182</v>
      </c>
      <c r="I4" s="76" t="s">
        <v>183</v>
      </c>
      <c r="J4" s="96" t="s">
        <v>184</v>
      </c>
    </row>
    <row r="5" spans="1:10" ht="15.75">
      <c r="A5" s="125" t="s">
        <v>185</v>
      </c>
      <c r="B5" s="282" t="s">
        <v>66</v>
      </c>
      <c r="C5" s="283"/>
      <c r="D5" s="283"/>
      <c r="E5" s="283"/>
      <c r="F5" s="283"/>
      <c r="G5" s="283"/>
      <c r="H5" s="284"/>
      <c r="I5" s="77">
        <f>SUM(I6:I9)</f>
        <v>1080</v>
      </c>
      <c r="J5" s="89">
        <f>I5/12</f>
        <v>90</v>
      </c>
    </row>
    <row r="6" spans="1:10">
      <c r="A6" s="125"/>
      <c r="B6" s="84" t="s">
        <v>186</v>
      </c>
      <c r="C6" s="84">
        <v>10</v>
      </c>
      <c r="D6" s="84">
        <v>10</v>
      </c>
      <c r="E6" s="84">
        <v>800</v>
      </c>
      <c r="F6" s="84">
        <f>E6/D6</f>
        <v>80</v>
      </c>
      <c r="G6" s="84">
        <f>(E6-F6)/D6</f>
        <v>72</v>
      </c>
      <c r="H6" s="84">
        <v>6</v>
      </c>
      <c r="I6" s="85">
        <f>G6*H6</f>
        <v>432</v>
      </c>
      <c r="J6" s="82"/>
    </row>
    <row r="7" spans="1:10">
      <c r="A7" s="125"/>
      <c r="B7" s="84" t="s">
        <v>187</v>
      </c>
      <c r="C7" s="84">
        <v>10</v>
      </c>
      <c r="D7" s="84">
        <v>10</v>
      </c>
      <c r="E7" s="84">
        <v>1200</v>
      </c>
      <c r="F7" s="84">
        <f>E7/D7</f>
        <v>120</v>
      </c>
      <c r="G7" s="84">
        <f>(E7-F7)/D7</f>
        <v>108</v>
      </c>
      <c r="H7" s="84">
        <v>6</v>
      </c>
      <c r="I7" s="85">
        <f>G7*H7</f>
        <v>648</v>
      </c>
      <c r="J7" s="82"/>
    </row>
    <row r="8" spans="1:10">
      <c r="A8" s="125"/>
      <c r="B8" s="84" t="s">
        <v>188</v>
      </c>
      <c r="C8" s="84">
        <v>10</v>
      </c>
      <c r="D8" s="84">
        <v>10</v>
      </c>
      <c r="E8" s="84">
        <v>1500</v>
      </c>
      <c r="F8" s="84">
        <f>E8/D8</f>
        <v>150</v>
      </c>
      <c r="G8" s="84">
        <f>(E8-F8)/D8</f>
        <v>135</v>
      </c>
      <c r="H8" s="84">
        <v>0</v>
      </c>
      <c r="I8" s="85">
        <f>G8*H8</f>
        <v>0</v>
      </c>
      <c r="J8" s="82"/>
    </row>
    <row r="9" spans="1:10" ht="15.75" customHeight="1">
      <c r="A9" s="125"/>
      <c r="B9" s="86" t="s">
        <v>189</v>
      </c>
      <c r="C9" s="87">
        <v>10</v>
      </c>
      <c r="D9" s="88">
        <v>10</v>
      </c>
      <c r="E9" s="88">
        <v>2100</v>
      </c>
      <c r="F9" s="85">
        <f>E9/D9</f>
        <v>210</v>
      </c>
      <c r="G9" s="85">
        <f>(E9-F9)/D9</f>
        <v>189</v>
      </c>
      <c r="H9" s="88">
        <v>0</v>
      </c>
      <c r="I9" s="85">
        <f>G9*H9</f>
        <v>0</v>
      </c>
      <c r="J9" s="82"/>
    </row>
    <row r="10" spans="1:10" ht="15.75">
      <c r="A10" s="125"/>
      <c r="B10" s="285" t="s">
        <v>71</v>
      </c>
      <c r="C10" s="286"/>
      <c r="D10" s="286"/>
      <c r="E10" s="286"/>
      <c r="F10" s="286"/>
      <c r="G10" s="286"/>
      <c r="H10" s="287"/>
      <c r="I10" s="81">
        <f>SUM(I11:I13)</f>
        <v>25555.555555555555</v>
      </c>
      <c r="J10" s="89">
        <f>I10/12</f>
        <v>2129.6296296296296</v>
      </c>
    </row>
    <row r="11" spans="1:10">
      <c r="A11" s="125"/>
      <c r="B11" s="84" t="s">
        <v>190</v>
      </c>
      <c r="C11" s="84">
        <v>33.299999999999997</v>
      </c>
      <c r="D11" s="84">
        <v>3</v>
      </c>
      <c r="E11" s="84">
        <v>15000</v>
      </c>
      <c r="F11" s="90">
        <f>E11/D11</f>
        <v>5000</v>
      </c>
      <c r="G11" s="90">
        <f>(E11-F11)/D11</f>
        <v>3333.3333333333335</v>
      </c>
      <c r="H11" s="84">
        <v>6</v>
      </c>
      <c r="I11" s="85">
        <f>G11*H11</f>
        <v>20000</v>
      </c>
      <c r="J11" s="82"/>
    </row>
    <row r="12" spans="1:10">
      <c r="A12" s="125"/>
      <c r="B12" s="84" t="s">
        <v>191</v>
      </c>
      <c r="C12" s="84">
        <v>33.299999999999997</v>
      </c>
      <c r="D12" s="84">
        <v>3</v>
      </c>
      <c r="E12" s="84">
        <v>5000</v>
      </c>
      <c r="F12" s="91">
        <f>E12/D12</f>
        <v>1666.6666666666667</v>
      </c>
      <c r="G12" s="91">
        <f>(E12-F12)/D12</f>
        <v>1111.1111111111111</v>
      </c>
      <c r="H12" s="84">
        <v>0</v>
      </c>
      <c r="I12" s="85">
        <f>G12*H12</f>
        <v>0</v>
      </c>
      <c r="J12" s="82"/>
    </row>
    <row r="13" spans="1:10">
      <c r="A13" s="125"/>
      <c r="B13" s="92" t="s">
        <v>192</v>
      </c>
      <c r="C13" s="88">
        <v>33.299999999999997</v>
      </c>
      <c r="D13" s="84">
        <v>3</v>
      </c>
      <c r="E13" s="84">
        <v>25000</v>
      </c>
      <c r="F13" s="90">
        <f>E13/D13</f>
        <v>8333.3333333333339</v>
      </c>
      <c r="G13" s="90">
        <f>(E13-F13)/D13</f>
        <v>5555.5555555555547</v>
      </c>
      <c r="H13" s="84">
        <v>1</v>
      </c>
      <c r="I13" s="91">
        <f>G13*H13</f>
        <v>5555.5555555555547</v>
      </c>
      <c r="J13" s="82"/>
    </row>
    <row r="14" spans="1:10" ht="15.75">
      <c r="A14" s="78"/>
      <c r="B14" s="124" t="s">
        <v>193</v>
      </c>
      <c r="C14" s="124"/>
      <c r="D14" s="124"/>
      <c r="E14" s="124"/>
      <c r="F14" s="124"/>
      <c r="G14" s="124"/>
      <c r="H14" s="124"/>
      <c r="I14" s="99">
        <f>I10+I5</f>
        <v>26635.555555555555</v>
      </c>
      <c r="J14" s="98">
        <f>I14/12</f>
        <v>2219.6296296296296</v>
      </c>
    </row>
    <row r="15" spans="1:10" ht="15.75">
      <c r="A15" s="125" t="s">
        <v>118</v>
      </c>
      <c r="B15" s="282" t="s">
        <v>66</v>
      </c>
      <c r="C15" s="283"/>
      <c r="D15" s="283"/>
      <c r="E15" s="283"/>
      <c r="F15" s="283"/>
      <c r="G15" s="283"/>
      <c r="H15" s="284"/>
      <c r="I15" s="77">
        <f>SUM(I16:I19)</f>
        <v>360</v>
      </c>
      <c r="J15" s="89">
        <f>I15/12</f>
        <v>30</v>
      </c>
    </row>
    <row r="16" spans="1:10">
      <c r="A16" s="125"/>
      <c r="B16" s="84" t="s">
        <v>186</v>
      </c>
      <c r="C16" s="84">
        <v>10</v>
      </c>
      <c r="D16" s="84">
        <v>10</v>
      </c>
      <c r="E16" s="84">
        <v>800</v>
      </c>
      <c r="F16" s="84">
        <f>E16/D16</f>
        <v>80</v>
      </c>
      <c r="G16" s="84">
        <f>(E16-F16)/D16</f>
        <v>72</v>
      </c>
      <c r="H16" s="84">
        <v>2</v>
      </c>
      <c r="I16" s="85">
        <f>G16*H16</f>
        <v>144</v>
      </c>
      <c r="J16" s="82"/>
    </row>
    <row r="17" spans="1:10">
      <c r="A17" s="125"/>
      <c r="B17" s="84" t="s">
        <v>187</v>
      </c>
      <c r="C17" s="84">
        <v>10</v>
      </c>
      <c r="D17" s="84">
        <v>10</v>
      </c>
      <c r="E17" s="84">
        <v>1200</v>
      </c>
      <c r="F17" s="84">
        <f>E17/D17</f>
        <v>120</v>
      </c>
      <c r="G17" s="84">
        <f>(E17-F17)/D17</f>
        <v>108</v>
      </c>
      <c r="H17" s="84">
        <v>2</v>
      </c>
      <c r="I17" s="85">
        <f>G17*H17</f>
        <v>216</v>
      </c>
      <c r="J17" s="82"/>
    </row>
    <row r="18" spans="1:10">
      <c r="A18" s="125"/>
      <c r="B18" s="84" t="s">
        <v>188</v>
      </c>
      <c r="C18" s="84">
        <v>10</v>
      </c>
      <c r="D18" s="84">
        <v>10</v>
      </c>
      <c r="E18" s="84">
        <v>1500</v>
      </c>
      <c r="F18" s="84">
        <f>E18/D18</f>
        <v>150</v>
      </c>
      <c r="G18" s="84">
        <f>(E18-F18)/D18</f>
        <v>135</v>
      </c>
      <c r="H18" s="84">
        <v>0</v>
      </c>
      <c r="I18" s="85">
        <f>G18*H18</f>
        <v>0</v>
      </c>
      <c r="J18" s="82"/>
    </row>
    <row r="19" spans="1:10">
      <c r="A19" s="125"/>
      <c r="B19" s="86" t="s">
        <v>189</v>
      </c>
      <c r="C19" s="93">
        <v>10</v>
      </c>
      <c r="D19" s="84">
        <v>10</v>
      </c>
      <c r="E19" s="85">
        <v>2100</v>
      </c>
      <c r="F19" s="85">
        <f>E19/D19</f>
        <v>210</v>
      </c>
      <c r="G19" s="85">
        <f>(E19-F19)/D19</f>
        <v>189</v>
      </c>
      <c r="H19" s="84">
        <v>0</v>
      </c>
      <c r="I19" s="85">
        <f>G19*H19</f>
        <v>0</v>
      </c>
      <c r="J19" s="82"/>
    </row>
    <row r="20" spans="1:10" ht="15.75">
      <c r="A20" s="125"/>
      <c r="B20" s="285" t="s">
        <v>71</v>
      </c>
      <c r="C20" s="286"/>
      <c r="D20" s="286"/>
      <c r="E20" s="286"/>
      <c r="F20" s="286"/>
      <c r="G20" s="286"/>
      <c r="H20" s="287"/>
      <c r="I20" s="81">
        <f>SUM(I21:I23)</f>
        <v>7777.7777777777783</v>
      </c>
      <c r="J20" s="89">
        <f>I20/12</f>
        <v>648.14814814814815</v>
      </c>
    </row>
    <row r="21" spans="1:10">
      <c r="A21" s="125"/>
      <c r="B21" s="84" t="s">
        <v>190</v>
      </c>
      <c r="C21" s="84">
        <v>33.299999999999997</v>
      </c>
      <c r="D21" s="84">
        <v>3</v>
      </c>
      <c r="E21" s="84">
        <v>15000</v>
      </c>
      <c r="F21" s="91">
        <f>E21/D21</f>
        <v>5000</v>
      </c>
      <c r="G21" s="91">
        <f>(E21-F21)/D21</f>
        <v>3333.3333333333335</v>
      </c>
      <c r="H21" s="84">
        <v>2</v>
      </c>
      <c r="I21" s="91">
        <f>G21*H21</f>
        <v>6666.666666666667</v>
      </c>
      <c r="J21" s="82"/>
    </row>
    <row r="22" spans="1:10">
      <c r="A22" s="125"/>
      <c r="B22" s="84" t="s">
        <v>191</v>
      </c>
      <c r="C22" s="84">
        <v>33.299999999999997</v>
      </c>
      <c r="D22" s="84">
        <v>3</v>
      </c>
      <c r="E22" s="84">
        <v>5000</v>
      </c>
      <c r="F22" s="91">
        <f>E22/D22</f>
        <v>1666.6666666666667</v>
      </c>
      <c r="G22" s="91">
        <f>(E22-F22)/D22</f>
        <v>1111.1111111111111</v>
      </c>
      <c r="H22" s="84">
        <v>1</v>
      </c>
      <c r="I22" s="91">
        <f>G22*H22</f>
        <v>1111.1111111111111</v>
      </c>
      <c r="J22" s="82"/>
    </row>
    <row r="23" spans="1:10">
      <c r="A23" s="125"/>
      <c r="B23" s="92" t="s">
        <v>192</v>
      </c>
      <c r="C23" s="84">
        <v>33.299999999999997</v>
      </c>
      <c r="D23" s="84">
        <v>3</v>
      </c>
      <c r="E23" s="84">
        <v>25000</v>
      </c>
      <c r="F23" s="91">
        <f>E23/D23</f>
        <v>8333.3333333333339</v>
      </c>
      <c r="G23" s="91">
        <f>(E23-F23)/D23</f>
        <v>5555.5555555555547</v>
      </c>
      <c r="H23" s="84">
        <v>0</v>
      </c>
      <c r="I23" s="94">
        <f>G23*H23</f>
        <v>0</v>
      </c>
      <c r="J23" s="82"/>
    </row>
    <row r="24" spans="1:10" ht="15.75">
      <c r="A24" s="78"/>
      <c r="B24" s="124" t="s">
        <v>194</v>
      </c>
      <c r="C24" s="124"/>
      <c r="D24" s="124"/>
      <c r="E24" s="124"/>
      <c r="F24" s="124"/>
      <c r="G24" s="124"/>
      <c r="H24" s="124"/>
      <c r="I24" s="97">
        <f>I20+I15</f>
        <v>8137.7777777777783</v>
      </c>
      <c r="J24" s="98">
        <f>I24/12</f>
        <v>678.14814814814815</v>
      </c>
    </row>
    <row r="25" spans="1:10" ht="15.75">
      <c r="A25" s="125" t="s">
        <v>195</v>
      </c>
      <c r="B25" s="282" t="s">
        <v>66</v>
      </c>
      <c r="C25" s="283"/>
      <c r="D25" s="283"/>
      <c r="E25" s="283"/>
      <c r="F25" s="283"/>
      <c r="G25" s="283"/>
      <c r="H25" s="284"/>
      <c r="I25" s="77">
        <f>+I26+I27+I28+I29</f>
        <v>1224</v>
      </c>
      <c r="J25" s="89">
        <f>I25/12</f>
        <v>102</v>
      </c>
    </row>
    <row r="26" spans="1:10">
      <c r="A26" s="125"/>
      <c r="B26" s="84" t="s">
        <v>186</v>
      </c>
      <c r="C26" s="84">
        <v>10</v>
      </c>
      <c r="D26" s="84">
        <v>10</v>
      </c>
      <c r="E26" s="84">
        <v>800</v>
      </c>
      <c r="F26" s="84">
        <f>E26/D26</f>
        <v>80</v>
      </c>
      <c r="G26" s="84">
        <f>(E26-F26)/D26</f>
        <v>72</v>
      </c>
      <c r="H26" s="84">
        <v>5</v>
      </c>
      <c r="I26" s="85">
        <f>G26*H26</f>
        <v>360</v>
      </c>
      <c r="J26" s="82"/>
    </row>
    <row r="27" spans="1:10">
      <c r="A27" s="125"/>
      <c r="B27" s="84" t="s">
        <v>187</v>
      </c>
      <c r="C27" s="84">
        <v>10</v>
      </c>
      <c r="D27" s="84">
        <v>10</v>
      </c>
      <c r="E27" s="84">
        <v>1200</v>
      </c>
      <c r="F27" s="84">
        <f>E27/D27</f>
        <v>120</v>
      </c>
      <c r="G27" s="84">
        <f>(E27-F27)/D27</f>
        <v>108</v>
      </c>
      <c r="H27" s="84">
        <v>5</v>
      </c>
      <c r="I27" s="85">
        <f>G27*H27</f>
        <v>540</v>
      </c>
      <c r="J27" s="82"/>
    </row>
    <row r="28" spans="1:10">
      <c r="A28" s="125"/>
      <c r="B28" s="84" t="s">
        <v>188</v>
      </c>
      <c r="C28" s="84">
        <v>10</v>
      </c>
      <c r="D28" s="84">
        <v>10</v>
      </c>
      <c r="E28" s="84">
        <v>1500</v>
      </c>
      <c r="F28" s="84">
        <f>E28/D28</f>
        <v>150</v>
      </c>
      <c r="G28" s="84">
        <f>(E28-F28)/D28</f>
        <v>135</v>
      </c>
      <c r="H28" s="84">
        <v>1</v>
      </c>
      <c r="I28" s="85">
        <f>G28*H28</f>
        <v>135</v>
      </c>
      <c r="J28" s="82"/>
    </row>
    <row r="29" spans="1:10">
      <c r="A29" s="125"/>
      <c r="B29" s="86" t="s">
        <v>189</v>
      </c>
      <c r="C29" s="93">
        <v>10</v>
      </c>
      <c r="D29" s="84">
        <v>10</v>
      </c>
      <c r="E29" s="85">
        <v>2100</v>
      </c>
      <c r="F29" s="85">
        <f>E29/D29</f>
        <v>210</v>
      </c>
      <c r="G29" s="85">
        <f>(E29-F29)/D29</f>
        <v>189</v>
      </c>
      <c r="H29" s="84">
        <v>1</v>
      </c>
      <c r="I29" s="85">
        <f>G29*H29</f>
        <v>189</v>
      </c>
      <c r="J29" s="82"/>
    </row>
    <row r="30" spans="1:10" ht="15.75">
      <c r="A30" s="125"/>
      <c r="B30" s="285" t="s">
        <v>71</v>
      </c>
      <c r="C30" s="286"/>
      <c r="D30" s="286"/>
      <c r="E30" s="286"/>
      <c r="F30" s="286"/>
      <c r="G30" s="286"/>
      <c r="H30" s="287"/>
      <c r="I30" s="81">
        <f>+I31+I32+I33</f>
        <v>17777.777777777777</v>
      </c>
      <c r="J30" s="89">
        <f>I30/12</f>
        <v>1481.4814814814815</v>
      </c>
    </row>
    <row r="31" spans="1:10">
      <c r="A31" s="125"/>
      <c r="B31" s="84" t="s">
        <v>190</v>
      </c>
      <c r="C31" s="84">
        <v>33.299999999999997</v>
      </c>
      <c r="D31" s="84">
        <v>3</v>
      </c>
      <c r="E31" s="84">
        <v>15000</v>
      </c>
      <c r="F31" s="91">
        <f>E31/D31</f>
        <v>5000</v>
      </c>
      <c r="G31" s="91">
        <f>(E31-F31)/D31</f>
        <v>3333.3333333333335</v>
      </c>
      <c r="H31" s="84">
        <v>5</v>
      </c>
      <c r="I31" s="91">
        <f>G31*H31</f>
        <v>16666.666666666668</v>
      </c>
      <c r="J31" s="82"/>
    </row>
    <row r="32" spans="1:10">
      <c r="A32" s="125"/>
      <c r="B32" s="84" t="s">
        <v>191</v>
      </c>
      <c r="C32" s="84">
        <v>33.299999999999997</v>
      </c>
      <c r="D32" s="84">
        <v>3</v>
      </c>
      <c r="E32" s="84">
        <v>5000</v>
      </c>
      <c r="F32" s="91">
        <f>E32/D32</f>
        <v>1666.6666666666667</v>
      </c>
      <c r="G32" s="91">
        <f>(E32-F32)/D32</f>
        <v>1111.1111111111111</v>
      </c>
      <c r="H32" s="84">
        <v>1</v>
      </c>
      <c r="I32" s="91">
        <f>G32*H32</f>
        <v>1111.1111111111111</v>
      </c>
      <c r="J32" s="82"/>
    </row>
    <row r="33" spans="1:10">
      <c r="A33" s="125"/>
      <c r="B33" s="92" t="s">
        <v>192</v>
      </c>
      <c r="C33" s="84">
        <v>33.299999999999997</v>
      </c>
      <c r="D33" s="84">
        <v>3</v>
      </c>
      <c r="E33" s="84">
        <v>25000</v>
      </c>
      <c r="F33" s="91">
        <f>E33/D33</f>
        <v>8333.3333333333339</v>
      </c>
      <c r="G33" s="91">
        <f>(E33-F33)/D33</f>
        <v>5555.5555555555547</v>
      </c>
      <c r="H33" s="84">
        <v>0</v>
      </c>
      <c r="I33" s="91">
        <f>G33*H33</f>
        <v>0</v>
      </c>
      <c r="J33" s="82"/>
    </row>
    <row r="34" spans="1:10" ht="15.75">
      <c r="A34" s="78"/>
      <c r="B34" s="124" t="s">
        <v>196</v>
      </c>
      <c r="C34" s="124"/>
      <c r="D34" s="124"/>
      <c r="E34" s="124"/>
      <c r="F34" s="124"/>
      <c r="G34" s="124"/>
      <c r="H34" s="124"/>
      <c r="I34" s="95">
        <f>I30+I25</f>
        <v>19001.777777777777</v>
      </c>
      <c r="J34" s="83">
        <f>I34/12</f>
        <v>1583.4814814814815</v>
      </c>
    </row>
    <row r="35" spans="1:10" ht="15.75">
      <c r="A35" s="75" t="s">
        <v>197</v>
      </c>
      <c r="B35" s="79" t="s">
        <v>198</v>
      </c>
      <c r="C35" s="79"/>
      <c r="D35" s="79"/>
      <c r="E35" s="79"/>
      <c r="F35" s="126" t="s">
        <v>199</v>
      </c>
      <c r="G35" s="126"/>
      <c r="H35" s="126"/>
      <c r="I35" s="100">
        <f>I34+I24+I14</f>
        <v>53775.111111111109</v>
      </c>
      <c r="J35" s="101">
        <f>I35/12</f>
        <v>4481.2592592592591</v>
      </c>
    </row>
    <row r="36" spans="1:10">
      <c r="B36" s="107"/>
      <c r="C36" s="107"/>
      <c r="D36" s="107"/>
      <c r="E36" s="107"/>
      <c r="F36" s="107"/>
      <c r="G36" s="107"/>
      <c r="H36" s="107"/>
    </row>
    <row r="37" spans="1:10">
      <c r="B37" s="107"/>
      <c r="C37" s="107"/>
      <c r="D37" s="107"/>
      <c r="E37" s="107"/>
      <c r="F37" s="107"/>
      <c r="G37" s="107"/>
      <c r="H37" s="107"/>
    </row>
    <row r="38" spans="1:10">
      <c r="B38" s="107"/>
      <c r="C38" s="107"/>
      <c r="D38" s="107"/>
      <c r="E38" s="107"/>
      <c r="F38" s="107"/>
      <c r="G38" s="107"/>
      <c r="H38" s="107"/>
    </row>
    <row r="39" spans="1:10">
      <c r="B39" s="107"/>
      <c r="C39" s="107"/>
      <c r="D39" s="107"/>
      <c r="E39" s="107"/>
      <c r="F39" s="107"/>
      <c r="G39" s="107"/>
      <c r="H39" s="107"/>
    </row>
    <row r="40" spans="1:10">
      <c r="B40" s="107"/>
      <c r="C40" s="107"/>
      <c r="D40" s="107"/>
      <c r="E40" s="107"/>
      <c r="F40" s="107"/>
      <c r="G40" s="107"/>
      <c r="H40" s="107"/>
    </row>
    <row r="41" spans="1:10">
      <c r="B41" s="107"/>
      <c r="C41" s="107"/>
      <c r="D41" s="107"/>
      <c r="E41" s="107"/>
      <c r="F41" s="107"/>
      <c r="G41" s="107"/>
      <c r="H41" s="107"/>
    </row>
    <row r="42" spans="1:10">
      <c r="B42" s="107"/>
      <c r="C42" s="107"/>
      <c r="D42" s="107"/>
      <c r="E42" s="107"/>
      <c r="F42" s="107"/>
      <c r="G42" s="107"/>
      <c r="H42" s="107"/>
    </row>
  </sheetData>
  <mergeCells count="14">
    <mergeCell ref="A15:A23"/>
    <mergeCell ref="A25:A33"/>
    <mergeCell ref="F35:H35"/>
    <mergeCell ref="B15:H15"/>
    <mergeCell ref="B20:H20"/>
    <mergeCell ref="B25:H25"/>
    <mergeCell ref="B30:H30"/>
    <mergeCell ref="B24:H24"/>
    <mergeCell ref="B34:H34"/>
    <mergeCell ref="A1:I1"/>
    <mergeCell ref="B5:H5"/>
    <mergeCell ref="B10:H10"/>
    <mergeCell ref="B14:H14"/>
    <mergeCell ref="A5:A13"/>
  </mergeCells>
  <pageMargins left="0.7" right="0.7" top="0.75" bottom="0.75" header="0.3" footer="0.3"/>
  <pageSetup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Garcia</dc:creator>
  <cp:keywords/>
  <dc:description/>
  <cp:lastModifiedBy>Oscar RH</cp:lastModifiedBy>
  <cp:revision/>
  <dcterms:created xsi:type="dcterms:W3CDTF">2019-10-24T12:18:31Z</dcterms:created>
  <dcterms:modified xsi:type="dcterms:W3CDTF">2019-11-04T13:57:18Z</dcterms:modified>
  <cp:category/>
  <cp:contentStatus/>
</cp:coreProperties>
</file>