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EmilGulinski\Desktop\"/>
    </mc:Choice>
  </mc:AlternateContent>
  <xr:revisionPtr revIDLastSave="0" documentId="13_ncr:1_{02C324D5-6923-46B2-8200-A207D271FE02}" xr6:coauthVersionLast="47" xr6:coauthVersionMax="47" xr10:uidLastSave="{00000000-0000-0000-0000-000000000000}"/>
  <bookViews>
    <workbookView xWindow="-110" yWindow="-110" windowWidth="25820" windowHeight="15500" firstSheet="12" activeTab="18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</sheets>
  <definedNames>
    <definedName name="_xlnm._FilterDatabase" localSheetId="7" hidden="1">'INDEX MATCH Master Emp List'!$A$1:$I$38</definedName>
    <definedName name="_xlnm._FilterDatabase" localSheetId="18" hidden="1">Macro!$A$1:$I$37</definedName>
    <definedName name="_xlnm._FilterDatabase" localSheetId="3" hidden="1">'Master Emp List'!$B$1:$I$38</definedName>
    <definedName name="_xlnm._FilterDatabase" localSheetId="1" hidden="1">'SUMIF Function'!$A$2:$E$272</definedName>
    <definedName name="Goal">'IF Function'!$I$2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Totals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8" l="1"/>
  <c r="D3" i="31"/>
  <c r="H5" i="25"/>
  <c r="B2" i="24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C3" i="24"/>
  <c r="C4" i="24"/>
  <c r="C5" i="24"/>
  <c r="C6" i="24"/>
  <c r="C2" i="24"/>
  <c r="B3" i="24"/>
  <c r="B4" i="24"/>
  <c r="B5" i="24"/>
  <c r="B6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B6" i="22"/>
  <c r="B7" i="22"/>
  <c r="B5" i="22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F4" i="34"/>
  <c r="C4" i="34"/>
  <c r="F5" i="34"/>
  <c r="F6" i="34"/>
  <c r="F7" i="34"/>
  <c r="F8" i="34"/>
  <c r="F9" i="34"/>
  <c r="D5" i="34"/>
  <c r="D6" i="34"/>
  <c r="D7" i="34"/>
  <c r="D8" i="34"/>
  <c r="D9" i="34"/>
  <c r="D4" i="34"/>
  <c r="I5" i="17"/>
  <c r="H5" i="17"/>
  <c r="I3" i="17"/>
  <c r="H3" i="17"/>
  <c r="F12" i="4"/>
  <c r="I6" i="4"/>
  <c r="I7" i="4"/>
  <c r="I8" i="4"/>
  <c r="I9" i="4"/>
  <c r="I5" i="4"/>
  <c r="H6" i="4"/>
  <c r="H7" i="4"/>
  <c r="H8" i="4"/>
  <c r="H9" i="4"/>
  <c r="H5" i="4"/>
  <c r="E10" i="4"/>
  <c r="D10" i="4"/>
  <c r="C10" i="4"/>
  <c r="F10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H8" i="30" l="1"/>
  <c r="F6" i="29"/>
  <c r="G6" i="29" s="1"/>
  <c r="D7" i="29"/>
  <c r="E4" i="29"/>
  <c r="F4" i="29" s="1"/>
  <c r="F5" i="29"/>
  <c r="G5" i="29" s="1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F6" i="25"/>
  <c r="H6" i="25" s="1"/>
  <c r="I6" i="25" s="1"/>
  <c r="F5" i="25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I7" i="25" l="1"/>
  <c r="F14" i="25"/>
  <c r="F7" i="29"/>
  <c r="F10" i="25"/>
  <c r="B2" i="27" s="1"/>
  <c r="G3" i="29"/>
  <c r="E7" i="29"/>
  <c r="G4" i="29"/>
  <c r="F10" i="26"/>
  <c r="F12" i="26" s="1"/>
  <c r="H5" i="26"/>
  <c r="I5" i="25"/>
  <c r="F12" i="25" l="1"/>
  <c r="G7" i="29"/>
  <c r="F14" i="26"/>
  <c r="I5" i="26"/>
</calcChain>
</file>

<file path=xl/sharedStrings.xml><?xml version="1.0" encoding="utf-8"?>
<sst xmlns="http://schemas.openxmlformats.org/spreadsheetml/2006/main" count="1342" uniqueCount="285">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</sst>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  <numFmt numFmtId="173" formatCode="[$$-409]#,##0.00"/>
    <numFmt numFmtId="174" formatCode="d\-m\-yyyy;@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43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Border="1" applyAlignment="1">
      <alignment horizontal="center" vertical="center" wrapText="1"/>
    </xf>
    <xf numFmtId="170" fontId="6" fillId="0" borderId="1" xfId="5" applyNumberFormat="1" applyBorder="1" applyAlignment="1">
      <alignment horizontal="center" vertical="center" wrapText="1"/>
    </xf>
    <xf numFmtId="166" fontId="0" fillId="0" borderId="0" xfId="1" applyFont="1"/>
    <xf numFmtId="0" fontId="6" fillId="0" borderId="4" xfId="5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Border="1" applyAlignment="1">
      <alignment horizontal="left" wrapText="1"/>
    </xf>
    <xf numFmtId="0" fontId="6" fillId="0" borderId="3" xfId="6" applyBorder="1" applyAlignment="1">
      <alignment horizontal="left"/>
    </xf>
    <xf numFmtId="171" fontId="6" fillId="0" borderId="3" xfId="6" applyNumberFormat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Alignment="1">
      <alignment horizontal="center"/>
    </xf>
    <xf numFmtId="171" fontId="6" fillId="0" borderId="0" xfId="6" applyNumberFormat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Border="1"/>
    <xf numFmtId="0" fontId="13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/>
    <xf numFmtId="1" fontId="2" fillId="0" borderId="0" xfId="9" applyNumberFormat="1" applyFont="1"/>
    <xf numFmtId="1" fontId="2" fillId="0" borderId="3" xfId="1" applyNumberFormat="1" applyFont="1" applyFill="1" applyBorder="1" applyAlignment="1"/>
    <xf numFmtId="1" fontId="2" fillId="0" borderId="3" xfId="9" applyNumberFormat="1" applyFont="1" applyBorder="1"/>
    <xf numFmtId="1" fontId="1" fillId="0" borderId="3" xfId="9" applyNumberFormat="1" applyBorder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Border="1"/>
    <xf numFmtId="1" fontId="1" fillId="0" borderId="0" xfId="9" applyNumberForma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ill="1" applyBorder="1" applyAlignment="1">
      <alignment horizontal="center"/>
    </xf>
    <xf numFmtId="0" fontId="1" fillId="9" borderId="3" xfId="9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ill="1" applyBorder="1" applyAlignment="1">
      <alignment horizontal="center"/>
    </xf>
    <xf numFmtId="0" fontId="1" fillId="11" borderId="3" xfId="9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0" fontId="17" fillId="8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173" fontId="0" fillId="0" borderId="0" xfId="8" applyNumberFormat="1" applyFont="1"/>
    <xf numFmtId="174" fontId="6" fillId="0" borderId="1" xfId="5" applyNumberFormat="1" applyBorder="1" applyAlignment="1">
      <alignment horizontal="center" vertical="center" wrapText="1"/>
    </xf>
    <xf numFmtId="0" fontId="0" fillId="0" borderId="0" xfId="8" applyNumberFormat="1" applyFont="1"/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450850</xdr:colOff>
          <xdr:row>3</xdr:row>
          <xdr:rowOff>19050</xdr:rowOff>
        </xdr:from>
        <xdr:to>
          <xdr:col>15</xdr:col>
          <xdr:colOff>368300</xdr:colOff>
          <xdr:row>10</xdr:row>
          <xdr:rowOff>146050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12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73152" tIns="54864" rIns="73152" bIns="54864" anchor="ctr" upright="1"/>
            <a:lstStyle/>
            <a:p>
              <a:pPr algn="ctr" rtl="0">
                <a:defRPr sz="1000"/>
              </a:pPr>
              <a:r>
                <a:rPr lang="pl-P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Table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"/>
  <sheetViews>
    <sheetView showGridLines="0" zoomScale="145" zoomScaleNormal="145" workbookViewId="0">
      <selection activeCell="E14" sqref="E14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3" t="s">
        <v>280</v>
      </c>
      <c r="B2" s="133"/>
      <c r="C2" s="133"/>
      <c r="D2" s="133"/>
      <c r="E2" s="133"/>
      <c r="F2" s="133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IF(AND(H5="YES",MIN(B5:E5)&gt;=8000),"BONUS","NO BONUS")</f>
        <v>BONUS</v>
      </c>
    </row>
    <row r="6" spans="1:9" ht="15.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IF(AND(H6="YES",MIN(B6:E6)&gt;=8000),"BONUS","NO BONUS")</f>
        <v>NO BONUS</v>
      </c>
    </row>
    <row r="7" spans="1:9" ht="15.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5.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6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4">
      <c r="A10" s="48" t="s">
        <v>223</v>
      </c>
      <c r="B10" s="53">
        <f>SUM(Week_1)</f>
        <v>40402</v>
      </c>
      <c r="C10" s="53">
        <f>SUM(Week_2)</f>
        <v>42555</v>
      </c>
      <c r="D10" s="53">
        <f>SUM(Week_3)</f>
        <v>46630</v>
      </c>
      <c r="E10" s="53">
        <f>SUM(Week_4)</f>
        <v>46624</v>
      </c>
      <c r="F10" s="53">
        <f>SUM(Totals)</f>
        <v>176211</v>
      </c>
    </row>
    <row r="11" spans="1:9" ht="14">
      <c r="A11" s="49"/>
    </row>
    <row r="12" spans="1:9" ht="16.5" customHeight="1">
      <c r="A12" s="130" t="s">
        <v>13</v>
      </c>
      <c r="B12" s="131"/>
      <c r="C12" s="131"/>
      <c r="D12" s="131"/>
      <c r="E12" s="132"/>
      <c r="F12" s="3">
        <f>COUNTIF(H5:H9,"YES")</f>
        <v>3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  <ignoredErrors>
    <ignoredError sqref="C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96" zoomScaleNormal="96" workbookViewId="0">
      <selection activeCell="I5" sqref="I5"/>
    </sheetView>
  </sheetViews>
  <sheetFormatPr defaultColWidth="9.1796875" defaultRowHeight="12.5"/>
  <cols>
    <col min="1" max="1" width="13.26953125" style="18" bestFit="1" customWidth="1"/>
    <col min="2" max="2" width="14.54296875" style="18" bestFit="1" customWidth="1"/>
    <col min="3" max="3" width="12" style="18" customWidth="1"/>
    <col min="4" max="4" width="12.54296875" style="18" bestFit="1" customWidth="1"/>
    <col min="5" max="5" width="12.1796875" style="18" bestFit="1" customWidth="1"/>
    <col min="6" max="6" width="9.1796875" style="18"/>
    <col min="7" max="7" width="13.7265625" style="18" customWidth="1"/>
    <col min="8" max="9" width="12.7265625" style="18" bestFit="1" customWidth="1"/>
    <col min="10" max="16384" width="9.1796875" style="18"/>
  </cols>
  <sheetData>
    <row r="2" spans="1:9" ht="15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3000</v>
      </c>
      <c r="H3" s="26">
        <f>SUMIF(B3:B272,G3,E3:E272)</f>
        <v>17538</v>
      </c>
      <c r="I3" s="27">
        <f>SUMIF(B3:B272,G3,D3:D272)</f>
        <v>491064</v>
      </c>
    </row>
    <row r="4" spans="1:9" ht="13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>
        <f>SUMIF(C3:C272,G5,E3:E272)</f>
        <v>7357</v>
      </c>
      <c r="I5" s="27">
        <f>SUMIF(C3:C272,G5,D3:D272)</f>
        <v>205996</v>
      </c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30" zoomScaleNormal="130" workbookViewId="0">
      <selection activeCell="C3" sqref="C3:F18"/>
    </sheetView>
  </sheetViews>
  <sheetFormatPr defaultRowHeight="12.5"/>
  <cols>
    <col min="1" max="1" width="3.453125" customWidth="1"/>
    <col min="2" max="3" width="13.81640625" customWidth="1"/>
    <col min="4" max="4" width="18.54296875" customWidth="1"/>
    <col min="5" max="5" width="15.6328125" customWidth="1"/>
    <col min="6" max="6" width="13.81640625" customWidth="1"/>
    <col min="7" max="7" width="3.1796875" customWidth="1"/>
  </cols>
  <sheetData>
    <row r="1" spans="2:7" ht="13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0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6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6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6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6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6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6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6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6"/>
    </row>
    <row r="11" spans="2:7">
      <c r="B11" s="10">
        <v>1333</v>
      </c>
      <c r="C11" s="11" t="str">
        <f>INDEX('Master Emp List'!$A$1:$I$38,MATCH($B11,'Master Emp List'!$A$1:$A$38,0),MATCH(C$2,'Master Emp List'!$A$1:$I$1,0))</f>
        <v>Tadeuz</v>
      </c>
      <c r="D11" s="11" t="str">
        <f>INDEX('Master Emp List'!$A$1:$I$38,MATCH($B11,'Master Emp List'!$A$1:$A$38,0),MATCH(D$2,'Master Emp List'!$A$1:$I$1,0))</f>
        <v>Szcznyck</v>
      </c>
      <c r="E11" s="11" t="str">
        <f>INDEX('Master Emp List'!$A$1:$I$38,MATCH($B11,'Master Emp List'!$A$1:$A$38,0),MATCH(E$2,'Master Emp List'!$A$1:$I$1,0))</f>
        <v>HR</v>
      </c>
      <c r="F11" s="11">
        <f>INDEX('Master Emp List'!$A$1:$I$38,MATCH($B11,'Master Emp List'!$A$1:$A$38,0),MATCH(F$2,'Master Emp List'!$A$1:$I$1,0))</f>
        <v>10.15</v>
      </c>
      <c r="G11" s="66"/>
    </row>
    <row r="12" spans="2:7">
      <c r="B12" s="10">
        <v>1290</v>
      </c>
      <c r="C12" s="11" t="str">
        <f>INDEX('Master Emp List'!$A$1:$I$38,MATCH($B12,'Master Emp List'!$A$1:$A$38,0),MATCH(C$2,'Master Emp List'!$A$1:$I$1,0))</f>
        <v>Linda</v>
      </c>
      <c r="D12" s="11" t="str">
        <f>INDEX('Master Emp List'!$A$1:$I$38,MATCH($B12,'Master Emp List'!$A$1:$A$38,0),MATCH(D$2,'Master Emp List'!$A$1:$I$1,0))</f>
        <v>Cooper</v>
      </c>
      <c r="E12" s="11" t="str">
        <f>INDEX('Master Emp List'!$A$1:$I$38,MATCH($B12,'Master Emp List'!$A$1:$A$38,0),MATCH(E$2,'Master Emp List'!$A$1:$I$1,0))</f>
        <v>AD</v>
      </c>
      <c r="F12" s="11">
        <f>INDEX('Master Emp List'!$A$1:$I$38,MATCH($B12,'Master Emp List'!$A$1:$A$38,0),MATCH(F$2,'Master Emp List'!$A$1:$I$1,0))</f>
        <v>13.25</v>
      </c>
      <c r="G12" s="66"/>
    </row>
    <row r="13" spans="2:7">
      <c r="B13" s="10">
        <v>1656</v>
      </c>
      <c r="C13" s="11" t="str">
        <f>INDEX('Master Emp List'!$A$1:$I$38,MATCH($B13,'Master Emp List'!$A$1:$A$38,0),MATCH(C$2,'Master Emp List'!$A$1:$I$1,0))</f>
        <v>Theo</v>
      </c>
      <c r="D13" s="11" t="str">
        <f>INDEX('Master Emp List'!$A$1:$I$38,MATCH($B13,'Master Emp List'!$A$1:$A$38,0),MATCH(D$2,'Master Emp List'!$A$1:$I$1,0))</f>
        <v>Kourios</v>
      </c>
      <c r="E13" s="11" t="str">
        <f>INDEX('Master Emp List'!$A$1:$I$38,MATCH($B13,'Master Emp List'!$A$1:$A$38,0),MATCH(E$2,'Master Emp List'!$A$1:$I$1,0))</f>
        <v>MF</v>
      </c>
      <c r="F13" s="11">
        <f>INDEX('Master Emp List'!$A$1:$I$38,MATCH($B13,'Master Emp List'!$A$1:$A$38,0),MATCH(F$2,'Master Emp List'!$A$1:$I$1,0))</f>
        <v>12.35</v>
      </c>
      <c r="G13" s="66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6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6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6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6"/>
    </row>
    <row r="18" spans="2:7" ht="13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zoomScale="115" zoomScaleNormal="115" workbookViewId="0">
      <selection activeCell="C2" sqref="C2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8" sqref="B8"/>
    </sheetView>
  </sheetViews>
  <sheetFormatPr defaultColWidth="9.1796875" defaultRowHeight="12.5"/>
  <cols>
    <col min="1" max="1" width="30.1796875" style="54" bestFit="1" customWidth="1"/>
    <col min="2" max="2" width="18.7265625" style="54" customWidth="1"/>
    <col min="3" max="3" width="16.81640625" style="54" customWidth="1"/>
    <col min="4" max="4" width="8.1796875" style="54" customWidth="1"/>
    <col min="5" max="5" width="7.26953125" style="54" customWidth="1"/>
    <col min="6" max="6" width="10.54296875" style="54" bestFit="1" customWidth="1"/>
    <col min="7" max="7" width="12.7265625" style="54" bestFit="1" customWidth="1"/>
    <col min="8" max="16384" width="9.1796875" style="54"/>
  </cols>
  <sheetData>
    <row r="1" spans="1:2" ht="13" thickBot="1"/>
    <row r="2" spans="1:2" ht="22.5" customHeight="1" thickBot="1">
      <c r="A2" s="134" t="s">
        <v>231</v>
      </c>
      <c r="B2" s="135"/>
    </row>
    <row r="3" spans="1:2" ht="16.5" thickTop="1" thickBot="1">
      <c r="A3" s="60" t="s">
        <v>230</v>
      </c>
      <c r="B3" s="59" t="s">
        <v>226</v>
      </c>
    </row>
    <row r="4" spans="1:2" ht="7.5" customHeight="1" thickTop="1">
      <c r="A4" s="58"/>
      <c r="B4" s="57"/>
    </row>
    <row r="5" spans="1:2" ht="13">
      <c r="A5" s="61" t="s">
        <v>229</v>
      </c>
      <c r="B5" s="56">
        <f>HLOOKUP($B$3,'Master Inventory List'!$A$2:$G$5,MATCH(LEFT('HLOOKUP Function'!$A5,11),'Master Inventory List'!$A$2:$A$5,0),FALSE)</f>
        <v>150</v>
      </c>
    </row>
    <row r="6" spans="1:2" ht="13">
      <c r="A6" s="61" t="s">
        <v>228</v>
      </c>
      <c r="B6" s="56">
        <f>HLOOKUP($B$3,'Master Inventory List'!$A$2:$G$5,MATCH(LEFT('HLOOKUP Function'!$A6,11),'Master Inventory List'!$A$2:$A$5,0),FALSE)</f>
        <v>110</v>
      </c>
    </row>
    <row r="7" spans="1:2" ht="13.5" thickBot="1">
      <c r="A7" s="62" t="s">
        <v>227</v>
      </c>
      <c r="B7" s="56">
        <f>HLOOKUP($B$3,'Master Inventory List'!$A$2:$G$5,MATCH(LEFT('HLOOKUP Function'!$A7,11),'Master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83" zoomScaleNormal="83" workbookViewId="0">
      <selection activeCell="F14" sqref="F14"/>
    </sheetView>
  </sheetViews>
  <sheetFormatPr defaultColWidth="9.1796875" defaultRowHeight="12.5"/>
  <cols>
    <col min="1" max="1" width="14.81640625" style="54" customWidth="1"/>
    <col min="2" max="16384" width="9.1796875" style="54"/>
  </cols>
  <sheetData>
    <row r="2" spans="1:7" ht="13">
      <c r="A2" s="63" t="s">
        <v>238</v>
      </c>
      <c r="B2" s="64" t="s">
        <v>224</v>
      </c>
      <c r="C2" s="64" t="s">
        <v>226</v>
      </c>
      <c r="D2" s="64" t="s">
        <v>237</v>
      </c>
      <c r="E2" s="64" t="s">
        <v>236</v>
      </c>
      <c r="F2" s="64" t="s">
        <v>235</v>
      </c>
      <c r="G2" s="64" t="s">
        <v>225</v>
      </c>
    </row>
    <row r="3" spans="1:7" ht="13">
      <c r="A3" s="65" t="s">
        <v>234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 ht="13">
      <c r="A4" s="65" t="s">
        <v>233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 ht="13">
      <c r="A5" s="65" t="s">
        <v>232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F19"/>
  <sheetViews>
    <sheetView zoomScale="130" zoomScaleNormal="130" workbookViewId="0">
      <selection activeCell="F5" sqref="F5"/>
    </sheetView>
  </sheetViews>
  <sheetFormatPr defaultRowHeight="12.5"/>
  <cols>
    <col min="1" max="1" width="3.1796875" customWidth="1"/>
    <col min="2" max="2" width="10" customWidth="1"/>
    <col min="3" max="3" width="16" customWidth="1"/>
    <col min="4" max="4" width="19" bestFit="1" customWidth="1"/>
    <col min="5" max="5" width="5.1796875" customWidth="1"/>
    <col min="6" max="6" width="31.7265625" customWidth="1"/>
  </cols>
  <sheetData>
    <row r="2" spans="2:6" ht="41.25" customHeight="1" thickBot="1">
      <c r="C2" s="116" t="s">
        <v>281</v>
      </c>
      <c r="D2" s="119" t="s">
        <v>282</v>
      </c>
    </row>
    <row r="3" spans="2:6" ht="14">
      <c r="B3" s="115" t="s">
        <v>283</v>
      </c>
      <c r="C3" s="117" t="s">
        <v>240</v>
      </c>
      <c r="D3" s="34" t="s">
        <v>241</v>
      </c>
      <c r="F3" s="118" t="s">
        <v>239</v>
      </c>
    </row>
    <row r="4" spans="2:6">
      <c r="B4" s="67">
        <v>1054</v>
      </c>
      <c r="C4" s="67" t="str">
        <f>INDEX('INDEX MATCH Master Emp List'!A1:I38,2,3)</f>
        <v>Howard</v>
      </c>
      <c r="D4" s="67">
        <f>MATCH(B4,'INDEX MATCH Master Emp List'!$A$2:$A$38,0)</f>
        <v>1</v>
      </c>
      <c r="F4" s="68" t="str">
        <f>INDEX('INDEX MATCH Master Emp List'!D2:D38,MATCH(B4,'INDEX MATCH Master Emp List'!A2:A38,0))</f>
        <v>AT</v>
      </c>
    </row>
    <row r="5" spans="2:6">
      <c r="B5" s="67">
        <v>1078</v>
      </c>
      <c r="C5" s="67"/>
      <c r="D5" s="67">
        <f>MATCH(B5,'INDEX MATCH Master Emp List'!$A$2:$A$38,0)</f>
        <v>5</v>
      </c>
      <c r="F5" s="68" t="str">
        <f>INDEX('INDEX MATCH Master Emp List'!D3:D39,MATCH(B5,'INDEX MATCH Master Emp List'!A3:A39,0))</f>
        <v>AC</v>
      </c>
    </row>
    <row r="6" spans="2:6">
      <c r="B6" s="67">
        <v>1284</v>
      </c>
      <c r="C6" s="67"/>
      <c r="D6" s="67">
        <f>MATCH(B6,'INDEX MATCH Master Emp List'!$A$2:$A$38,0)</f>
        <v>8</v>
      </c>
      <c r="F6" s="68" t="str">
        <f>INDEX('INDEX MATCH Master Emp List'!D4:D40,MATCH(B6,'INDEX MATCH Master Emp List'!A4:A40,0))</f>
        <v>MK</v>
      </c>
    </row>
    <row r="7" spans="2:6">
      <c r="B7" s="67">
        <v>1299</v>
      </c>
      <c r="C7" s="67"/>
      <c r="D7" s="67">
        <f>MATCH(B7,'INDEX MATCH Master Emp List'!$A$2:$A$38,0)</f>
        <v>11</v>
      </c>
      <c r="F7" s="68" t="str">
        <f>INDEX('INDEX MATCH Master Emp List'!D5:D41,MATCH(B7,'INDEX MATCH Master Emp List'!A5:A41,0))</f>
        <v>MF</v>
      </c>
    </row>
    <row r="8" spans="2:6">
      <c r="B8" s="67">
        <v>1329</v>
      </c>
      <c r="C8" s="67"/>
      <c r="D8" s="67">
        <f>MATCH(B8,'INDEX MATCH Master Emp List'!$A$2:$A$38,0)</f>
        <v>14</v>
      </c>
      <c r="F8" s="68" t="str">
        <f>INDEX('INDEX MATCH Master Emp List'!D6:D42,MATCH(B8,'INDEX MATCH Master Emp List'!A6:A42,0))</f>
        <v>AC</v>
      </c>
    </row>
    <row r="9" spans="2:6">
      <c r="B9" s="67">
        <v>1509</v>
      </c>
      <c r="C9" s="67"/>
      <c r="D9" s="67">
        <f>MATCH(B9,'INDEX MATCH Master Emp List'!$A$2:$A$38,0)</f>
        <v>17</v>
      </c>
      <c r="F9" s="68" t="str">
        <f>INDEX('INDEX MATCH Master Emp List'!D7:D43,MATCH(B9,'INDEX MATCH Master Emp List'!A7:A43,0))</f>
        <v>AT</v>
      </c>
    </row>
    <row r="10" spans="2:6">
      <c r="C10" s="67"/>
      <c r="D10" s="67"/>
      <c r="F10" s="68"/>
    </row>
    <row r="11" spans="2:6">
      <c r="C11" s="67"/>
      <c r="D11" s="67"/>
      <c r="F11" s="68"/>
    </row>
    <row r="12" spans="2:6">
      <c r="C12" s="67"/>
      <c r="D12" s="67"/>
      <c r="F12" s="68"/>
    </row>
    <row r="13" spans="2:6">
      <c r="C13" s="67"/>
      <c r="D13" s="67"/>
      <c r="F13" s="68"/>
    </row>
    <row r="14" spans="2:6">
      <c r="C14" s="67"/>
      <c r="D14" s="67"/>
      <c r="F14" s="68"/>
    </row>
    <row r="15" spans="2:6">
      <c r="C15" s="67"/>
      <c r="D15" s="67"/>
      <c r="F15" s="68"/>
    </row>
    <row r="16" spans="2:6">
      <c r="C16" s="67"/>
      <c r="D16" s="67"/>
      <c r="F16" s="68"/>
    </row>
    <row r="17" spans="3:6">
      <c r="C17" s="67"/>
      <c r="D17" s="67"/>
      <c r="F17" s="68"/>
    </row>
    <row r="18" spans="3:6">
      <c r="C18" s="67"/>
      <c r="D18" s="67"/>
      <c r="F18" s="68"/>
    </row>
    <row r="19" spans="3:6">
      <c r="C19" s="67"/>
      <c r="D19" s="67"/>
      <c r="F19" s="6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47" zoomScaleNormal="100" workbookViewId="0">
      <selection activeCell="O2" sqref="O2"/>
    </sheetView>
  </sheetViews>
  <sheetFormatPr defaultRowHeight="14.25" customHeight="1"/>
  <cols>
    <col min="1" max="8" width="14.1796875" style="6" customWidth="1"/>
    <col min="9" max="9" width="14.17968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zoomScale="86" zoomScaleNormal="160" workbookViewId="0">
      <selection activeCell="H19" sqref="H19"/>
    </sheetView>
  </sheetViews>
  <sheetFormatPr defaultRowHeight="12.5"/>
  <cols>
    <col min="1" max="1" width="14.453125" customWidth="1"/>
    <col min="2" max="2" width="27.81640625" bestFit="1" customWidth="1"/>
    <col min="3" max="3" width="12.54296875" customWidth="1"/>
    <col min="4" max="4" width="3.1796875" customWidth="1"/>
    <col min="5" max="5" width="11.81640625" customWidth="1"/>
    <col min="6" max="6" width="10.54296875" customWidth="1"/>
    <col min="7" max="7" width="14.54296875" customWidth="1"/>
    <col min="8" max="8" width="10.81640625" bestFit="1" customWidth="1"/>
  </cols>
  <sheetData>
    <row r="2" spans="1:8" ht="13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8" ht="13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 s="68">
        <f>LEN(A3)</f>
        <v>8</v>
      </c>
    </row>
    <row r="4" spans="1:8" ht="13">
      <c r="A4" s="22" t="s">
        <v>170</v>
      </c>
      <c r="B4" s="23" t="s">
        <v>181</v>
      </c>
      <c r="C4" s="24">
        <v>12.19</v>
      </c>
      <c r="D4" s="37"/>
      <c r="E4" s="17" t="str">
        <f t="shared" ref="E4:E26" si="0">LEFT(A4,3)</f>
        <v>ACM</v>
      </c>
      <c r="F4" s="17" t="str">
        <f t="shared" ref="F4:F26" si="1">MID(A4,4,3)</f>
        <v>111</v>
      </c>
      <c r="G4" s="17" t="str">
        <f t="shared" ref="G4:G26" si="2">RIGHT(A4,2)</f>
        <v>WW</v>
      </c>
      <c r="H4" s="68">
        <f t="shared" ref="H4:H26" si="3">LEN(A4)</f>
        <v>8</v>
      </c>
    </row>
    <row r="5" spans="1:8" ht="13">
      <c r="A5" s="22" t="s">
        <v>171</v>
      </c>
      <c r="B5" s="23" t="s">
        <v>182</v>
      </c>
      <c r="C5" s="24">
        <v>10.89</v>
      </c>
      <c r="D5" s="37"/>
      <c r="E5" s="17" t="str">
        <f t="shared" si="0"/>
        <v>ACM</v>
      </c>
      <c r="F5" s="17" t="str">
        <f t="shared" si="1"/>
        <v>150</v>
      </c>
      <c r="G5" s="17" t="str">
        <f t="shared" si="2"/>
        <v>WW</v>
      </c>
      <c r="H5" s="68">
        <f t="shared" si="3"/>
        <v>8</v>
      </c>
    </row>
    <row r="6" spans="1:8" ht="13">
      <c r="A6" s="22" t="s">
        <v>172</v>
      </c>
      <c r="B6" s="23" t="s">
        <v>183</v>
      </c>
      <c r="C6" s="24">
        <v>9.75</v>
      </c>
      <c r="D6" s="37"/>
      <c r="E6" s="17" t="str">
        <f t="shared" si="0"/>
        <v>ACM</v>
      </c>
      <c r="F6" s="17" t="str">
        <f t="shared" si="1"/>
        <v>321</v>
      </c>
      <c r="G6" s="17" t="str">
        <f t="shared" si="2"/>
        <v>DP</v>
      </c>
      <c r="H6" s="68">
        <f t="shared" si="3"/>
        <v>8</v>
      </c>
    </row>
    <row r="7" spans="1:8" ht="13">
      <c r="A7" s="22" t="s">
        <v>173</v>
      </c>
      <c r="B7" s="23" t="s">
        <v>184</v>
      </c>
      <c r="C7" s="24">
        <v>9.59</v>
      </c>
      <c r="D7" s="37"/>
      <c r="E7" s="17" t="str">
        <f t="shared" si="0"/>
        <v>ACM</v>
      </c>
      <c r="F7" s="17" t="str">
        <f t="shared" si="1"/>
        <v>322</v>
      </c>
      <c r="G7" s="17" t="str">
        <f t="shared" si="2"/>
        <v>DP</v>
      </c>
      <c r="H7" s="68">
        <f t="shared" si="3"/>
        <v>8</v>
      </c>
    </row>
    <row r="8" spans="1:8" ht="13">
      <c r="A8" s="22" t="s">
        <v>174</v>
      </c>
      <c r="B8" s="23" t="s">
        <v>185</v>
      </c>
      <c r="C8" s="24">
        <v>10.4</v>
      </c>
      <c r="D8" s="37"/>
      <c r="E8" s="17" t="str">
        <f t="shared" si="0"/>
        <v>ACM</v>
      </c>
      <c r="F8" s="17" t="str">
        <f t="shared" si="1"/>
        <v>325</v>
      </c>
      <c r="G8" s="17" t="str">
        <f t="shared" si="2"/>
        <v>DP</v>
      </c>
      <c r="H8" s="68">
        <f t="shared" si="3"/>
        <v>8</v>
      </c>
    </row>
    <row r="9" spans="1:8" ht="13">
      <c r="A9" s="22" t="s">
        <v>175</v>
      </c>
      <c r="B9" s="23" t="s">
        <v>186</v>
      </c>
      <c r="C9" s="24">
        <v>10.56</v>
      </c>
      <c r="D9" s="37"/>
      <c r="E9" s="17" t="str">
        <f t="shared" si="0"/>
        <v>ACM</v>
      </c>
      <c r="F9" s="17" t="str">
        <f t="shared" si="1"/>
        <v>330</v>
      </c>
      <c r="G9" s="17" t="str">
        <f t="shared" si="2"/>
        <v>DP</v>
      </c>
      <c r="H9" s="68">
        <f t="shared" si="3"/>
        <v>8</v>
      </c>
    </row>
    <row r="10" spans="1:8" ht="13">
      <c r="A10" s="22" t="s">
        <v>176</v>
      </c>
      <c r="B10" s="23" t="s">
        <v>187</v>
      </c>
      <c r="C10" s="24">
        <v>9.75</v>
      </c>
      <c r="D10" s="37"/>
      <c r="E10" s="17" t="str">
        <f t="shared" si="0"/>
        <v>ACM</v>
      </c>
      <c r="F10" s="17" t="str">
        <f t="shared" si="1"/>
        <v>450</v>
      </c>
      <c r="G10" s="17" t="str">
        <f t="shared" si="2"/>
        <v>DP</v>
      </c>
      <c r="H10" s="68">
        <f t="shared" si="3"/>
        <v>8</v>
      </c>
    </row>
    <row r="11" spans="1:8" ht="13">
      <c r="A11" s="22" t="s">
        <v>177</v>
      </c>
      <c r="B11" s="23" t="s">
        <v>188</v>
      </c>
      <c r="C11" s="24">
        <v>9.75</v>
      </c>
      <c r="D11" s="37"/>
      <c r="E11" s="17" t="str">
        <f t="shared" si="0"/>
        <v>ACM</v>
      </c>
      <c r="F11" s="17" t="str">
        <f t="shared" si="1"/>
        <v>460</v>
      </c>
      <c r="G11" s="17" t="str">
        <f t="shared" si="2"/>
        <v>DP</v>
      </c>
      <c r="H11" s="68">
        <f t="shared" si="3"/>
        <v>8</v>
      </c>
    </row>
    <row r="12" spans="1:8" ht="13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0"/>
        <v>AST</v>
      </c>
      <c r="F12" s="17" t="str">
        <f t="shared" si="1"/>
        <v>530</v>
      </c>
      <c r="G12" s="17" t="str">
        <f t="shared" si="2"/>
        <v>OL</v>
      </c>
      <c r="H12" s="68">
        <f t="shared" si="3"/>
        <v>8</v>
      </c>
    </row>
    <row r="13" spans="1:8" ht="13">
      <c r="A13" s="22" t="s">
        <v>205</v>
      </c>
      <c r="B13" s="23" t="s">
        <v>190</v>
      </c>
      <c r="C13" s="24">
        <v>5.04</v>
      </c>
      <c r="D13" s="37"/>
      <c r="E13" s="17" t="str">
        <f t="shared" si="0"/>
        <v>AST</v>
      </c>
      <c r="F13" s="17" t="str">
        <f t="shared" si="1"/>
        <v>100</v>
      </c>
      <c r="G13" s="17" t="str">
        <f t="shared" si="2"/>
        <v>TF</v>
      </c>
      <c r="H13" s="68">
        <f t="shared" si="3"/>
        <v>8</v>
      </c>
    </row>
    <row r="14" spans="1:8" ht="13">
      <c r="A14" s="22" t="s">
        <v>206</v>
      </c>
      <c r="B14" s="23" t="s">
        <v>191</v>
      </c>
      <c r="C14" s="24">
        <v>3.9</v>
      </c>
      <c r="D14" s="37"/>
      <c r="E14" s="17" t="str">
        <f t="shared" si="0"/>
        <v>AST</v>
      </c>
      <c r="F14" s="17" t="str">
        <f t="shared" si="1"/>
        <v>130</v>
      </c>
      <c r="G14" s="17" t="str">
        <f t="shared" si="2"/>
        <v>OL</v>
      </c>
      <c r="H14" s="68">
        <f t="shared" si="3"/>
        <v>8</v>
      </c>
    </row>
    <row r="15" spans="1:8" ht="13">
      <c r="A15" s="22" t="s">
        <v>207</v>
      </c>
      <c r="B15" s="23" t="s">
        <v>192</v>
      </c>
      <c r="C15" s="24">
        <v>4.55</v>
      </c>
      <c r="D15" s="37"/>
      <c r="E15" s="17" t="str">
        <f t="shared" si="0"/>
        <v>AST</v>
      </c>
      <c r="F15" s="17" t="str">
        <f t="shared" si="1"/>
        <v>140</v>
      </c>
      <c r="G15" s="17" t="str">
        <f t="shared" si="2"/>
        <v>OL</v>
      </c>
      <c r="H15" s="68">
        <f t="shared" si="3"/>
        <v>8</v>
      </c>
    </row>
    <row r="16" spans="1:8" ht="13">
      <c r="A16" s="22" t="s">
        <v>208</v>
      </c>
      <c r="B16" s="23" t="s">
        <v>193</v>
      </c>
      <c r="C16" s="24">
        <v>5.2</v>
      </c>
      <c r="D16" s="37"/>
      <c r="E16" s="17" t="str">
        <f t="shared" si="0"/>
        <v>AST</v>
      </c>
      <c r="F16" s="17" t="str">
        <f t="shared" si="1"/>
        <v>300</v>
      </c>
      <c r="G16" s="17" t="str">
        <f t="shared" si="2"/>
        <v>GO</v>
      </c>
      <c r="H16" s="68">
        <f t="shared" si="3"/>
        <v>8</v>
      </c>
    </row>
    <row r="17" spans="1:8" ht="13">
      <c r="A17" s="22" t="s">
        <v>209</v>
      </c>
      <c r="B17" s="23" t="s">
        <v>194</v>
      </c>
      <c r="C17" s="24">
        <v>7.31</v>
      </c>
      <c r="D17" s="37"/>
      <c r="E17" s="17" t="str">
        <f t="shared" si="0"/>
        <v>AST</v>
      </c>
      <c r="F17" s="17" t="str">
        <f t="shared" si="1"/>
        <v>121</v>
      </c>
      <c r="G17" s="17" t="str">
        <f t="shared" si="2"/>
        <v>BF</v>
      </c>
      <c r="H17" s="68">
        <f t="shared" si="3"/>
        <v>8</v>
      </c>
    </row>
    <row r="18" spans="1:8" ht="13">
      <c r="A18" s="22" t="s">
        <v>210</v>
      </c>
      <c r="B18" s="23" t="s">
        <v>195</v>
      </c>
      <c r="C18" s="24">
        <v>6.5</v>
      </c>
      <c r="D18" s="37"/>
      <c r="E18" s="17" t="str">
        <f t="shared" si="0"/>
        <v>AST</v>
      </c>
      <c r="F18" s="17" t="str">
        <f t="shared" si="1"/>
        <v>132</v>
      </c>
      <c r="G18" s="17" t="str">
        <f t="shared" si="2"/>
        <v>PS</v>
      </c>
      <c r="H18" s="68">
        <f t="shared" si="3"/>
        <v>8</v>
      </c>
    </row>
    <row r="19" spans="1:8" ht="13">
      <c r="A19" s="22" t="s">
        <v>178</v>
      </c>
      <c r="B19" s="23" t="s">
        <v>196</v>
      </c>
      <c r="C19" s="24">
        <v>4.55</v>
      </c>
      <c r="D19" s="37"/>
      <c r="E19" s="17" t="str">
        <f t="shared" si="0"/>
        <v>AST</v>
      </c>
      <c r="F19" s="17" t="str">
        <f t="shared" si="1"/>
        <v>205</v>
      </c>
      <c r="G19" s="17" t="str">
        <f t="shared" si="2"/>
        <v>95</v>
      </c>
      <c r="H19" s="68">
        <f t="shared" si="3"/>
        <v>10</v>
      </c>
    </row>
    <row r="20" spans="1:8" ht="13">
      <c r="A20" s="22" t="s">
        <v>211</v>
      </c>
      <c r="B20" s="23" t="s">
        <v>197</v>
      </c>
      <c r="C20" s="24">
        <v>14.3</v>
      </c>
      <c r="D20" s="37"/>
      <c r="E20" s="17" t="str">
        <f t="shared" si="0"/>
        <v>BVR</v>
      </c>
      <c r="F20" s="17" t="str">
        <f t="shared" si="1"/>
        <v>590</v>
      </c>
      <c r="G20" s="17" t="str">
        <f t="shared" si="2"/>
        <v>WF</v>
      </c>
      <c r="H20" s="68">
        <f t="shared" si="3"/>
        <v>8</v>
      </c>
    </row>
    <row r="21" spans="1:8" ht="13">
      <c r="A21" s="22" t="s">
        <v>212</v>
      </c>
      <c r="B21" s="23" t="s">
        <v>213</v>
      </c>
      <c r="C21" s="24">
        <v>13.81</v>
      </c>
      <c r="D21" s="37"/>
      <c r="E21" s="17" t="str">
        <f t="shared" si="0"/>
        <v>BVR</v>
      </c>
      <c r="F21" s="17" t="str">
        <f t="shared" si="1"/>
        <v>690</v>
      </c>
      <c r="G21" s="17" t="str">
        <f t="shared" si="2"/>
        <v>AF</v>
      </c>
      <c r="H21" s="68">
        <f t="shared" si="3"/>
        <v>8</v>
      </c>
    </row>
    <row r="22" spans="1:8" ht="13">
      <c r="A22" s="22" t="s">
        <v>217</v>
      </c>
      <c r="B22" s="23" t="s">
        <v>198</v>
      </c>
      <c r="C22" s="24">
        <v>7.31</v>
      </c>
      <c r="D22" s="37"/>
      <c r="E22" s="17" t="str">
        <f t="shared" si="0"/>
        <v>TRA</v>
      </c>
      <c r="F22" s="17" t="str">
        <f t="shared" si="1"/>
        <v>203</v>
      </c>
      <c r="G22" s="17" t="str">
        <f t="shared" si="2"/>
        <v>OF</v>
      </c>
      <c r="H22" s="68">
        <f t="shared" si="3"/>
        <v>8</v>
      </c>
    </row>
    <row r="23" spans="1:8" ht="13">
      <c r="A23" s="22" t="s">
        <v>218</v>
      </c>
      <c r="B23" s="23" t="s">
        <v>199</v>
      </c>
      <c r="C23" s="24">
        <v>7.31</v>
      </c>
      <c r="D23" s="37"/>
      <c r="E23" s="17" t="str">
        <f t="shared" si="0"/>
        <v>TRA</v>
      </c>
      <c r="F23" s="17" t="str">
        <f t="shared" si="1"/>
        <v>205</v>
      </c>
      <c r="G23" s="17" t="str">
        <f t="shared" si="2"/>
        <v>OF</v>
      </c>
      <c r="H23" s="68">
        <f t="shared" si="3"/>
        <v>8</v>
      </c>
    </row>
    <row r="24" spans="1:8" ht="13">
      <c r="A24" s="22" t="s">
        <v>214</v>
      </c>
      <c r="B24" s="23" t="s">
        <v>200</v>
      </c>
      <c r="C24" s="24">
        <v>7.31</v>
      </c>
      <c r="D24" s="37"/>
      <c r="E24" s="17" t="str">
        <f t="shared" si="0"/>
        <v>TRA</v>
      </c>
      <c r="F24" s="17" t="str">
        <f t="shared" si="1"/>
        <v>207</v>
      </c>
      <c r="G24" s="17" t="str">
        <f t="shared" si="2"/>
        <v>OF</v>
      </c>
      <c r="H24" s="68">
        <f t="shared" si="3"/>
        <v>8</v>
      </c>
    </row>
    <row r="25" spans="1:8" ht="13">
      <c r="A25" s="22" t="s">
        <v>215</v>
      </c>
      <c r="B25" s="23" t="s">
        <v>201</v>
      </c>
      <c r="C25" s="24">
        <v>7.64</v>
      </c>
      <c r="D25" s="37"/>
      <c r="E25" s="17" t="str">
        <f t="shared" si="0"/>
        <v>TRA</v>
      </c>
      <c r="F25" s="17" t="str">
        <f t="shared" si="1"/>
        <v>310</v>
      </c>
      <c r="G25" s="17" t="str">
        <f t="shared" si="2"/>
        <v>OF</v>
      </c>
      <c r="H25" s="68">
        <f t="shared" si="3"/>
        <v>8</v>
      </c>
    </row>
    <row r="26" spans="1:8" ht="13">
      <c r="A26" s="22" t="s">
        <v>216</v>
      </c>
      <c r="B26" s="23" t="s">
        <v>202</v>
      </c>
      <c r="C26" s="24">
        <v>6.14</v>
      </c>
      <c r="D26" s="37"/>
      <c r="E26" s="17" t="str">
        <f t="shared" si="0"/>
        <v>TRA</v>
      </c>
      <c r="F26" s="17" t="str">
        <f t="shared" si="1"/>
        <v>610</v>
      </c>
      <c r="G26" s="17" t="str">
        <f t="shared" si="2"/>
        <v>OF</v>
      </c>
      <c r="H26" s="68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G7" sqref="G7"/>
    </sheetView>
  </sheetViews>
  <sheetFormatPr defaultRowHeight="12.5"/>
  <cols>
    <col min="1" max="1" width="14.1796875" bestFit="1" customWidth="1"/>
    <col min="2" max="2" width="13" bestFit="1" customWidth="1"/>
    <col min="3" max="3" width="12.81640625" bestFit="1" customWidth="1"/>
  </cols>
  <sheetData>
    <row r="1" spans="1:3" ht="15.5">
      <c r="A1" s="121" t="s">
        <v>242</v>
      </c>
      <c r="B1" s="122" t="s">
        <v>18</v>
      </c>
      <c r="C1" s="123" t="s">
        <v>17</v>
      </c>
    </row>
    <row r="2" spans="1:3">
      <c r="A2" s="124" t="s">
        <v>243</v>
      </c>
      <c r="B2" s="125" t="str">
        <f>LEFT(A2,SEARCH(" ",A2))</f>
        <v xml:space="preserve">Patrick </v>
      </c>
      <c r="C2" s="126" t="str">
        <f>RIGHT(A2,LEN(A2)-SEARCH(" ",A2))</f>
        <v>Marleau</v>
      </c>
    </row>
    <row r="3" spans="1:3">
      <c r="A3" s="124" t="s">
        <v>244</v>
      </c>
      <c r="B3" s="125" t="str">
        <f t="shared" ref="B3:B6" si="0">LEFT(A3,SEARCH(" ",A3))</f>
        <v xml:space="preserve">Joe </v>
      </c>
      <c r="C3" s="126" t="str">
        <f t="shared" ref="C3:C6" si="1">RIGHT(A3,LEN(A3)-SEARCH(" ",A3))</f>
        <v>Thornton</v>
      </c>
    </row>
    <row r="4" spans="1:3">
      <c r="A4" s="124" t="s">
        <v>245</v>
      </c>
      <c r="B4" s="125" t="str">
        <f t="shared" si="0"/>
        <v xml:space="preserve">Brent </v>
      </c>
      <c r="C4" s="126" t="str">
        <f t="shared" si="1"/>
        <v>Burns</v>
      </c>
    </row>
    <row r="5" spans="1:3">
      <c r="A5" s="124" t="s">
        <v>246</v>
      </c>
      <c r="B5" s="125" t="str">
        <f t="shared" si="0"/>
        <v xml:space="preserve">Joe </v>
      </c>
      <c r="C5" s="126" t="str">
        <f t="shared" si="1"/>
        <v>Pavelski</v>
      </c>
    </row>
    <row r="6" spans="1:3" ht="13" thickBot="1">
      <c r="A6" s="127" t="s">
        <v>247</v>
      </c>
      <c r="B6" s="128" t="str">
        <f t="shared" si="0"/>
        <v xml:space="preserve">Martin </v>
      </c>
      <c r="C6" s="129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235" zoomScaleNormal="235" workbookViewId="0">
      <selection activeCell="G3" sqref="G3"/>
    </sheetView>
  </sheetViews>
  <sheetFormatPr defaultRowHeight="12.5"/>
  <cols>
    <col min="2" max="2" width="12.81640625" customWidth="1"/>
    <col min="3" max="3" width="12.1796875" customWidth="1"/>
    <col min="4" max="4" width="3.1796875" customWidth="1"/>
    <col min="6" max="6" width="15.453125" customWidth="1"/>
  </cols>
  <sheetData>
    <row r="2" spans="2:6" ht="13">
      <c r="B2" s="40" t="s">
        <v>17</v>
      </c>
      <c r="C2" s="40" t="s">
        <v>18</v>
      </c>
      <c r="E2" s="138" t="s">
        <v>166</v>
      </c>
      <c r="F2" s="138"/>
    </row>
    <row r="3" spans="2:6" ht="13">
      <c r="B3" s="25" t="s">
        <v>25</v>
      </c>
      <c r="C3" s="25" t="s">
        <v>26</v>
      </c>
      <c r="E3" s="136" t="str">
        <f>CONCATENATE(C3," ",B3)</f>
        <v>Howard Smith</v>
      </c>
      <c r="F3" s="137"/>
    </row>
    <row r="4" spans="2:6" ht="13">
      <c r="B4" s="25" t="s">
        <v>30</v>
      </c>
      <c r="C4" s="25" t="s">
        <v>31</v>
      </c>
      <c r="E4" s="136" t="str">
        <f t="shared" ref="E4:E18" si="0">CONCATENATE(C4," ",B4)</f>
        <v>Joe Gonzales</v>
      </c>
      <c r="F4" s="137"/>
    </row>
    <row r="5" spans="2:6" ht="13">
      <c r="B5" s="25" t="s">
        <v>33</v>
      </c>
      <c r="C5" s="25" t="s">
        <v>34</v>
      </c>
      <c r="E5" s="136" t="str">
        <f t="shared" si="0"/>
        <v>Gail Scote</v>
      </c>
      <c r="F5" s="137"/>
    </row>
    <row r="6" spans="2:6" ht="13">
      <c r="B6" s="25" t="s">
        <v>36</v>
      </c>
      <c r="C6" s="25" t="s">
        <v>37</v>
      </c>
      <c r="E6" s="136" t="str">
        <f t="shared" si="0"/>
        <v>Sheryl Kane</v>
      </c>
      <c r="F6" s="137"/>
    </row>
    <row r="7" spans="2:6" ht="13">
      <c r="B7" s="25" t="s">
        <v>41</v>
      </c>
      <c r="C7" s="25" t="s">
        <v>42</v>
      </c>
      <c r="E7" s="136" t="str">
        <f t="shared" si="0"/>
        <v>Kendrick Hapsbuch</v>
      </c>
      <c r="F7" s="137"/>
    </row>
    <row r="8" spans="2:6" ht="13">
      <c r="B8" s="25" t="s">
        <v>45</v>
      </c>
      <c r="C8" s="25" t="s">
        <v>46</v>
      </c>
      <c r="E8" s="136" t="str">
        <f t="shared" si="0"/>
        <v>Mark Henders</v>
      </c>
      <c r="F8" s="137"/>
    </row>
    <row r="9" spans="2:6" ht="13">
      <c r="B9" s="25" t="s">
        <v>48</v>
      </c>
      <c r="C9" s="25" t="s">
        <v>49</v>
      </c>
      <c r="E9" s="136" t="str">
        <f t="shared" si="0"/>
        <v>Katie Atherton</v>
      </c>
      <c r="F9" s="137"/>
    </row>
    <row r="10" spans="2:6" ht="13">
      <c r="B10" s="25" t="s">
        <v>52</v>
      </c>
      <c r="C10" s="25" t="s">
        <v>53</v>
      </c>
      <c r="E10" s="136" t="str">
        <f t="shared" si="0"/>
        <v>Frank Bellwood</v>
      </c>
      <c r="F10" s="137"/>
    </row>
    <row r="11" spans="2:6" ht="13">
      <c r="B11" s="25" t="s">
        <v>56</v>
      </c>
      <c r="C11" s="25" t="s">
        <v>57</v>
      </c>
      <c r="E11" s="136" t="str">
        <f t="shared" si="0"/>
        <v>Linda Cooper</v>
      </c>
      <c r="F11" s="137"/>
    </row>
    <row r="12" spans="2:6" ht="13">
      <c r="B12" s="25" t="s">
        <v>59</v>
      </c>
      <c r="C12" s="25" t="s">
        <v>60</v>
      </c>
      <c r="E12" s="136" t="str">
        <f t="shared" si="0"/>
        <v>Brent Cronwith</v>
      </c>
      <c r="F12" s="137"/>
    </row>
    <row r="13" spans="2:6" ht="13">
      <c r="B13" s="25" t="s">
        <v>62</v>
      </c>
      <c r="C13" s="25" t="s">
        <v>63</v>
      </c>
      <c r="E13" s="136" t="str">
        <f t="shared" si="0"/>
        <v>Sandrae Simpson</v>
      </c>
      <c r="F13" s="137"/>
    </row>
    <row r="14" spans="2:6" ht="13">
      <c r="B14" s="25" t="s">
        <v>66</v>
      </c>
      <c r="C14" s="25" t="s">
        <v>67</v>
      </c>
      <c r="E14" s="136" t="str">
        <f t="shared" si="0"/>
        <v>Randy Sindole</v>
      </c>
      <c r="F14" s="137"/>
    </row>
    <row r="15" spans="2:6" ht="13">
      <c r="B15" s="25" t="s">
        <v>25</v>
      </c>
      <c r="C15" s="25" t="s">
        <v>69</v>
      </c>
      <c r="E15" s="136" t="str">
        <f t="shared" si="0"/>
        <v>Ellen Smith</v>
      </c>
      <c r="F15" s="137"/>
    </row>
    <row r="16" spans="2:6" ht="13">
      <c r="B16" s="25" t="s">
        <v>71</v>
      </c>
      <c r="C16" s="25" t="s">
        <v>72</v>
      </c>
      <c r="E16" s="136" t="str">
        <f t="shared" si="0"/>
        <v>Tuome Vuanuo</v>
      </c>
      <c r="F16" s="137"/>
    </row>
    <row r="17" spans="2:6" ht="13">
      <c r="B17" s="25" t="s">
        <v>74</v>
      </c>
      <c r="C17" s="25" t="s">
        <v>75</v>
      </c>
      <c r="E17" s="136" t="str">
        <f t="shared" si="0"/>
        <v>Tadeuz Szcznyck</v>
      </c>
      <c r="F17" s="137"/>
    </row>
    <row r="18" spans="2:6" ht="13">
      <c r="B18" s="25" t="s">
        <v>77</v>
      </c>
      <c r="C18" s="25" t="s">
        <v>78</v>
      </c>
      <c r="E18" s="136" t="str">
        <f t="shared" si="0"/>
        <v>Tammy Wu</v>
      </c>
      <c r="F18" s="137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I10" sqref="I10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3" t="s">
        <v>222</v>
      </c>
      <c r="B2" s="133"/>
      <c r="C2" s="133"/>
      <c r="D2" s="133"/>
      <c r="E2" s="133"/>
      <c r="F2" s="133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70">
        <v>9550</v>
      </c>
      <c r="C5" s="70">
        <v>9230</v>
      </c>
      <c r="D5" s="70">
        <v>8500</v>
      </c>
      <c r="E5" s="70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0">
        <v>5975</v>
      </c>
      <c r="C6" s="70">
        <v>6900</v>
      </c>
      <c r="D6" s="70">
        <v>8500</v>
      </c>
      <c r="E6" s="70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0">
        <v>7425</v>
      </c>
      <c r="C7" s="70">
        <v>8580</v>
      </c>
      <c r="D7" s="70">
        <v>9910</v>
      </c>
      <c r="E7" s="70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0">
        <v>9560</v>
      </c>
      <c r="C8" s="70">
        <v>10150</v>
      </c>
      <c r="D8" s="70">
        <v>10200</v>
      </c>
      <c r="E8" s="70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1">
        <v>7892</v>
      </c>
      <c r="C9" s="71">
        <v>7695</v>
      </c>
      <c r="D9" s="71">
        <v>9520</v>
      </c>
      <c r="E9" s="71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30" t="s">
        <v>13</v>
      </c>
      <c r="B14" s="131"/>
      <c r="C14" s="131"/>
      <c r="D14" s="131"/>
      <c r="E14" s="132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20" zoomScaleNormal="220" workbookViewId="0">
      <selection activeCell="B2" sqref="B2"/>
    </sheetView>
  </sheetViews>
  <sheetFormatPr defaultRowHeight="12.5"/>
  <cols>
    <col min="1" max="1" width="20.26953125" bestFit="1" customWidth="1"/>
    <col min="2" max="2" width="12.7265625" bestFit="1" customWidth="1"/>
  </cols>
  <sheetData>
    <row r="2" spans="1:2" ht="13">
      <c r="A2" s="69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5"/>
  <cols>
    <col min="1" max="1" width="15.54296875" customWidth="1"/>
    <col min="2" max="2" width="11.26953125" customWidth="1"/>
    <col min="3" max="3" width="11.54296875" customWidth="1"/>
    <col min="4" max="4" width="11.81640625" customWidth="1"/>
    <col min="5" max="5" width="11.7265625" bestFit="1" customWidth="1"/>
    <col min="6" max="6" width="11.26953125" customWidth="1"/>
    <col min="7" max="7" width="1.1796875" customWidth="1"/>
    <col min="8" max="8" width="20.1796875" customWidth="1"/>
    <col min="9" max="9" width="15.81640625" customWidth="1"/>
  </cols>
  <sheetData>
    <row r="1" spans="1:9" ht="13" thickBot="1"/>
    <row r="2" spans="1:9" ht="16" thickBot="1">
      <c r="A2" s="133" t="s">
        <v>222</v>
      </c>
      <c r="B2" s="133"/>
      <c r="C2" s="133"/>
      <c r="D2" s="133"/>
      <c r="E2" s="133"/>
      <c r="F2" s="133"/>
      <c r="H2" s="28" t="s">
        <v>0</v>
      </c>
      <c r="I2" s="45">
        <v>34000</v>
      </c>
    </row>
    <row r="3" spans="1:9" ht="13.5" thickTop="1" thickBot="1"/>
    <row r="4" spans="1:9" ht="14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2" t="s">
        <v>8</v>
      </c>
    </row>
    <row r="5" spans="1:9" ht="15.5">
      <c r="A5" s="5" t="s">
        <v>9</v>
      </c>
      <c r="B5" s="70">
        <v>9550</v>
      </c>
      <c r="C5" s="70">
        <v>9230</v>
      </c>
      <c r="D5" s="70">
        <v>8500</v>
      </c>
      <c r="E5" s="70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5">
      <c r="A6" s="5" t="s">
        <v>10</v>
      </c>
      <c r="B6" s="70">
        <v>5975</v>
      </c>
      <c r="C6" s="70">
        <v>6900</v>
      </c>
      <c r="D6" s="70">
        <v>8500</v>
      </c>
      <c r="E6" s="70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5">
      <c r="A7" s="5" t="s">
        <v>11</v>
      </c>
      <c r="B7" s="70">
        <v>7425</v>
      </c>
      <c r="C7" s="70">
        <v>8580</v>
      </c>
      <c r="D7" s="70">
        <v>9910</v>
      </c>
      <c r="E7" s="70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5">
      <c r="A8" s="5" t="s">
        <v>15</v>
      </c>
      <c r="B8" s="70">
        <v>9560</v>
      </c>
      <c r="C8" s="70">
        <v>10150</v>
      </c>
      <c r="D8" s="70">
        <v>10200</v>
      </c>
      <c r="E8" s="70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" thickBot="1">
      <c r="A9" s="16" t="s">
        <v>14</v>
      </c>
      <c r="B9" s="71">
        <v>7892</v>
      </c>
      <c r="C9" s="71">
        <v>7695</v>
      </c>
      <c r="D9" s="71">
        <v>9520</v>
      </c>
      <c r="E9" s="71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4">
      <c r="A10" s="48" t="s">
        <v>223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ht="14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30" t="s">
        <v>13</v>
      </c>
      <c r="B14" s="131"/>
      <c r="C14" s="131"/>
      <c r="D14" s="131"/>
      <c r="E14" s="132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5"/>
  <cols>
    <col min="1" max="1" width="18" bestFit="1" customWidth="1"/>
    <col min="2" max="2" width="10" bestFit="1" customWidth="1"/>
    <col min="4" max="4" width="12.26953125" bestFit="1" customWidth="1"/>
  </cols>
  <sheetData>
    <row r="1" spans="1:4" ht="13" thickBot="1"/>
    <row r="2" spans="1:4" ht="13">
      <c r="A2" s="95" t="s">
        <v>254</v>
      </c>
      <c r="B2" s="90">
        <v>142520.97486285039</v>
      </c>
      <c r="C2" s="72"/>
      <c r="D2" s="94" t="s">
        <v>253</v>
      </c>
    </row>
    <row r="3" spans="1:4" ht="13.5" thickBot="1">
      <c r="A3" s="95" t="s">
        <v>252</v>
      </c>
      <c r="B3" s="91">
        <v>0.08</v>
      </c>
      <c r="C3" s="72"/>
      <c r="D3" s="93">
        <f>-PMT(B3/12,B4,B2)</f>
        <v>1099.9999999999998</v>
      </c>
    </row>
    <row r="4" spans="1:4" ht="13">
      <c r="A4" s="95" t="s">
        <v>251</v>
      </c>
      <c r="B4" s="92">
        <v>300</v>
      </c>
      <c r="C4" s="72"/>
      <c r="D4" s="7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6" sqref="H6"/>
    </sheetView>
  </sheetViews>
  <sheetFormatPr defaultColWidth="9.1796875" defaultRowHeight="12.5"/>
  <cols>
    <col min="1" max="1" width="25.453125" style="76" customWidth="1"/>
    <col min="2" max="2" width="10.1796875" style="76" customWidth="1"/>
    <col min="3" max="3" width="10.54296875" style="76" customWidth="1"/>
    <col min="4" max="4" width="10.26953125" style="76" customWidth="1"/>
    <col min="5" max="5" width="9.26953125" style="76" customWidth="1"/>
    <col min="6" max="6" width="8.81640625" style="76" customWidth="1"/>
    <col min="7" max="7" width="11.26953125" style="76" customWidth="1"/>
    <col min="8" max="8" width="15.7265625" style="76" customWidth="1"/>
    <col min="9" max="16384" width="9.1796875" style="76"/>
  </cols>
  <sheetData>
    <row r="1" spans="1:8" ht="10.5" customHeight="1">
      <c r="A1" s="89"/>
      <c r="B1" s="88"/>
      <c r="C1" s="88"/>
      <c r="D1" s="88"/>
      <c r="E1" s="88"/>
      <c r="F1" s="88"/>
      <c r="G1" s="88"/>
    </row>
    <row r="2" spans="1:8" ht="11.25" customHeight="1" thickBot="1"/>
    <row r="3" spans="1:8" ht="15.75" customHeight="1">
      <c r="G3" s="99" t="s">
        <v>272</v>
      </c>
      <c r="H3" s="100" t="s">
        <v>279</v>
      </c>
    </row>
    <row r="4" spans="1:8" ht="16" thickBot="1">
      <c r="A4" s="87" t="s">
        <v>278</v>
      </c>
      <c r="B4" s="98" t="s">
        <v>277</v>
      </c>
      <c r="C4" s="98" t="s">
        <v>276</v>
      </c>
      <c r="D4" s="98" t="s">
        <v>275</v>
      </c>
      <c r="E4" s="98" t="s">
        <v>274</v>
      </c>
      <c r="F4" s="72"/>
      <c r="G4" s="101" t="s">
        <v>273</v>
      </c>
      <c r="H4" s="102" t="s">
        <v>272</v>
      </c>
    </row>
    <row r="5" spans="1:8" ht="15.5">
      <c r="A5" s="85" t="s">
        <v>271</v>
      </c>
      <c r="B5" s="84">
        <v>92</v>
      </c>
      <c r="C5" s="84">
        <v>39.999999999999993</v>
      </c>
      <c r="D5" s="84">
        <v>92</v>
      </c>
      <c r="E5" s="84">
        <v>92</v>
      </c>
      <c r="F5" s="72"/>
      <c r="G5" s="83">
        <v>1.25</v>
      </c>
      <c r="H5" s="82">
        <f>G5*(B5+C5+D5+E5)</f>
        <v>395</v>
      </c>
    </row>
    <row r="6" spans="1:8" ht="15.5">
      <c r="A6" s="85" t="s">
        <v>270</v>
      </c>
      <c r="B6" s="86">
        <v>32.999999999999986</v>
      </c>
      <c r="C6" s="84">
        <v>20</v>
      </c>
      <c r="D6" s="84">
        <v>43.000000000000007</v>
      </c>
      <c r="E6" s="84">
        <v>20</v>
      </c>
      <c r="F6" s="72"/>
      <c r="G6" s="83">
        <v>1.84</v>
      </c>
      <c r="H6" s="82">
        <f>G6*(B6+C6+D6+E6)</f>
        <v>213.44</v>
      </c>
    </row>
    <row r="7" spans="1:8" ht="15.5">
      <c r="A7" s="85" t="s">
        <v>269</v>
      </c>
      <c r="B7" s="84">
        <v>55</v>
      </c>
      <c r="C7" s="84">
        <v>20</v>
      </c>
      <c r="D7" s="84">
        <v>55</v>
      </c>
      <c r="E7" s="84">
        <v>48</v>
      </c>
      <c r="F7" s="72"/>
      <c r="G7" s="83">
        <v>1.45</v>
      </c>
      <c r="H7" s="82">
        <f>G7*(B7+C7+D7+E7)</f>
        <v>258.09999999999997</v>
      </c>
    </row>
    <row r="8" spans="1:8" ht="15.5">
      <c r="A8" s="96" t="s">
        <v>268</v>
      </c>
      <c r="B8" s="81">
        <f>SUM(B5:B7)</f>
        <v>180</v>
      </c>
      <c r="C8" s="81">
        <f>SUM(C5:C7)</f>
        <v>80</v>
      </c>
      <c r="D8" s="81">
        <f>SUM(D5:D7)</f>
        <v>190</v>
      </c>
      <c r="E8" s="81">
        <f>SUM(E5:E7)</f>
        <v>160</v>
      </c>
      <c r="F8" s="72"/>
      <c r="G8" s="80"/>
      <c r="H8" s="103">
        <f>H5+H6+H7</f>
        <v>866.54</v>
      </c>
    </row>
    <row r="9" spans="1:8" ht="4.5" customHeight="1">
      <c r="A9" s="79"/>
      <c r="B9" s="78"/>
      <c r="C9" s="78"/>
      <c r="D9" s="78"/>
      <c r="E9" s="78"/>
      <c r="F9" s="72"/>
    </row>
    <row r="10" spans="1:8" ht="15.5">
      <c r="A10" s="97" t="s">
        <v>267</v>
      </c>
      <c r="B10" s="104">
        <v>180</v>
      </c>
      <c r="C10" s="104">
        <v>80</v>
      </c>
      <c r="D10" s="104">
        <v>190</v>
      </c>
      <c r="E10" s="104">
        <v>160</v>
      </c>
      <c r="F10" s="72"/>
    </row>
    <row r="11" spans="1:8" ht="15.5">
      <c r="A11" s="77"/>
      <c r="F11" s="72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E10" sqref="E10"/>
    </sheetView>
  </sheetViews>
  <sheetFormatPr defaultColWidth="9.1796875" defaultRowHeight="12.5"/>
  <cols>
    <col min="1" max="1" width="9.1796875" style="72"/>
    <col min="2" max="2" width="17.453125" style="72" bestFit="1" customWidth="1"/>
    <col min="3" max="6" width="12.453125" style="72" customWidth="1"/>
    <col min="7" max="16384" width="9.1796875" style="72"/>
  </cols>
  <sheetData>
    <row r="2" spans="2:3" ht="13">
      <c r="B2" s="95" t="s">
        <v>254</v>
      </c>
      <c r="C2" s="105">
        <v>220000</v>
      </c>
    </row>
    <row r="3" spans="2:3" ht="13">
      <c r="B3" s="95" t="s">
        <v>252</v>
      </c>
      <c r="C3" s="106">
        <v>0.08</v>
      </c>
    </row>
    <row r="4" spans="2:3" ht="13">
      <c r="B4" s="95" t="s">
        <v>251</v>
      </c>
      <c r="C4" s="107">
        <f>25*12</f>
        <v>300</v>
      </c>
    </row>
    <row r="6" spans="2:3">
      <c r="C6" s="74"/>
    </row>
    <row r="7" spans="2:3" ht="15.5">
      <c r="B7" s="109" t="s">
        <v>250</v>
      </c>
      <c r="C7" s="108">
        <f>-PMT(C3/12,C4,C2)</f>
        <v>1697.9956826206067</v>
      </c>
    </row>
    <row r="8" spans="2:3" ht="15.5">
      <c r="B8" s="73">
        <v>7.2499999999999995E-2</v>
      </c>
      <c r="C8" s="12">
        <f t="dataTable" ref="C8:C14" dt2D="0" dtr="0" r1="C3"/>
        <v>1590.1751010137643</v>
      </c>
    </row>
    <row r="9" spans="2:3" ht="15.5">
      <c r="B9" s="73">
        <v>7.4999999999999997E-2</v>
      </c>
      <c r="C9" s="12">
        <v>1625.7805911544106</v>
      </c>
    </row>
    <row r="10" spans="2:3" ht="15.5">
      <c r="B10" s="73">
        <v>7.7499999999999999E-2</v>
      </c>
      <c r="C10" s="12">
        <v>1661.7232770342728</v>
      </c>
    </row>
    <row r="11" spans="2:3" ht="15.5">
      <c r="B11" s="73">
        <v>8.2500000000000004E-2</v>
      </c>
      <c r="C11" s="12">
        <v>1734.5902963096128</v>
      </c>
    </row>
    <row r="12" spans="2:3" ht="15.5">
      <c r="B12" s="73">
        <v>8.5000000000000006E-2</v>
      </c>
      <c r="C12" s="12">
        <v>1771.4995836166886</v>
      </c>
    </row>
    <row r="13" spans="2:3" ht="15.5">
      <c r="B13" s="73">
        <v>8.7499999999999994E-2</v>
      </c>
      <c r="C13" s="12">
        <v>1808.7159994580018</v>
      </c>
    </row>
    <row r="14" spans="2:3" ht="15.5">
      <c r="B14" s="73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796875" defaultRowHeight="12.5"/>
  <cols>
    <col min="1" max="1" width="9.1796875" style="72"/>
    <col min="2" max="2" width="11.54296875" style="72" customWidth="1"/>
    <col min="3" max="6" width="14.81640625" style="72" bestFit="1" customWidth="1"/>
    <col min="7" max="7" width="16.7265625" style="72" bestFit="1" customWidth="1"/>
    <col min="8" max="16384" width="9.1796875" style="72"/>
  </cols>
  <sheetData>
    <row r="2" spans="2:7" ht="15.5">
      <c r="B2" s="109" t="s">
        <v>266</v>
      </c>
      <c r="C2" s="109" t="s">
        <v>265</v>
      </c>
      <c r="D2" s="109" t="s">
        <v>264</v>
      </c>
      <c r="E2" s="109" t="s">
        <v>263</v>
      </c>
      <c r="F2" s="109" t="s">
        <v>262</v>
      </c>
      <c r="G2" s="109" t="s">
        <v>261</v>
      </c>
    </row>
    <row r="3" spans="2:7" ht="13">
      <c r="B3" s="110" t="s">
        <v>258</v>
      </c>
      <c r="C3" s="111">
        <v>85292.25</v>
      </c>
      <c r="D3" s="111">
        <f>C3*C11+C3</f>
        <v>88106.894249999998</v>
      </c>
      <c r="E3" s="111">
        <f>D3*C11+D3</f>
        <v>91014.421760249999</v>
      </c>
      <c r="F3" s="111">
        <f>E3*C11+E3</f>
        <v>94017.897678338253</v>
      </c>
      <c r="G3" s="111">
        <f>SUM(C3:F3)</f>
        <v>358431.46368858824</v>
      </c>
    </row>
    <row r="4" spans="2:7" ht="13">
      <c r="B4" s="110" t="s">
        <v>257</v>
      </c>
      <c r="C4" s="111">
        <v>75891.25</v>
      </c>
      <c r="D4" s="111">
        <f>C4*C12+C4</f>
        <v>77636.748749999999</v>
      </c>
      <c r="E4" s="111">
        <f>D4*C12+D4</f>
        <v>79422.39397125</v>
      </c>
      <c r="F4" s="111">
        <f>E4*C12+E4</f>
        <v>81249.109032588749</v>
      </c>
      <c r="G4" s="111">
        <f>SUM(C4:F4)</f>
        <v>314199.50175383873</v>
      </c>
    </row>
    <row r="5" spans="2:7" ht="13">
      <c r="B5" s="110" t="s">
        <v>256</v>
      </c>
      <c r="C5" s="111">
        <v>90568.34</v>
      </c>
      <c r="D5" s="111">
        <f>C5*C13+C5</f>
        <v>94462.778619999997</v>
      </c>
      <c r="E5" s="111">
        <f>D5*C13+D5</f>
        <v>98524.678100659992</v>
      </c>
      <c r="F5" s="111">
        <f>E5*C13+E5</f>
        <v>102761.23925898837</v>
      </c>
      <c r="G5" s="111">
        <f>SUM(C5:F5)</f>
        <v>386317.03597964835</v>
      </c>
    </row>
    <row r="6" spans="2:7" ht="13">
      <c r="B6" s="110" t="s">
        <v>255</v>
      </c>
      <c r="C6" s="111">
        <v>65897.25</v>
      </c>
      <c r="D6" s="111">
        <f>C6*C14+C6</f>
        <v>66622.119749999998</v>
      </c>
      <c r="E6" s="111">
        <f>D6*C14+D6</f>
        <v>67354.963067249992</v>
      </c>
      <c r="F6" s="111">
        <f>E6*C14+E6</f>
        <v>68095.867660989737</v>
      </c>
      <c r="G6" s="111">
        <f>SUM(C6:F6)</f>
        <v>267970.20047823974</v>
      </c>
    </row>
    <row r="7" spans="2:7" ht="15.5">
      <c r="B7" s="98" t="s">
        <v>260</v>
      </c>
      <c r="C7" s="75">
        <f>SUM(C3:C6)</f>
        <v>317649.08999999997</v>
      </c>
      <c r="D7" s="75">
        <f>SUM(D3:D6)</f>
        <v>326828.54136999999</v>
      </c>
      <c r="E7" s="75">
        <f>SUM(E3:E6)</f>
        <v>336316.45689940994</v>
      </c>
      <c r="F7" s="75">
        <f>SUM(F3:F6)</f>
        <v>346124.11363090511</v>
      </c>
      <c r="G7" s="75">
        <f>SUM(G3:G6)</f>
        <v>1326918.201900315</v>
      </c>
    </row>
    <row r="10" spans="2:7" ht="13">
      <c r="B10" s="139" t="s">
        <v>259</v>
      </c>
      <c r="C10" s="139"/>
    </row>
    <row r="11" spans="2:7" ht="13">
      <c r="B11" s="112" t="s">
        <v>258</v>
      </c>
      <c r="C11" s="113">
        <v>3.3000000000000002E-2</v>
      </c>
    </row>
    <row r="12" spans="2:7" ht="13">
      <c r="B12" s="112" t="s">
        <v>257</v>
      </c>
      <c r="C12" s="113">
        <v>2.3E-2</v>
      </c>
    </row>
    <row r="13" spans="2:7" ht="13">
      <c r="B13" s="112" t="s">
        <v>256</v>
      </c>
      <c r="C13" s="113">
        <v>4.2999999999999997E-2</v>
      </c>
    </row>
    <row r="14" spans="2:7" ht="13">
      <c r="B14" s="112" t="s">
        <v>255</v>
      </c>
      <c r="C14" s="113">
        <v>1.0999999999999999E-2</v>
      </c>
    </row>
  </sheetData>
  <scenarios current="0" show="0">
    <scenario name="Default Scenario" locked="1" count="4" user="EmilGulinski" comment="Created by EmilGulinski on 06.04.2024">
      <inputCells r="C11" val="0,033" numFmtId="10"/>
      <inputCells r="C12" val="0,023" numFmtId="10"/>
      <inputCells r="C13" val="0,043" numFmtId="10"/>
      <inputCells r="C14" val="0,011" numFmtId="10"/>
    </scenario>
    <scenario name="Best Case Scenario" locked="1" count="4" user="EmilGulinski" comment="Created by EmilGulinski on 06.04.2024">
      <inputCells r="C11" val="0,05" numFmtId="10"/>
      <inputCells r="C12" val="0,08" numFmtId="10"/>
      <inputCells r="C13" val="0,065" numFmtId="10"/>
      <inputCells r="C14" val="0,03" numFmtId="10"/>
    </scenario>
    <scenario name="Worest Case Scenario" locked="1" count="4" user="EmilGulinski" comment="Created by EmilGulinski on 06.04.2024">
      <inputCells r="C11" val="0,001" numFmtId="10"/>
      <inputCells r="C12" val="0,001" numFmtId="10"/>
      <inputCells r="C13" val="0,001" numFmtId="10"/>
      <inputCells r="C14" val="0,0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tabSelected="1" zoomScale="120" zoomScaleNormal="120" workbookViewId="0">
      <selection activeCell="N15" sqref="N15"/>
    </sheetView>
  </sheetViews>
  <sheetFormatPr defaultRowHeight="12.5"/>
  <cols>
    <col min="2" max="2" width="11.1796875" bestFit="1" customWidth="1"/>
    <col min="3" max="3" width="8.81640625" bestFit="1" customWidth="1"/>
    <col min="7" max="7" width="11.7265625" customWidth="1"/>
    <col min="8" max="8" width="13.1796875" style="114" customWidth="1"/>
    <col min="9" max="9" width="9.1796875" style="142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41">
        <v>33344</v>
      </c>
      <c r="I1" s="14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41">
        <v>29153</v>
      </c>
      <c r="I2" s="14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284</v>
      </c>
      <c r="E3" s="7" t="s">
        <v>35</v>
      </c>
      <c r="F3" s="7">
        <v>123</v>
      </c>
      <c r="G3" s="7" t="s">
        <v>29</v>
      </c>
      <c r="H3" s="141">
        <v>32040</v>
      </c>
      <c r="I3" s="14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41">
        <v>33823</v>
      </c>
      <c r="I4" s="14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41">
        <v>31503</v>
      </c>
      <c r="I5" s="14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41">
        <v>32894</v>
      </c>
      <c r="I6" s="14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41">
        <v>35886</v>
      </c>
      <c r="I7" s="14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41">
        <v>31051</v>
      </c>
      <c r="I8" s="14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41">
        <v>31050</v>
      </c>
      <c r="I9" s="14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41">
        <v>30939</v>
      </c>
      <c r="I10" s="14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41">
        <v>32863</v>
      </c>
      <c r="I11" s="14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41">
        <v>30900</v>
      </c>
      <c r="I12" s="14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41">
        <v>31689</v>
      </c>
      <c r="I13" s="14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41">
        <v>32561</v>
      </c>
      <c r="I14" s="14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41">
        <v>32979</v>
      </c>
      <c r="I15" s="14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41">
        <v>30386</v>
      </c>
      <c r="I16" s="14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41">
        <v>31217</v>
      </c>
      <c r="I17" s="14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41">
        <v>31112</v>
      </c>
      <c r="I18" s="14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41">
        <v>31805</v>
      </c>
      <c r="I19" s="14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41">
        <v>32125</v>
      </c>
      <c r="I20" s="14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41">
        <v>32979</v>
      </c>
      <c r="I21" s="14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41">
        <v>33688</v>
      </c>
      <c r="I22" s="14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41">
        <v>29885</v>
      </c>
      <c r="I23" s="14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41">
        <v>33091</v>
      </c>
      <c r="I24" s="14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41">
        <v>28531</v>
      </c>
      <c r="I25" s="14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41">
        <v>30028</v>
      </c>
      <c r="I26" s="14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41">
        <v>33231</v>
      </c>
      <c r="I27" s="14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41">
        <v>32571</v>
      </c>
      <c r="I28" s="14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41">
        <v>30817</v>
      </c>
      <c r="I29" s="14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41">
        <v>32679</v>
      </c>
      <c r="I30" s="14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41">
        <v>31729</v>
      </c>
      <c r="I31" s="14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41">
        <v>33559</v>
      </c>
      <c r="I32" s="14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41">
        <v>35125</v>
      </c>
      <c r="I33" s="14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41">
        <v>35609</v>
      </c>
      <c r="I34" s="14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41">
        <v>35840</v>
      </c>
      <c r="I35" s="14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41">
        <v>35855</v>
      </c>
      <c r="I36" s="14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41">
        <v>35981</v>
      </c>
      <c r="I37" s="140">
        <v>10.15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3" name="Button 1">
              <controlPr defaultSize="0" print="0" autoFill="0" autoPict="0" macro="[0]!FormatTable">
                <anchor moveWithCells="1" sizeWithCells="1">
                  <from>
                    <xdr:col>11</xdr:col>
                    <xdr:colOff>450850</xdr:colOff>
                    <xdr:row>3</xdr:row>
                    <xdr:rowOff>19050</xdr:rowOff>
                  </from>
                  <to>
                    <xdr:col>15</xdr:col>
                    <xdr:colOff>368300</xdr:colOff>
                    <xdr:row>10</xdr:row>
                    <xdr:rowOff>146050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Goal</vt:lpstr>
      <vt:lpstr>Totals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G4116</cp:lastModifiedBy>
  <cp:lastPrinted>2016-02-22T19:48:39Z</cp:lastPrinted>
  <dcterms:created xsi:type="dcterms:W3CDTF">2001-09-07T21:10:35Z</dcterms:created>
  <dcterms:modified xsi:type="dcterms:W3CDTF">2024-04-07T14:37:45Z</dcterms:modified>
</cp:coreProperties>
</file>