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mu.sharepoint.com/teams/SpreadsheetModelingProject679/Shared Documents/General/Final Deliverables/"/>
    </mc:Choice>
  </mc:AlternateContent>
  <xr:revisionPtr revIDLastSave="88667" documentId="8_{1DCFF82B-75A7-4B9B-B989-9B6133BC50FC}" xr6:coauthVersionLast="47" xr6:coauthVersionMax="47" xr10:uidLastSave="{9424E9B3-EEE2-4EF7-AA4F-4D9F594655BA}"/>
  <bookViews>
    <workbookView xWindow="-98" yWindow="-98" windowWidth="23236" windowHeight="13996" tabRatio="906" firstSheet="6" activeTab="8" xr2:uid="{33FE049E-3ABB-4615-8214-2A4427F7956E}"/>
  </bookViews>
  <sheets>
    <sheet name="Base Model (backup)" sheetId="11" state="hidden" r:id="rId1"/>
    <sheet name="Base Model (2018) - backup" sheetId="18" state="hidden" r:id="rId2"/>
    <sheet name="Transportation (backup)" sheetId="17" state="hidden" r:id="rId3"/>
    <sheet name="2019 (whole list)" sheetId="2" state="hidden" r:id="rId4"/>
    <sheet name="2019 (average GHG per kg)" sheetId="3" state="hidden" r:id="rId5"/>
    <sheet name="2018 (food consumption)" sheetId="4" state="hidden" r:id="rId6"/>
    <sheet name="GHG_Breakdown_By_Source" sheetId="70" r:id="rId7"/>
    <sheet name="Input_Model" sheetId="71" r:id="rId8"/>
    <sheet name="Baseline_Model_Optimal_Health" sheetId="67" r:id="rId9"/>
    <sheet name="Feasibility Report 1" sheetId="68" state="hidden" r:id="rId10"/>
    <sheet name="Feasibility Report 2" sheetId="69" state="hidden" r:id="rId11"/>
    <sheet name="Scenario1_Optimal+30by30" sheetId="56" r:id="rId12"/>
    <sheet name="Scenario2_Scenario1+MeatSub" sheetId="73" r:id="rId13"/>
    <sheet name="Sensitivity Analysis" sheetId="74" r:id="rId14"/>
  </sheets>
  <externalReferences>
    <externalReference r:id="rId15"/>
  </externalReferences>
  <definedNames>
    <definedName name="_xlnm._FilterDatabase" localSheetId="3" hidden="1">'2019 (whole list)'!$A$1:$K$90</definedName>
    <definedName name="_xlnm._FilterDatabase" localSheetId="6" hidden="1">GHG_Breakdown_By_Source!$A$1:$J$90</definedName>
    <definedName name="_xlnm._FilterDatabase" localSheetId="2" hidden="1">'Transportation (backup)'!$A$1:$I$90</definedName>
    <definedName name="solver_adj" localSheetId="1" hidden="1">'Base Model (2018) - backup'!$C$23:$C$35</definedName>
    <definedName name="solver_adj" localSheetId="0" hidden="1">'Base Model (backup)'!$C$23:$C$35</definedName>
    <definedName name="solver_adj" localSheetId="8" hidden="1">Baseline_Model_Optimal_Health!$C$17:$C$29</definedName>
    <definedName name="solver_adj" localSheetId="7" hidden="1">Input_Model!$F$40:$F$86</definedName>
    <definedName name="solver_adj" localSheetId="11" hidden="1">'Scenario1_Optimal+30by30'!$F$39:$F$82</definedName>
    <definedName name="solver_adj" localSheetId="12" hidden="1">'Scenario2_Scenario1+MeatSub'!$F$45:$F$91</definedName>
    <definedName name="solver_cvg" localSheetId="8" hidden="1">0.0001</definedName>
    <definedName name="solver_cvg" localSheetId="7" hidden="1">0.0001</definedName>
    <definedName name="solver_cvg" localSheetId="11" hidden="1">0.0001</definedName>
    <definedName name="solver_cvg" localSheetId="12" hidden="1">0.0001</definedName>
    <definedName name="solver_drv" localSheetId="8" hidden="1">2</definedName>
    <definedName name="solver_drv" localSheetId="7" hidden="1">2</definedName>
    <definedName name="solver_drv" localSheetId="11" hidden="1">2</definedName>
    <definedName name="solver_drv" localSheetId="12" hidden="1">2</definedName>
    <definedName name="solver_eng" localSheetId="1" hidden="1">1</definedName>
    <definedName name="solver_eng" localSheetId="0" hidden="1">1</definedName>
    <definedName name="solver_eng" localSheetId="8" hidden="1">1</definedName>
    <definedName name="solver_eng" localSheetId="7" hidden="1">1</definedName>
    <definedName name="solver_eng" localSheetId="11" hidden="1">1</definedName>
    <definedName name="solver_eng" localSheetId="12" hidden="1">1</definedName>
    <definedName name="solver_est" localSheetId="8" hidden="1">1</definedName>
    <definedName name="solver_est" localSheetId="7" hidden="1">1</definedName>
    <definedName name="solver_est" localSheetId="11" hidden="1">1</definedName>
    <definedName name="solver_est" localSheetId="12" hidden="1">1</definedName>
    <definedName name="solver_itr" localSheetId="8" hidden="1">2147483647</definedName>
    <definedName name="solver_itr" localSheetId="7" hidden="1">2147483647</definedName>
    <definedName name="solver_itr" localSheetId="11" hidden="1">2147483647</definedName>
    <definedName name="solver_itr" localSheetId="12" hidden="1">2147483647</definedName>
    <definedName name="solver_lhs1" localSheetId="8" hidden="1">Baseline_Model_Optimal_Health!$C$12</definedName>
    <definedName name="solver_lhs1" localSheetId="7" hidden="1">Input_Model!$C$7</definedName>
    <definedName name="solver_lhs1" localSheetId="11" hidden="1">'Scenario1_Optimal+30by30'!$C$12</definedName>
    <definedName name="solver_lhs1" localSheetId="12" hidden="1">'Scenario2_Scenario1+MeatSub'!$C$13</definedName>
    <definedName name="solver_lhs2" localSheetId="8" hidden="1">Baseline_Model_Optimal_Health!$C$11</definedName>
    <definedName name="solver_lhs2" localSheetId="7" hidden="1">Input_Model!$F$40:$F$83</definedName>
    <definedName name="solver_lhs2" localSheetId="11" hidden="1">'Scenario1_Optimal+30by30'!$C$11</definedName>
    <definedName name="solver_lhs2" localSheetId="12" hidden="1">'Scenario2_Scenario1+MeatSub'!$C$12</definedName>
    <definedName name="solver_lhs3" localSheetId="8" hidden="1">Baseline_Model_Optimal_Health!$C$10</definedName>
    <definedName name="solver_lhs3" localSheetId="7" hidden="1">Input_Model!$C$16</definedName>
    <definedName name="solver_lhs3" localSheetId="11" hidden="1">'Scenario1_Optimal+30by30'!$C$10</definedName>
    <definedName name="solver_lhs3" localSheetId="12" hidden="1">'Scenario2_Scenario1+MeatSub'!$C$11</definedName>
    <definedName name="solver_lhs4" localSheetId="8" hidden="1">Baseline_Model_Optimal_Health!$C$17:$C$29</definedName>
    <definedName name="solver_lhs4" localSheetId="7" hidden="1">Input_Model!$C$23:$C$35</definedName>
    <definedName name="solver_lhs4" localSheetId="11" hidden="1">'Scenario1_Optimal+30by30'!$C$15</definedName>
    <definedName name="solver_lhs4" localSheetId="12" hidden="1">'Scenario2_Scenario1+MeatSub'!$C$16</definedName>
    <definedName name="solver_lhs5" localSheetId="8" hidden="1">Baseline_Model_Optimal_Health!$C$7</definedName>
    <definedName name="solver_lhs5" localSheetId="7" hidden="1">Input_Model!$C$15</definedName>
    <definedName name="solver_lhs5" localSheetId="11" hidden="1">'Scenario1_Optimal+30by30'!$C$22:$C$34</definedName>
    <definedName name="solver_lhs5" localSheetId="12" hidden="1">'Scenario2_Scenario1+MeatSub'!$C$28:$C$40</definedName>
    <definedName name="solver_lhs6" localSheetId="8" hidden="1">Baseline_Model_Optimal_Health!$C$11</definedName>
    <definedName name="solver_lhs6" localSheetId="7" hidden="1">Input_Model!$C$10</definedName>
    <definedName name="solver_lhs6" localSheetId="11" hidden="1">'Scenario1_Optimal+30by30'!$C$16</definedName>
    <definedName name="solver_lhs6" localSheetId="12" hidden="1">'Scenario2_Scenario1+MeatSub'!$C$17</definedName>
    <definedName name="solver_lhs7" localSheetId="8" hidden="1">Baseline_Model_Optimal_Health!$C$11</definedName>
    <definedName name="solver_lhs7" localSheetId="7" hidden="1">Input_Model!$C$12</definedName>
    <definedName name="solver_lhs7" localSheetId="11" hidden="1">'Scenario1_Optimal+30by30'!$F$39:$F$82</definedName>
    <definedName name="solver_lhs7" localSheetId="12" hidden="1">'Scenario2_Scenario1+MeatSub'!$C$8</definedName>
    <definedName name="solver_lhs8" localSheetId="8" hidden="1">Baseline_Model_Optimal_Health!$C$7</definedName>
    <definedName name="solver_lhs8" localSheetId="7" hidden="1">Input_Model!$C$11</definedName>
    <definedName name="solver_lhs8" localSheetId="11" hidden="1">'Scenario1_Optimal+30by30'!$C$7</definedName>
    <definedName name="solver_lhs8" localSheetId="12" hidden="1">'Scenario2_Scenario1+MeatSub'!$F$45:$F$88</definedName>
    <definedName name="solver_lhs9" localSheetId="8" hidden="1">Baseline_Model_Optimal_Health!$C$11</definedName>
    <definedName name="solver_lhs9" localSheetId="7" hidden="1">Input_Model!$C$11</definedName>
    <definedName name="solver_lhs9" localSheetId="11" hidden="1">'Scenario1_Optimal+30by30'!$C$11</definedName>
    <definedName name="solver_lhs9" localSheetId="12" hidden="1">'Scenario2_Scenario1+MeatSub'!$C$12</definedName>
    <definedName name="solver_mip" localSheetId="8" hidden="1">2147483647</definedName>
    <definedName name="solver_mip" localSheetId="7" hidden="1">2147483647</definedName>
    <definedName name="solver_mip" localSheetId="11" hidden="1">2147483647</definedName>
    <definedName name="solver_mip" localSheetId="12" hidden="1">2147483647</definedName>
    <definedName name="solver_mni" localSheetId="8" hidden="1">30</definedName>
    <definedName name="solver_mni" localSheetId="7" hidden="1">30</definedName>
    <definedName name="solver_mni" localSheetId="11" hidden="1">30</definedName>
    <definedName name="solver_mni" localSheetId="12" hidden="1">30</definedName>
    <definedName name="solver_mrt" localSheetId="8" hidden="1">0.075</definedName>
    <definedName name="solver_mrt" localSheetId="7" hidden="1">0.075</definedName>
    <definedName name="solver_mrt" localSheetId="11" hidden="1">0.075</definedName>
    <definedName name="solver_mrt" localSheetId="12" hidden="1">0.075</definedName>
    <definedName name="solver_msl" localSheetId="8" hidden="1">2</definedName>
    <definedName name="solver_msl" localSheetId="7" hidden="1">2</definedName>
    <definedName name="solver_msl" localSheetId="11" hidden="1">2</definedName>
    <definedName name="solver_msl" localSheetId="12" hidden="1">2</definedName>
    <definedName name="solver_neg" localSheetId="1" hidden="1">1</definedName>
    <definedName name="solver_neg" localSheetId="0" hidden="1">1</definedName>
    <definedName name="solver_neg" localSheetId="8" hidden="1">1</definedName>
    <definedName name="solver_neg" localSheetId="7" hidden="1">1</definedName>
    <definedName name="solver_neg" localSheetId="11" hidden="1">1</definedName>
    <definedName name="solver_neg" localSheetId="12" hidden="1">1</definedName>
    <definedName name="solver_nod" localSheetId="8" hidden="1">2147483647</definedName>
    <definedName name="solver_nod" localSheetId="7" hidden="1">2147483647</definedName>
    <definedName name="solver_nod" localSheetId="11" hidden="1">2147483647</definedName>
    <definedName name="solver_nod" localSheetId="12" hidden="1">2147483647</definedName>
    <definedName name="solver_num" localSheetId="1" hidden="1">0</definedName>
    <definedName name="solver_num" localSheetId="0" hidden="1">0</definedName>
    <definedName name="solver_num" localSheetId="8" hidden="1">5</definedName>
    <definedName name="solver_num" localSheetId="7" hidden="1">8</definedName>
    <definedName name="solver_num" localSheetId="11" hidden="1">8</definedName>
    <definedName name="solver_num" localSheetId="12" hidden="1">8</definedName>
    <definedName name="solver_nwt" localSheetId="8" hidden="1">1</definedName>
    <definedName name="solver_nwt" localSheetId="7" hidden="1">1</definedName>
    <definedName name="solver_nwt" localSheetId="11" hidden="1">1</definedName>
    <definedName name="solver_nwt" localSheetId="12" hidden="1">1</definedName>
    <definedName name="solver_opt" localSheetId="1" hidden="1">'Base Model (2018) - backup'!$D$3</definedName>
    <definedName name="solver_opt" localSheetId="0" hidden="1">'Base Model (backup)'!$D$3</definedName>
    <definedName name="solver_opt" localSheetId="8" hidden="1">Baseline_Model_Optimal_Health!$C$3</definedName>
    <definedName name="solver_opt" localSheetId="7" hidden="1">Input_Model!$C$3</definedName>
    <definedName name="solver_opt" localSheetId="11" hidden="1">'Scenario1_Optimal+30by30'!$C$3</definedName>
    <definedName name="solver_opt" localSheetId="12" hidden="1">'Scenario2_Scenario1+MeatSub'!$C$3</definedName>
    <definedName name="solver_pre" localSheetId="8" hidden="1">0.000001</definedName>
    <definedName name="solver_pre" localSheetId="7" hidden="1">0.000001</definedName>
    <definedName name="solver_pre" localSheetId="11" hidden="1">0.000001</definedName>
    <definedName name="solver_pre" localSheetId="12" hidden="1">0.000001</definedName>
    <definedName name="solver_rbv" localSheetId="8" hidden="1">2</definedName>
    <definedName name="solver_rbv" localSheetId="7" hidden="1">2</definedName>
    <definedName name="solver_rbv" localSheetId="11" hidden="1">2</definedName>
    <definedName name="solver_rbv" localSheetId="12" hidden="1">2</definedName>
    <definedName name="solver_rel1" localSheetId="8" hidden="1">2</definedName>
    <definedName name="solver_rel1" localSheetId="7" hidden="1">2</definedName>
    <definedName name="solver_rel1" localSheetId="11" hidden="1">2</definedName>
    <definedName name="solver_rel1" localSheetId="12" hidden="1">2</definedName>
    <definedName name="solver_rel2" localSheetId="8" hidden="1">2</definedName>
    <definedName name="solver_rel2" localSheetId="7" hidden="1">3</definedName>
    <definedName name="solver_rel2" localSheetId="11" hidden="1">2</definedName>
    <definedName name="solver_rel2" localSheetId="12" hidden="1">2</definedName>
    <definedName name="solver_rel3" localSheetId="8" hidden="1">2</definedName>
    <definedName name="solver_rel3" localSheetId="7" hidden="1">2</definedName>
    <definedName name="solver_rel3" localSheetId="11" hidden="1">2</definedName>
    <definedName name="solver_rel3" localSheetId="12" hidden="1">2</definedName>
    <definedName name="solver_rel4" localSheetId="8" hidden="1">3</definedName>
    <definedName name="solver_rel4" localSheetId="7" hidden="1">3</definedName>
    <definedName name="solver_rel4" localSheetId="11" hidden="1">2</definedName>
    <definedName name="solver_rel4" localSheetId="12" hidden="1">2</definedName>
    <definedName name="solver_rel5" localSheetId="8" hidden="1">2</definedName>
    <definedName name="solver_rel5" localSheetId="7" hidden="1">2</definedName>
    <definedName name="solver_rel5" localSheetId="11" hidden="1">3</definedName>
    <definedName name="solver_rel5" localSheetId="12" hidden="1">3</definedName>
    <definedName name="solver_rel6" localSheetId="8" hidden="1">2</definedName>
    <definedName name="solver_rel6" localSheetId="7" hidden="1">2</definedName>
    <definedName name="solver_rel6" localSheetId="11" hidden="1">2</definedName>
    <definedName name="solver_rel6" localSheetId="12" hidden="1">2</definedName>
    <definedName name="solver_rel7" localSheetId="8" hidden="1">2</definedName>
    <definedName name="solver_rel7" localSheetId="7" hidden="1">2</definedName>
    <definedName name="solver_rel7" localSheetId="11" hidden="1">3</definedName>
    <definedName name="solver_rel7" localSheetId="12" hidden="1">2</definedName>
    <definedName name="solver_rel8" localSheetId="8" hidden="1">2</definedName>
    <definedName name="solver_rel8" localSheetId="7" hidden="1">2</definedName>
    <definedName name="solver_rel8" localSheetId="11" hidden="1">2</definedName>
    <definedName name="solver_rel8" localSheetId="12" hidden="1">3</definedName>
    <definedName name="solver_rel9" localSheetId="8" hidden="1">2</definedName>
    <definedName name="solver_rel9" localSheetId="7" hidden="1">2</definedName>
    <definedName name="solver_rel9" localSheetId="11" hidden="1">2</definedName>
    <definedName name="solver_rel9" localSheetId="12" hidden="1">2</definedName>
    <definedName name="solver_rhs1" localSheetId="8" hidden="1">50%</definedName>
    <definedName name="solver_rhs1" localSheetId="7" hidden="1">365</definedName>
    <definedName name="solver_rhs1" localSheetId="11" hidden="1">50%</definedName>
    <definedName name="solver_rhs1" localSheetId="12" hidden="1">50%</definedName>
    <definedName name="solver_rhs2" localSheetId="8" hidden="1">25%</definedName>
    <definedName name="solver_rhs2" localSheetId="7" hidden="1">Input_Model!$M$23</definedName>
    <definedName name="solver_rhs2" localSheetId="11" hidden="1">25%</definedName>
    <definedName name="solver_rhs2" localSheetId="12" hidden="1">25%</definedName>
    <definedName name="solver_rhs3" localSheetId="8" hidden="1">25%</definedName>
    <definedName name="solver_rhs3" localSheetId="7" hidden="1">Input_Model!$D$16</definedName>
    <definedName name="solver_rhs3" localSheetId="11" hidden="1">25%</definedName>
    <definedName name="solver_rhs3" localSheetId="12" hidden="1">25%</definedName>
    <definedName name="solver_rhs4" localSheetId="8" hidden="1">Baseline_Model_Optimal_Health!$K$17:$K$29</definedName>
    <definedName name="solver_rhs4" localSheetId="7" hidden="1">Input_Model!$J$23:$J$35</definedName>
    <definedName name="solver_rhs4" localSheetId="11" hidden="1">'Scenario1_Optimal+30by30'!$D$15</definedName>
    <definedName name="solver_rhs4" localSheetId="12" hidden="1">'Scenario2_Scenario1+MeatSub'!$D$16</definedName>
    <definedName name="solver_rhs5" localSheetId="8" hidden="1">365</definedName>
    <definedName name="solver_rhs5" localSheetId="7" hidden="1">Input_Model!$D$15</definedName>
    <definedName name="solver_rhs5" localSheetId="11" hidden="1">'Scenario1_Optimal+30by30'!$K$22:$K$34</definedName>
    <definedName name="solver_rhs5" localSheetId="12" hidden="1">'Scenario2_Scenario1+MeatSub'!$K$28:$K$40</definedName>
    <definedName name="solver_rhs6" localSheetId="8" hidden="1">25%</definedName>
    <definedName name="solver_rhs6" localSheetId="7" hidden="1">25%</definedName>
    <definedName name="solver_rhs6" localSheetId="11" hidden="1">'Scenario1_Optimal+30by30'!$D$16</definedName>
    <definedName name="solver_rhs6" localSheetId="12" hidden="1">'Scenario2_Scenario1+MeatSub'!$D$17</definedName>
    <definedName name="solver_rhs7" localSheetId="8" hidden="1">25%</definedName>
    <definedName name="solver_rhs7" localSheetId="7" hidden="1">50%</definedName>
    <definedName name="solver_rhs7" localSheetId="11" hidden="1">'Scenario1_Optimal+30by30'!$N$22</definedName>
    <definedName name="solver_rhs7" localSheetId="12" hidden="1">365</definedName>
    <definedName name="solver_rhs8" localSheetId="8" hidden="1">365</definedName>
    <definedName name="solver_rhs8" localSheetId="7" hidden="1">25%</definedName>
    <definedName name="solver_rhs8" localSheetId="11" hidden="1">365</definedName>
    <definedName name="solver_rhs8" localSheetId="12" hidden="1">'Scenario2_Scenario1+MeatSub'!$N$28</definedName>
    <definedName name="solver_rhs9" localSheetId="8" hidden="1">25%</definedName>
    <definedName name="solver_rhs9" localSheetId="7" hidden="1">25%</definedName>
    <definedName name="solver_rhs9" localSheetId="11" hidden="1">25%</definedName>
    <definedName name="solver_rhs9" localSheetId="12" hidden="1">25%</definedName>
    <definedName name="solver_rlx" localSheetId="8" hidden="1">2</definedName>
    <definedName name="solver_rlx" localSheetId="7" hidden="1">2</definedName>
    <definedName name="solver_rlx" localSheetId="11" hidden="1">2</definedName>
    <definedName name="solver_rlx" localSheetId="12" hidden="1">2</definedName>
    <definedName name="solver_rsd" localSheetId="8" hidden="1">0</definedName>
    <definedName name="solver_rsd" localSheetId="7" hidden="1">0</definedName>
    <definedName name="solver_rsd" localSheetId="11" hidden="1">0</definedName>
    <definedName name="solver_rsd" localSheetId="12" hidden="1">0</definedName>
    <definedName name="solver_scl" localSheetId="8" hidden="1">1</definedName>
    <definedName name="solver_scl" localSheetId="7" hidden="1">2</definedName>
    <definedName name="solver_scl" localSheetId="11" hidden="1">2</definedName>
    <definedName name="solver_scl" localSheetId="12" hidden="1">2</definedName>
    <definedName name="solver_sho" localSheetId="8" hidden="1">2</definedName>
    <definedName name="solver_sho" localSheetId="7" hidden="1">2</definedName>
    <definedName name="solver_sho" localSheetId="11" hidden="1">2</definedName>
    <definedName name="solver_sho" localSheetId="12" hidden="1">2</definedName>
    <definedName name="solver_ssz" localSheetId="8" hidden="1">100</definedName>
    <definedName name="solver_ssz" localSheetId="7" hidden="1">100</definedName>
    <definedName name="solver_ssz" localSheetId="11" hidden="1">100</definedName>
    <definedName name="solver_ssz" localSheetId="12" hidden="1">100</definedName>
    <definedName name="solver_tim" localSheetId="8" hidden="1">2147483647</definedName>
    <definedName name="solver_tim" localSheetId="7" hidden="1">2147483647</definedName>
    <definedName name="solver_tim" localSheetId="11" hidden="1">2147483647</definedName>
    <definedName name="solver_tim" localSheetId="12" hidden="1">2147483647</definedName>
    <definedName name="solver_tol" localSheetId="8" hidden="1">0.01</definedName>
    <definedName name="solver_tol" localSheetId="7" hidden="1">0.01</definedName>
    <definedName name="solver_tol" localSheetId="11" hidden="1">0.01</definedName>
    <definedName name="solver_tol" localSheetId="12" hidden="1">0.01</definedName>
    <definedName name="solver_typ" localSheetId="1" hidden="1">2</definedName>
    <definedName name="solver_typ" localSheetId="0" hidden="1">2</definedName>
    <definedName name="solver_typ" localSheetId="8" hidden="1">2</definedName>
    <definedName name="solver_typ" localSheetId="7" hidden="1">2</definedName>
    <definedName name="solver_typ" localSheetId="11" hidden="1">2</definedName>
    <definedName name="solver_typ" localSheetId="12" hidden="1">2</definedName>
    <definedName name="solver_val" localSheetId="1" hidden="1">0</definedName>
    <definedName name="solver_val" localSheetId="0" hidden="1">0</definedName>
    <definedName name="solver_val" localSheetId="8" hidden="1">0.3</definedName>
    <definedName name="solver_val" localSheetId="7" hidden="1">0.3</definedName>
    <definedName name="solver_val" localSheetId="11" hidden="1">0.3</definedName>
    <definedName name="solver_val" localSheetId="12" hidden="1">0.3</definedName>
    <definedName name="solver_ver" localSheetId="1" hidden="1">3</definedName>
    <definedName name="solver_ver" localSheetId="0" hidden="1">3</definedName>
    <definedName name="solver_ver" localSheetId="8" hidden="1">3</definedName>
    <definedName name="solver_ver" localSheetId="7" hidden="1">3</definedName>
    <definedName name="solver_ver" localSheetId="11" hidden="1">3</definedName>
    <definedName name="solver_ver" localSheetId="12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5" i="74" l="1"/>
  <c r="R65" i="74"/>
  <c r="Q65" i="74"/>
  <c r="P65" i="74"/>
  <c r="O65" i="74"/>
  <c r="N65" i="74"/>
  <c r="S64" i="74"/>
  <c r="R64" i="74"/>
  <c r="Q64" i="74"/>
  <c r="P64" i="74"/>
  <c r="O64" i="74"/>
  <c r="N64" i="74"/>
  <c r="S63" i="74"/>
  <c r="R63" i="74"/>
  <c r="Q63" i="74"/>
  <c r="P63" i="74"/>
  <c r="O63" i="74"/>
  <c r="N63" i="74"/>
  <c r="H62" i="74"/>
  <c r="H61" i="74"/>
  <c r="G60" i="74"/>
  <c r="G59" i="74"/>
  <c r="F58" i="74"/>
  <c r="F57" i="74"/>
  <c r="E56" i="74"/>
  <c r="E55" i="74"/>
  <c r="D53" i="74"/>
  <c r="J52" i="74"/>
  <c r="C52" i="74"/>
  <c r="C51" i="74"/>
  <c r="H49" i="74"/>
  <c r="H48" i="74"/>
  <c r="H63" i="74" s="1"/>
  <c r="G47" i="74"/>
  <c r="G46" i="74"/>
  <c r="G63" i="74" s="1"/>
  <c r="F44" i="74"/>
  <c r="F63" i="74" s="1"/>
  <c r="E43" i="74"/>
  <c r="E42" i="74"/>
  <c r="E63" i="74" s="1"/>
  <c r="D41" i="74"/>
  <c r="D40" i="74"/>
  <c r="C39" i="74"/>
  <c r="C63" i="74" s="1"/>
  <c r="C38" i="74"/>
  <c r="S37" i="74"/>
  <c r="R37" i="74"/>
  <c r="Q37" i="74"/>
  <c r="P37" i="74"/>
  <c r="O37" i="74"/>
  <c r="N37" i="74"/>
  <c r="H37" i="74"/>
  <c r="G37" i="74"/>
  <c r="F37" i="74"/>
  <c r="F45" i="74" s="1"/>
  <c r="E37" i="74"/>
  <c r="D37" i="74"/>
  <c r="D54" i="74" s="1"/>
  <c r="C37" i="74"/>
  <c r="S31" i="74"/>
  <c r="R31" i="74"/>
  <c r="Q31" i="74"/>
  <c r="P31" i="74"/>
  <c r="O31" i="74"/>
  <c r="N31" i="74"/>
  <c r="S30" i="74"/>
  <c r="R30" i="74"/>
  <c r="Q30" i="74"/>
  <c r="P30" i="74"/>
  <c r="O30" i="74"/>
  <c r="N30" i="74"/>
  <c r="J30" i="74"/>
  <c r="H31" i="74" s="1"/>
  <c r="S29" i="74"/>
  <c r="R29" i="74"/>
  <c r="Q29" i="74"/>
  <c r="P29" i="74"/>
  <c r="O29" i="74"/>
  <c r="N29" i="74"/>
  <c r="H28" i="74"/>
  <c r="H27" i="74"/>
  <c r="G26" i="74"/>
  <c r="G25" i="74"/>
  <c r="F23" i="74"/>
  <c r="E21" i="74"/>
  <c r="D19" i="74"/>
  <c r="C18" i="74"/>
  <c r="C17" i="74"/>
  <c r="H14" i="74"/>
  <c r="H29" i="74" s="1"/>
  <c r="G12" i="74"/>
  <c r="G29" i="74" s="1"/>
  <c r="F10" i="74"/>
  <c r="E9" i="74"/>
  <c r="E8" i="74"/>
  <c r="D6" i="74"/>
  <c r="C4" i="74"/>
  <c r="S3" i="74"/>
  <c r="R3" i="74"/>
  <c r="Q3" i="74"/>
  <c r="P3" i="74"/>
  <c r="O3" i="74"/>
  <c r="N3" i="74"/>
  <c r="H3" i="74"/>
  <c r="H15" i="74" s="1"/>
  <c r="G3" i="74"/>
  <c r="G13" i="74" s="1"/>
  <c r="F3" i="74"/>
  <c r="F24" i="74" s="1"/>
  <c r="E3" i="74"/>
  <c r="E22" i="74" s="1"/>
  <c r="D3" i="74"/>
  <c r="D7" i="74" s="1"/>
  <c r="C3" i="74"/>
  <c r="C5" i="74" s="1"/>
  <c r="C29" i="74" s="1"/>
  <c r="F29" i="74" l="1"/>
  <c r="D63" i="74"/>
  <c r="E29" i="74"/>
  <c r="C31" i="74"/>
  <c r="D31" i="74"/>
  <c r="E31" i="74"/>
  <c r="G31" i="74"/>
  <c r="F11" i="74"/>
  <c r="J64" i="74"/>
  <c r="F31" i="74"/>
  <c r="D20" i="74"/>
  <c r="D29" i="74" s="1"/>
  <c r="G65" i="74" l="1"/>
  <c r="F65" i="74"/>
  <c r="E65" i="74"/>
  <c r="D65" i="74"/>
  <c r="C65" i="74"/>
  <c r="H65" i="74"/>
  <c r="H29" i="67" l="1"/>
  <c r="H28" i="67"/>
  <c r="H27" i="67"/>
  <c r="H26" i="67"/>
  <c r="H25" i="67"/>
  <c r="H24" i="67"/>
  <c r="H23" i="67"/>
  <c r="H22" i="67"/>
  <c r="H21" i="67"/>
  <c r="H20" i="67"/>
  <c r="H19" i="67"/>
  <c r="H18" i="67"/>
  <c r="H17" i="67"/>
  <c r="N91" i="73"/>
  <c r="O91" i="73" s="1"/>
  <c r="N90" i="73"/>
  <c r="O90" i="73" s="1"/>
  <c r="O89" i="73"/>
  <c r="N89" i="73"/>
  <c r="I89" i="73"/>
  <c r="N88" i="73"/>
  <c r="O88" i="73" s="1"/>
  <c r="G88" i="73"/>
  <c r="I88" i="73" s="1"/>
  <c r="N87" i="73"/>
  <c r="O87" i="73" s="1"/>
  <c r="G87" i="73"/>
  <c r="I87" i="73" s="1"/>
  <c r="N86" i="73"/>
  <c r="O86" i="73" s="1"/>
  <c r="G86" i="73"/>
  <c r="I86" i="73" s="1"/>
  <c r="N85" i="73"/>
  <c r="O85" i="73" s="1"/>
  <c r="E34" i="73" s="1"/>
  <c r="G85" i="73"/>
  <c r="I85" i="73" s="1"/>
  <c r="N84" i="73"/>
  <c r="O84" i="73" s="1"/>
  <c r="G84" i="73"/>
  <c r="H84" i="73" s="1"/>
  <c r="O83" i="73"/>
  <c r="N83" i="73"/>
  <c r="G83" i="73"/>
  <c r="I83" i="73" s="1"/>
  <c r="N82" i="73"/>
  <c r="O82" i="73" s="1"/>
  <c r="G82" i="73"/>
  <c r="I82" i="73" s="1"/>
  <c r="O81" i="73"/>
  <c r="N81" i="73"/>
  <c r="G81" i="73"/>
  <c r="I81" i="73" s="1"/>
  <c r="N80" i="73"/>
  <c r="O80" i="73" s="1"/>
  <c r="E39" i="73" s="1"/>
  <c r="G80" i="73"/>
  <c r="H80" i="73" s="1"/>
  <c r="O79" i="73"/>
  <c r="N79" i="73"/>
  <c r="G79" i="73"/>
  <c r="I79" i="73" s="1"/>
  <c r="N78" i="73"/>
  <c r="O78" i="73" s="1"/>
  <c r="G78" i="73"/>
  <c r="I78" i="73" s="1"/>
  <c r="F40" i="73" s="1"/>
  <c r="N77" i="73"/>
  <c r="O77" i="73" s="1"/>
  <c r="G77" i="73"/>
  <c r="H77" i="73" s="1"/>
  <c r="N76" i="73"/>
  <c r="O76" i="73" s="1"/>
  <c r="G76" i="73"/>
  <c r="I76" i="73" s="1"/>
  <c r="O75" i="73"/>
  <c r="N75" i="73"/>
  <c r="G75" i="73"/>
  <c r="I75" i="73" s="1"/>
  <c r="O74" i="73"/>
  <c r="N74" i="73"/>
  <c r="G74" i="73"/>
  <c r="H74" i="73" s="1"/>
  <c r="O73" i="73"/>
  <c r="N73" i="73"/>
  <c r="G73" i="73"/>
  <c r="H73" i="73" s="1"/>
  <c r="N72" i="73"/>
  <c r="O72" i="73" s="1"/>
  <c r="G72" i="73"/>
  <c r="I72" i="73" s="1"/>
  <c r="N71" i="73"/>
  <c r="O71" i="73" s="1"/>
  <c r="G71" i="73"/>
  <c r="I71" i="73" s="1"/>
  <c r="N70" i="73"/>
  <c r="O70" i="73" s="1"/>
  <c r="G70" i="73"/>
  <c r="I70" i="73" s="1"/>
  <c r="N69" i="73"/>
  <c r="O69" i="73" s="1"/>
  <c r="G69" i="73"/>
  <c r="I69" i="73" s="1"/>
  <c r="N68" i="73"/>
  <c r="O68" i="73" s="1"/>
  <c r="G68" i="73"/>
  <c r="H68" i="73" s="1"/>
  <c r="O67" i="73"/>
  <c r="N67" i="73"/>
  <c r="G67" i="73"/>
  <c r="I67" i="73" s="1"/>
  <c r="N66" i="73"/>
  <c r="O66" i="73" s="1"/>
  <c r="G66" i="73"/>
  <c r="I66" i="73" s="1"/>
  <c r="O65" i="73"/>
  <c r="N65" i="73"/>
  <c r="G65" i="73"/>
  <c r="H65" i="73" s="1"/>
  <c r="N64" i="73"/>
  <c r="O64" i="73" s="1"/>
  <c r="G64" i="73"/>
  <c r="I64" i="73" s="1"/>
  <c r="O63" i="73"/>
  <c r="N63" i="73"/>
  <c r="G63" i="73"/>
  <c r="I63" i="73" s="1"/>
  <c r="N62" i="73"/>
  <c r="O62" i="73" s="1"/>
  <c r="G62" i="73"/>
  <c r="I62" i="73" s="1"/>
  <c r="N61" i="73"/>
  <c r="O61" i="73" s="1"/>
  <c r="G61" i="73"/>
  <c r="H61" i="73" s="1"/>
  <c r="N60" i="73"/>
  <c r="O60" i="73" s="1"/>
  <c r="G60" i="73"/>
  <c r="I60" i="73" s="1"/>
  <c r="O59" i="73"/>
  <c r="N59" i="73"/>
  <c r="G59" i="73"/>
  <c r="I59" i="73" s="1"/>
  <c r="O58" i="73"/>
  <c r="N58" i="73"/>
  <c r="G58" i="73"/>
  <c r="I58" i="73" s="1"/>
  <c r="O57" i="73"/>
  <c r="N57" i="73"/>
  <c r="G57" i="73"/>
  <c r="H57" i="73" s="1"/>
  <c r="N56" i="73"/>
  <c r="O56" i="73" s="1"/>
  <c r="G56" i="73"/>
  <c r="I56" i="73" s="1"/>
  <c r="N55" i="73"/>
  <c r="O55" i="73" s="1"/>
  <c r="G55" i="73"/>
  <c r="I55" i="73" s="1"/>
  <c r="O54" i="73"/>
  <c r="N54" i="73"/>
  <c r="G54" i="73"/>
  <c r="I54" i="73" s="1"/>
  <c r="N53" i="73"/>
  <c r="O53" i="73" s="1"/>
  <c r="G53" i="73"/>
  <c r="H53" i="73" s="1"/>
  <c r="N52" i="73"/>
  <c r="O52" i="73" s="1"/>
  <c r="G52" i="73"/>
  <c r="H52" i="73" s="1"/>
  <c r="O51" i="73"/>
  <c r="N51" i="73"/>
  <c r="G51" i="73"/>
  <c r="I51" i="73" s="1"/>
  <c r="N50" i="73"/>
  <c r="O50" i="73" s="1"/>
  <c r="G50" i="73"/>
  <c r="I50" i="73" s="1"/>
  <c r="O49" i="73"/>
  <c r="N49" i="73"/>
  <c r="G49" i="73"/>
  <c r="H49" i="73" s="1"/>
  <c r="N48" i="73"/>
  <c r="O48" i="73" s="1"/>
  <c r="G48" i="73"/>
  <c r="I48" i="73" s="1"/>
  <c r="O47" i="73"/>
  <c r="N47" i="73"/>
  <c r="G47" i="73"/>
  <c r="I47" i="73" s="1"/>
  <c r="N46" i="73"/>
  <c r="O46" i="73" s="1"/>
  <c r="G46" i="73"/>
  <c r="I46" i="73" s="1"/>
  <c r="N45" i="73"/>
  <c r="O45" i="73" s="1"/>
  <c r="G45" i="73"/>
  <c r="H45" i="73" s="1"/>
  <c r="L40" i="73"/>
  <c r="K40" i="73"/>
  <c r="L39" i="73"/>
  <c r="K39" i="73"/>
  <c r="L38" i="73"/>
  <c r="K38" i="73"/>
  <c r="L37" i="73"/>
  <c r="K37" i="73"/>
  <c r="L36" i="73"/>
  <c r="K36" i="73"/>
  <c r="L35" i="73"/>
  <c r="K35" i="73"/>
  <c r="L34" i="73"/>
  <c r="K34" i="73"/>
  <c r="L33" i="73"/>
  <c r="K33" i="73"/>
  <c r="L32" i="73"/>
  <c r="K32" i="73"/>
  <c r="L31" i="73"/>
  <c r="K31" i="73"/>
  <c r="L30" i="73"/>
  <c r="K30" i="73"/>
  <c r="L29" i="73"/>
  <c r="K29" i="73"/>
  <c r="L28" i="73"/>
  <c r="K28" i="73"/>
  <c r="C17" i="73"/>
  <c r="C16" i="73"/>
  <c r="M86" i="71"/>
  <c r="N86" i="71" s="1"/>
  <c r="M85" i="71"/>
  <c r="N85" i="71" s="1"/>
  <c r="M84" i="71"/>
  <c r="N84" i="71" s="1"/>
  <c r="M83" i="71"/>
  <c r="N83" i="71" s="1"/>
  <c r="G83" i="71"/>
  <c r="H83" i="71" s="1"/>
  <c r="M82" i="71"/>
  <c r="N82" i="71" s="1"/>
  <c r="G82" i="71"/>
  <c r="I82" i="71" s="1"/>
  <c r="M81" i="71"/>
  <c r="N81" i="71" s="1"/>
  <c r="G81" i="71"/>
  <c r="I81" i="71" s="1"/>
  <c r="M80" i="71"/>
  <c r="N80" i="71" s="1"/>
  <c r="G80" i="71"/>
  <c r="M79" i="71"/>
  <c r="N79" i="71" s="1"/>
  <c r="G79" i="71"/>
  <c r="H79" i="71" s="1"/>
  <c r="M78" i="71"/>
  <c r="N78" i="71" s="1"/>
  <c r="G78" i="71"/>
  <c r="H78" i="71" s="1"/>
  <c r="C32" i="71" s="1"/>
  <c r="M77" i="71"/>
  <c r="N77" i="71" s="1"/>
  <c r="G77" i="71"/>
  <c r="I77" i="71" s="1"/>
  <c r="M76" i="71"/>
  <c r="N76" i="71" s="1"/>
  <c r="G76" i="71"/>
  <c r="H76" i="71" s="1"/>
  <c r="M75" i="71"/>
  <c r="N75" i="71" s="1"/>
  <c r="G75" i="71"/>
  <c r="M74" i="71"/>
  <c r="N74" i="71" s="1"/>
  <c r="G74" i="71"/>
  <c r="M73" i="71"/>
  <c r="N73" i="71" s="1"/>
  <c r="G73" i="71"/>
  <c r="H73" i="71" s="1"/>
  <c r="M72" i="71"/>
  <c r="N72" i="71" s="1"/>
  <c r="G72" i="71"/>
  <c r="H72" i="71" s="1"/>
  <c r="M71" i="71"/>
  <c r="N71" i="71" s="1"/>
  <c r="G71" i="71"/>
  <c r="M70" i="71"/>
  <c r="N70" i="71" s="1"/>
  <c r="G70" i="71"/>
  <c r="H70" i="71" s="1"/>
  <c r="M69" i="71"/>
  <c r="N69" i="71" s="1"/>
  <c r="G69" i="71"/>
  <c r="I69" i="71" s="1"/>
  <c r="M68" i="71"/>
  <c r="N68" i="71" s="1"/>
  <c r="G68" i="71"/>
  <c r="H68" i="71" s="1"/>
  <c r="M67" i="71"/>
  <c r="N67" i="71" s="1"/>
  <c r="G67" i="71"/>
  <c r="M66" i="71"/>
  <c r="N66" i="71" s="1"/>
  <c r="G66" i="71"/>
  <c r="M65" i="71"/>
  <c r="N65" i="71" s="1"/>
  <c r="G65" i="71"/>
  <c r="I65" i="71" s="1"/>
  <c r="M64" i="71"/>
  <c r="N64" i="71" s="1"/>
  <c r="G64" i="71"/>
  <c r="M63" i="71"/>
  <c r="N63" i="71" s="1"/>
  <c r="G63" i="71"/>
  <c r="H63" i="71" s="1"/>
  <c r="M62" i="71"/>
  <c r="N62" i="71" s="1"/>
  <c r="G62" i="71"/>
  <c r="I62" i="71" s="1"/>
  <c r="M61" i="71"/>
  <c r="N61" i="71" s="1"/>
  <c r="G61" i="71"/>
  <c r="M60" i="71"/>
  <c r="N60" i="71" s="1"/>
  <c r="G60" i="71"/>
  <c r="I60" i="71" s="1"/>
  <c r="M59" i="71"/>
  <c r="N59" i="71" s="1"/>
  <c r="G59" i="71"/>
  <c r="I59" i="71" s="1"/>
  <c r="M58" i="71"/>
  <c r="N58" i="71" s="1"/>
  <c r="G58" i="71"/>
  <c r="I58" i="71" s="1"/>
  <c r="M57" i="71"/>
  <c r="N57" i="71" s="1"/>
  <c r="G57" i="71"/>
  <c r="I57" i="71" s="1"/>
  <c r="M56" i="71"/>
  <c r="N56" i="71" s="1"/>
  <c r="G56" i="71"/>
  <c r="H56" i="71" s="1"/>
  <c r="M55" i="71"/>
  <c r="N55" i="71" s="1"/>
  <c r="G55" i="71"/>
  <c r="H55" i="71" s="1"/>
  <c r="M54" i="71"/>
  <c r="N54" i="71" s="1"/>
  <c r="G54" i="71"/>
  <c r="M53" i="71"/>
  <c r="N53" i="71" s="1"/>
  <c r="G53" i="71"/>
  <c r="M52" i="71"/>
  <c r="N52" i="71" s="1"/>
  <c r="G52" i="71"/>
  <c r="H52" i="71" s="1"/>
  <c r="M51" i="71"/>
  <c r="N51" i="71" s="1"/>
  <c r="G51" i="71"/>
  <c r="M50" i="71"/>
  <c r="N50" i="71" s="1"/>
  <c r="G50" i="71"/>
  <c r="I50" i="71" s="1"/>
  <c r="M49" i="71"/>
  <c r="N49" i="71" s="1"/>
  <c r="G49" i="71"/>
  <c r="M48" i="71"/>
  <c r="N48" i="71" s="1"/>
  <c r="G48" i="71"/>
  <c r="M47" i="71"/>
  <c r="N47" i="71" s="1"/>
  <c r="G47" i="71"/>
  <c r="H47" i="71" s="1"/>
  <c r="M46" i="71"/>
  <c r="N46" i="71" s="1"/>
  <c r="G46" i="71"/>
  <c r="H46" i="71" s="1"/>
  <c r="M45" i="71"/>
  <c r="N45" i="71" s="1"/>
  <c r="G45" i="71"/>
  <c r="I45" i="71" s="1"/>
  <c r="M44" i="71"/>
  <c r="N44" i="71" s="1"/>
  <c r="G44" i="71"/>
  <c r="I44" i="71" s="1"/>
  <c r="M43" i="71"/>
  <c r="N43" i="71" s="1"/>
  <c r="G43" i="71"/>
  <c r="H43" i="71" s="1"/>
  <c r="M42" i="71"/>
  <c r="N42" i="71" s="1"/>
  <c r="G42" i="71"/>
  <c r="M41" i="71"/>
  <c r="N41" i="71" s="1"/>
  <c r="G41" i="71"/>
  <c r="M40" i="71"/>
  <c r="N40" i="71" s="1"/>
  <c r="G40" i="71"/>
  <c r="H40" i="71" s="1"/>
  <c r="C16" i="71"/>
  <c r="C15" i="71"/>
  <c r="J53" i="70"/>
  <c r="J52" i="70"/>
  <c r="J51" i="70"/>
  <c r="J50" i="70"/>
  <c r="J49" i="70"/>
  <c r="J32" i="70"/>
  <c r="J31" i="70"/>
  <c r="J30" i="70"/>
  <c r="J29" i="70"/>
  <c r="J28" i="70"/>
  <c r="J27" i="70"/>
  <c r="J26" i="70"/>
  <c r="J25" i="70"/>
  <c r="J24" i="70"/>
  <c r="J23" i="70"/>
  <c r="J22" i="70"/>
  <c r="J21" i="70"/>
  <c r="J20" i="70"/>
  <c r="J19" i="70"/>
  <c r="J18" i="70"/>
  <c r="J17" i="70"/>
  <c r="J16" i="70"/>
  <c r="J15" i="70"/>
  <c r="J14" i="70"/>
  <c r="J13" i="70"/>
  <c r="J12" i="70"/>
  <c r="J11" i="70"/>
  <c r="J10" i="70"/>
  <c r="J9" i="70"/>
  <c r="J8" i="70"/>
  <c r="J7" i="70"/>
  <c r="J6" i="70"/>
  <c r="J5" i="70"/>
  <c r="J4" i="70"/>
  <c r="J3" i="70"/>
  <c r="J2" i="70"/>
  <c r="E90" i="70"/>
  <c r="E89" i="70"/>
  <c r="E88" i="70"/>
  <c r="E87" i="70"/>
  <c r="E86" i="70"/>
  <c r="E85" i="70"/>
  <c r="E84" i="70"/>
  <c r="E83" i="70"/>
  <c r="E82" i="70"/>
  <c r="E81" i="70"/>
  <c r="E80" i="70"/>
  <c r="E79" i="70"/>
  <c r="E78" i="70"/>
  <c r="E77" i="70"/>
  <c r="E76" i="70"/>
  <c r="E75" i="70"/>
  <c r="E74" i="70"/>
  <c r="E73" i="70"/>
  <c r="E72" i="70"/>
  <c r="E71" i="70"/>
  <c r="E70" i="70"/>
  <c r="E69" i="70"/>
  <c r="E68" i="70"/>
  <c r="E67" i="70"/>
  <c r="E66" i="70"/>
  <c r="E65" i="70"/>
  <c r="E64" i="70"/>
  <c r="E63" i="70"/>
  <c r="E62" i="70"/>
  <c r="E61" i="70"/>
  <c r="E60" i="70"/>
  <c r="E59" i="70"/>
  <c r="E58" i="70"/>
  <c r="E57" i="70"/>
  <c r="E56" i="70"/>
  <c r="E55" i="70"/>
  <c r="E54" i="70"/>
  <c r="E53" i="70"/>
  <c r="E52" i="70"/>
  <c r="E51" i="70"/>
  <c r="E50" i="70"/>
  <c r="E49" i="70"/>
  <c r="E48" i="70"/>
  <c r="E47" i="70"/>
  <c r="E46" i="70"/>
  <c r="E45" i="70"/>
  <c r="E44" i="70"/>
  <c r="E43" i="70"/>
  <c r="E42" i="70"/>
  <c r="E41" i="70"/>
  <c r="E40" i="70"/>
  <c r="E39" i="70"/>
  <c r="E38" i="70"/>
  <c r="E37" i="70"/>
  <c r="E36" i="70"/>
  <c r="E35" i="70"/>
  <c r="E34" i="70"/>
  <c r="E33" i="70"/>
  <c r="E32" i="70"/>
  <c r="E31" i="70"/>
  <c r="E30" i="70"/>
  <c r="E29" i="70"/>
  <c r="E28" i="70"/>
  <c r="E27" i="70"/>
  <c r="E26" i="70"/>
  <c r="E25" i="70"/>
  <c r="E24" i="70"/>
  <c r="E23" i="70"/>
  <c r="E22" i="70"/>
  <c r="E21" i="70"/>
  <c r="E20" i="70"/>
  <c r="E19" i="70"/>
  <c r="E18" i="70"/>
  <c r="E17" i="70"/>
  <c r="E16" i="70"/>
  <c r="E15" i="70"/>
  <c r="E14" i="70"/>
  <c r="E13" i="70"/>
  <c r="E12" i="70"/>
  <c r="E11" i="70"/>
  <c r="E10" i="70"/>
  <c r="E9" i="70"/>
  <c r="E8" i="70"/>
  <c r="E7" i="70"/>
  <c r="E6" i="70"/>
  <c r="E5" i="70"/>
  <c r="E4" i="70"/>
  <c r="E3" i="70"/>
  <c r="E2" i="70"/>
  <c r="E24" i="71" l="1"/>
  <c r="I67" i="71"/>
  <c r="I76" i="71"/>
  <c r="F34" i="71" s="1"/>
  <c r="I51" i="71"/>
  <c r="E32" i="73"/>
  <c r="F29" i="73"/>
  <c r="E40" i="73"/>
  <c r="F35" i="73"/>
  <c r="I84" i="73"/>
  <c r="F37" i="73" s="1"/>
  <c r="E37" i="73"/>
  <c r="H81" i="73"/>
  <c r="I77" i="73"/>
  <c r="F38" i="73" s="1"/>
  <c r="I74" i="73"/>
  <c r="I65" i="73"/>
  <c r="F33" i="73" s="1"/>
  <c r="H66" i="73"/>
  <c r="C33" i="73" s="1"/>
  <c r="H33" i="73" s="1"/>
  <c r="H56" i="73"/>
  <c r="I53" i="73"/>
  <c r="I45" i="73"/>
  <c r="F31" i="73" s="1"/>
  <c r="I68" i="73"/>
  <c r="F36" i="73" s="1"/>
  <c r="H88" i="73"/>
  <c r="I49" i="73"/>
  <c r="F32" i="73" s="1"/>
  <c r="H50" i="73"/>
  <c r="H82" i="73"/>
  <c r="C39" i="73" s="1"/>
  <c r="H39" i="73" s="1"/>
  <c r="E29" i="73"/>
  <c r="H70" i="73"/>
  <c r="I57" i="73"/>
  <c r="H58" i="73"/>
  <c r="H72" i="73"/>
  <c r="I52" i="73"/>
  <c r="I61" i="73"/>
  <c r="F28" i="73" s="1"/>
  <c r="I73" i="73"/>
  <c r="H86" i="73"/>
  <c r="H54" i="73"/>
  <c r="I53" i="71"/>
  <c r="H60" i="71"/>
  <c r="I75" i="71"/>
  <c r="I55" i="71"/>
  <c r="E26" i="71"/>
  <c r="I41" i="71"/>
  <c r="I71" i="71"/>
  <c r="I86" i="71"/>
  <c r="I40" i="71"/>
  <c r="I79" i="71"/>
  <c r="I64" i="71"/>
  <c r="E35" i="71"/>
  <c r="I80" i="71"/>
  <c r="F29" i="71" s="1"/>
  <c r="I52" i="71"/>
  <c r="I74" i="71"/>
  <c r="F34" i="73"/>
  <c r="E33" i="73"/>
  <c r="E31" i="73"/>
  <c r="E38" i="73"/>
  <c r="E35" i="73"/>
  <c r="E28" i="73"/>
  <c r="E30" i="73"/>
  <c r="E36" i="73"/>
  <c r="H46" i="73"/>
  <c r="H62" i="73"/>
  <c r="H78" i="73"/>
  <c r="H59" i="73"/>
  <c r="H75" i="73"/>
  <c r="H69" i="73"/>
  <c r="H85" i="73"/>
  <c r="H47" i="73"/>
  <c r="H63" i="73"/>
  <c r="H79" i="73"/>
  <c r="H60" i="73"/>
  <c r="H76" i="73"/>
  <c r="C38" i="73" s="1"/>
  <c r="H51" i="73"/>
  <c r="H67" i="73"/>
  <c r="H83" i="73"/>
  <c r="C37" i="73" s="1"/>
  <c r="I90" i="73"/>
  <c r="H48" i="73"/>
  <c r="C32" i="73" s="1"/>
  <c r="H64" i="73"/>
  <c r="I80" i="73"/>
  <c r="F39" i="73" s="1"/>
  <c r="I91" i="73"/>
  <c r="H55" i="73"/>
  <c r="H71" i="73"/>
  <c r="H87" i="73"/>
  <c r="H44" i="71"/>
  <c r="C27" i="71" s="1"/>
  <c r="H62" i="71"/>
  <c r="E34" i="71"/>
  <c r="E29" i="71"/>
  <c r="H71" i="71"/>
  <c r="C33" i="71" s="1"/>
  <c r="I47" i="71"/>
  <c r="I42" i="71"/>
  <c r="F26" i="71" s="1"/>
  <c r="I48" i="71"/>
  <c r="I54" i="71"/>
  <c r="I66" i="71"/>
  <c r="E33" i="71"/>
  <c r="I78" i="71"/>
  <c r="I85" i="71"/>
  <c r="E28" i="71"/>
  <c r="I49" i="71"/>
  <c r="I61" i="71"/>
  <c r="F28" i="71" s="1"/>
  <c r="E31" i="71"/>
  <c r="E30" i="71"/>
  <c r="E25" i="71"/>
  <c r="E32" i="71"/>
  <c r="E23" i="71"/>
  <c r="E27" i="71"/>
  <c r="I63" i="71"/>
  <c r="H51" i="71"/>
  <c r="H48" i="71"/>
  <c r="H64" i="71"/>
  <c r="I83" i="71"/>
  <c r="F30" i="71" s="1"/>
  <c r="H45" i="71"/>
  <c r="C24" i="71" s="1"/>
  <c r="H61" i="71"/>
  <c r="H77" i="71"/>
  <c r="H42" i="71"/>
  <c r="H58" i="71"/>
  <c r="H74" i="71"/>
  <c r="C35" i="71" s="1"/>
  <c r="H41" i="71"/>
  <c r="H57" i="71"/>
  <c r="H54" i="71"/>
  <c r="H67" i="71"/>
  <c r="I70" i="71"/>
  <c r="H80" i="71"/>
  <c r="I84" i="71"/>
  <c r="H49" i="71"/>
  <c r="H65" i="71"/>
  <c r="I68" i="71"/>
  <c r="H81" i="71"/>
  <c r="I73" i="71"/>
  <c r="I46" i="71"/>
  <c r="F24" i="71" s="1"/>
  <c r="H59" i="71"/>
  <c r="H75" i="71"/>
  <c r="C34" i="71" s="1"/>
  <c r="H53" i="71"/>
  <c r="I56" i="71"/>
  <c r="H69" i="71"/>
  <c r="I72" i="71"/>
  <c r="I43" i="71"/>
  <c r="F27" i="71" s="1"/>
  <c r="H50" i="71"/>
  <c r="H66" i="71"/>
  <c r="H82" i="71"/>
  <c r="C30" i="71" s="1"/>
  <c r="F33" i="71" l="1"/>
  <c r="C28" i="71"/>
  <c r="F23" i="71"/>
  <c r="C34" i="73"/>
  <c r="F30" i="73"/>
  <c r="C3" i="73" s="1"/>
  <c r="E3" i="73" s="1"/>
  <c r="C29" i="73"/>
  <c r="C31" i="73"/>
  <c r="C35" i="73"/>
  <c r="H35" i="73" s="1"/>
  <c r="C30" i="73"/>
  <c r="H30" i="73" s="1"/>
  <c r="F35" i="71"/>
  <c r="F25" i="71"/>
  <c r="C3" i="71" s="1"/>
  <c r="F32" i="71"/>
  <c r="C31" i="71"/>
  <c r="C12" i="71" s="1"/>
  <c r="F31" i="71"/>
  <c r="H38" i="73"/>
  <c r="H31" i="73"/>
  <c r="H34" i="73"/>
  <c r="C28" i="73"/>
  <c r="C4" i="73" s="1"/>
  <c r="C40" i="73"/>
  <c r="H29" i="73"/>
  <c r="H32" i="73"/>
  <c r="C36" i="73"/>
  <c r="H37" i="73"/>
  <c r="C25" i="71"/>
  <c r="C26" i="71"/>
  <c r="C29" i="71"/>
  <c r="C11" i="71"/>
  <c r="C23" i="71"/>
  <c r="C11" i="73" l="1"/>
  <c r="H28" i="73"/>
  <c r="H40" i="73"/>
  <c r="C12" i="73"/>
  <c r="C13" i="73"/>
  <c r="H36" i="73"/>
  <c r="O3" i="73"/>
  <c r="N3" i="71"/>
  <c r="C10" i="71"/>
  <c r="C15" i="56" l="1"/>
  <c r="G76" i="56" l="1"/>
  <c r="G75" i="56"/>
  <c r="G74" i="56"/>
  <c r="G82" i="56"/>
  <c r="H82" i="56" s="1"/>
  <c r="G81" i="56"/>
  <c r="H81" i="56" s="1"/>
  <c r="G80" i="56"/>
  <c r="H80" i="56" s="1"/>
  <c r="G79" i="56"/>
  <c r="H79" i="56" s="1"/>
  <c r="G78" i="56"/>
  <c r="H78" i="56" s="1"/>
  <c r="G77" i="56"/>
  <c r="H77" i="56" s="1"/>
  <c r="G73" i="56"/>
  <c r="H73" i="56" s="1"/>
  <c r="G72" i="56"/>
  <c r="H72" i="56" s="1"/>
  <c r="G71" i="56"/>
  <c r="H71" i="56" s="1"/>
  <c r="G70" i="56"/>
  <c r="H70" i="56" s="1"/>
  <c r="G62" i="56"/>
  <c r="H62" i="56" s="1"/>
  <c r="G63" i="56"/>
  <c r="H63" i="56" s="1"/>
  <c r="G64" i="56"/>
  <c r="H64" i="56" s="1"/>
  <c r="G65" i="56"/>
  <c r="H65" i="56" s="1"/>
  <c r="G66" i="56"/>
  <c r="H66" i="56" s="1"/>
  <c r="G67" i="56"/>
  <c r="H67" i="56" s="1"/>
  <c r="G68" i="56"/>
  <c r="H68" i="56" s="1"/>
  <c r="G69" i="56"/>
  <c r="H69" i="56" s="1"/>
  <c r="G61" i="56"/>
  <c r="H61" i="56" s="1"/>
  <c r="G60" i="56"/>
  <c r="H60" i="56" s="1"/>
  <c r="G59" i="56"/>
  <c r="H59" i="56" s="1"/>
  <c r="G58" i="56"/>
  <c r="H58" i="56" s="1"/>
  <c r="G54" i="56"/>
  <c r="G55" i="56"/>
  <c r="G56" i="56"/>
  <c r="G57" i="56"/>
  <c r="H57" i="56" s="1"/>
  <c r="G53" i="56"/>
  <c r="G47" i="56"/>
  <c r="H47" i="56" s="1"/>
  <c r="G48" i="56"/>
  <c r="H48" i="56" s="1"/>
  <c r="G49" i="56"/>
  <c r="H49" i="56" s="1"/>
  <c r="G50" i="56"/>
  <c r="G51" i="56"/>
  <c r="H51" i="56" s="1"/>
  <c r="G52" i="56"/>
  <c r="H52" i="56" s="1"/>
  <c r="G46" i="56"/>
  <c r="H46" i="56" s="1"/>
  <c r="G45" i="56"/>
  <c r="H45" i="56" s="1"/>
  <c r="G44" i="56"/>
  <c r="H44" i="56" s="1"/>
  <c r="G43" i="56"/>
  <c r="H43" i="56" s="1"/>
  <c r="G42" i="56"/>
  <c r="H42" i="56" s="1"/>
  <c r="G40" i="56"/>
  <c r="H40" i="56" s="1"/>
  <c r="G41" i="56"/>
  <c r="H41" i="56" s="1"/>
  <c r="G39" i="56"/>
  <c r="H39" i="56" s="1"/>
  <c r="H53" i="56" l="1"/>
  <c r="H54" i="56"/>
  <c r="H56" i="56"/>
  <c r="H55" i="56"/>
  <c r="H50" i="56"/>
  <c r="C24" i="56" s="1"/>
  <c r="C28" i="56"/>
  <c r="C23" i="56"/>
  <c r="C29" i="56"/>
  <c r="C26" i="56"/>
  <c r="C34" i="56"/>
  <c r="C31" i="56"/>
  <c r="C30" i="56"/>
  <c r="C27" i="56"/>
  <c r="C32" i="56"/>
  <c r="C25" i="56"/>
  <c r="C22" i="56" l="1"/>
  <c r="C10" i="56" s="1"/>
  <c r="H32" i="56"/>
  <c r="H31" i="56"/>
  <c r="H29" i="56"/>
  <c r="H28" i="56"/>
  <c r="H25" i="56"/>
  <c r="H27" i="56"/>
  <c r="H34" i="56"/>
  <c r="H24" i="56"/>
  <c r="H30" i="56"/>
  <c r="H23" i="56"/>
  <c r="H26" i="56"/>
  <c r="K17" i="67"/>
  <c r="K34" i="56"/>
  <c r="K33" i="56"/>
  <c r="K32" i="56"/>
  <c r="K31" i="56"/>
  <c r="K30" i="56"/>
  <c r="K29" i="56"/>
  <c r="K28" i="56"/>
  <c r="K27" i="56"/>
  <c r="K26" i="56"/>
  <c r="K25" i="56"/>
  <c r="K24" i="56"/>
  <c r="K23" i="56"/>
  <c r="K22" i="56"/>
  <c r="K29" i="67"/>
  <c r="K28" i="67"/>
  <c r="K27" i="67"/>
  <c r="K26" i="67"/>
  <c r="K25" i="67"/>
  <c r="K24" i="67"/>
  <c r="K23" i="67"/>
  <c r="K22" i="67"/>
  <c r="K21" i="67"/>
  <c r="K20" i="67"/>
  <c r="K19" i="67"/>
  <c r="K18" i="67"/>
  <c r="J77" i="67"/>
  <c r="K77" i="67" s="1"/>
  <c r="J76" i="67"/>
  <c r="K76" i="67" s="1"/>
  <c r="J75" i="67"/>
  <c r="K75" i="67" s="1"/>
  <c r="J74" i="67"/>
  <c r="K74" i="67" s="1"/>
  <c r="J73" i="67"/>
  <c r="K73" i="67" s="1"/>
  <c r="J72" i="67"/>
  <c r="K72" i="67" s="1"/>
  <c r="E26" i="67" s="1"/>
  <c r="J71" i="67"/>
  <c r="K71" i="67" s="1"/>
  <c r="J70" i="67"/>
  <c r="K70" i="67" s="1"/>
  <c r="J69" i="67"/>
  <c r="K69" i="67" s="1"/>
  <c r="E28" i="67" s="1"/>
  <c r="J68" i="67"/>
  <c r="K68" i="67" s="1"/>
  <c r="J67" i="67"/>
  <c r="K67" i="67" s="1"/>
  <c r="J66" i="67"/>
  <c r="K66" i="67" s="1"/>
  <c r="J65" i="67"/>
  <c r="K65" i="67" s="1"/>
  <c r="J64" i="67"/>
  <c r="K64" i="67" s="1"/>
  <c r="J63" i="67"/>
  <c r="K63" i="67" s="1"/>
  <c r="J62" i="67"/>
  <c r="K62" i="67" s="1"/>
  <c r="J61" i="67"/>
  <c r="K61" i="67" s="1"/>
  <c r="J60" i="67"/>
  <c r="K60" i="67" s="1"/>
  <c r="J59" i="67"/>
  <c r="K59" i="67" s="1"/>
  <c r="J58" i="67"/>
  <c r="K58" i="67" s="1"/>
  <c r="J57" i="67"/>
  <c r="K57" i="67" s="1"/>
  <c r="J56" i="67"/>
  <c r="K56" i="67" s="1"/>
  <c r="J55" i="67"/>
  <c r="K55" i="67" s="1"/>
  <c r="J54" i="67"/>
  <c r="K54" i="67" s="1"/>
  <c r="E22" i="67" s="1"/>
  <c r="J53" i="67"/>
  <c r="K53" i="67" s="1"/>
  <c r="J52" i="67"/>
  <c r="K52" i="67" s="1"/>
  <c r="J51" i="67"/>
  <c r="K51" i="67" s="1"/>
  <c r="J50" i="67"/>
  <c r="K50" i="67" s="1"/>
  <c r="J49" i="67"/>
  <c r="K49" i="67" s="1"/>
  <c r="J48" i="67"/>
  <c r="K48" i="67" s="1"/>
  <c r="J47" i="67"/>
  <c r="K47" i="67" s="1"/>
  <c r="J46" i="67"/>
  <c r="K46" i="67" s="1"/>
  <c r="J45" i="67"/>
  <c r="K45" i="67" s="1"/>
  <c r="J44" i="67"/>
  <c r="K44" i="67" s="1"/>
  <c r="J43" i="67"/>
  <c r="K43" i="67" s="1"/>
  <c r="J42" i="67"/>
  <c r="K42" i="67" s="1"/>
  <c r="J41" i="67"/>
  <c r="K41" i="67" s="1"/>
  <c r="J40" i="67"/>
  <c r="K40" i="67" s="1"/>
  <c r="J39" i="67"/>
  <c r="K39" i="67" s="1"/>
  <c r="J38" i="67"/>
  <c r="K38" i="67" s="1"/>
  <c r="J37" i="67"/>
  <c r="K37" i="67" s="1"/>
  <c r="J36" i="67"/>
  <c r="K36" i="67" s="1"/>
  <c r="J35" i="67"/>
  <c r="K35" i="67" s="1"/>
  <c r="J34" i="67"/>
  <c r="K34" i="67" s="1"/>
  <c r="L29" i="67"/>
  <c r="D29" i="67"/>
  <c r="L28" i="67"/>
  <c r="D28" i="67"/>
  <c r="L27" i="67"/>
  <c r="D27" i="67"/>
  <c r="L26" i="67"/>
  <c r="D26" i="67"/>
  <c r="L25" i="67"/>
  <c r="D25" i="67"/>
  <c r="L24" i="67"/>
  <c r="D24" i="67"/>
  <c r="L23" i="67"/>
  <c r="D23" i="67"/>
  <c r="L22" i="67"/>
  <c r="D22" i="67"/>
  <c r="L21" i="67"/>
  <c r="D21" i="67"/>
  <c r="L20" i="67"/>
  <c r="D20" i="67"/>
  <c r="L19" i="67"/>
  <c r="D19" i="67"/>
  <c r="L18" i="67"/>
  <c r="D18" i="67"/>
  <c r="L17" i="67"/>
  <c r="D17" i="67"/>
  <c r="C12" i="67"/>
  <c r="C11" i="67"/>
  <c r="C10" i="67"/>
  <c r="N82" i="56"/>
  <c r="N81" i="56"/>
  <c r="N80" i="56"/>
  <c r="N79" i="56"/>
  <c r="N78" i="56"/>
  <c r="N77" i="56"/>
  <c r="N76" i="56"/>
  <c r="N75" i="56"/>
  <c r="N74" i="56"/>
  <c r="N73" i="56"/>
  <c r="N72" i="56"/>
  <c r="N71" i="56"/>
  <c r="N70" i="56"/>
  <c r="N69" i="56"/>
  <c r="N68" i="56"/>
  <c r="N67" i="56"/>
  <c r="N66" i="56"/>
  <c r="N65" i="56"/>
  <c r="N64" i="56"/>
  <c r="N63" i="56"/>
  <c r="N62" i="56"/>
  <c r="N61" i="56"/>
  <c r="N60" i="56"/>
  <c r="N59" i="56"/>
  <c r="N58" i="56"/>
  <c r="N57" i="56"/>
  <c r="N56" i="56"/>
  <c r="I56" i="56" s="1"/>
  <c r="N55" i="56"/>
  <c r="I55" i="56" s="1"/>
  <c r="N54" i="56"/>
  <c r="I54" i="56" s="1"/>
  <c r="N53" i="56"/>
  <c r="I53" i="56" s="1"/>
  <c r="N52" i="56"/>
  <c r="N51" i="56"/>
  <c r="N50" i="56"/>
  <c r="N49" i="56"/>
  <c r="N48" i="56"/>
  <c r="N47" i="56"/>
  <c r="N46" i="56"/>
  <c r="N45" i="56"/>
  <c r="N44" i="56"/>
  <c r="N43" i="56"/>
  <c r="N42" i="56"/>
  <c r="N41" i="56"/>
  <c r="N40" i="56"/>
  <c r="N39" i="56"/>
  <c r="L34" i="56"/>
  <c r="L33" i="56"/>
  <c r="L32" i="56"/>
  <c r="L31" i="56"/>
  <c r="L30" i="56"/>
  <c r="L29" i="56"/>
  <c r="L28" i="56"/>
  <c r="L27" i="56"/>
  <c r="L26" i="56"/>
  <c r="L25" i="56"/>
  <c r="L24" i="56"/>
  <c r="L23" i="56"/>
  <c r="L22" i="56"/>
  <c r="C12" i="56"/>
  <c r="H22" i="56" l="1"/>
  <c r="E24" i="67"/>
  <c r="F24" i="67" s="1"/>
  <c r="O66" i="56"/>
  <c r="I66" i="56"/>
  <c r="O52" i="56"/>
  <c r="I52" i="56"/>
  <c r="O54" i="56"/>
  <c r="O70" i="56"/>
  <c r="I70" i="56"/>
  <c r="O82" i="56"/>
  <c r="I82" i="56"/>
  <c r="O71" i="56"/>
  <c r="I71" i="56"/>
  <c r="O68" i="56"/>
  <c r="I68" i="56"/>
  <c r="O56" i="56"/>
  <c r="O41" i="56"/>
  <c r="I41" i="56"/>
  <c r="O57" i="56"/>
  <c r="I57" i="56"/>
  <c r="O73" i="56"/>
  <c r="I73" i="56"/>
  <c r="O67" i="56"/>
  <c r="I67" i="56"/>
  <c r="O39" i="56"/>
  <c r="I39" i="56"/>
  <c r="O40" i="56"/>
  <c r="I40" i="56"/>
  <c r="O58" i="56"/>
  <c r="I58" i="56"/>
  <c r="O74" i="56"/>
  <c r="I74" i="56"/>
  <c r="O69" i="56"/>
  <c r="I69" i="56"/>
  <c r="O55" i="56"/>
  <c r="O42" i="56"/>
  <c r="I42" i="56"/>
  <c r="O43" i="56"/>
  <c r="I43" i="56"/>
  <c r="O59" i="56"/>
  <c r="I59" i="56"/>
  <c r="O75" i="56"/>
  <c r="I75" i="56"/>
  <c r="O53" i="56"/>
  <c r="O44" i="56"/>
  <c r="I44" i="56"/>
  <c r="O60" i="56"/>
  <c r="I60" i="56"/>
  <c r="O76" i="56"/>
  <c r="I76" i="56"/>
  <c r="O45" i="56"/>
  <c r="I45" i="56"/>
  <c r="O61" i="56"/>
  <c r="I61" i="56"/>
  <c r="O77" i="56"/>
  <c r="I77" i="56"/>
  <c r="O50" i="56"/>
  <c r="I50" i="56"/>
  <c r="O46" i="56"/>
  <c r="I46" i="56"/>
  <c r="O62" i="56"/>
  <c r="I62" i="56"/>
  <c r="O78" i="56"/>
  <c r="I78" i="56"/>
  <c r="O47" i="56"/>
  <c r="I47" i="56"/>
  <c r="O63" i="56"/>
  <c r="I63" i="56"/>
  <c r="O79" i="56"/>
  <c r="I79" i="56"/>
  <c r="O51" i="56"/>
  <c r="I51" i="56"/>
  <c r="O72" i="56"/>
  <c r="I72" i="56"/>
  <c r="O48" i="56"/>
  <c r="I48" i="56"/>
  <c r="O64" i="56"/>
  <c r="I64" i="56"/>
  <c r="O80" i="56"/>
  <c r="I80" i="56"/>
  <c r="O49" i="56"/>
  <c r="I49" i="56"/>
  <c r="O65" i="56"/>
  <c r="I65" i="56"/>
  <c r="O81" i="56"/>
  <c r="I81" i="56"/>
  <c r="C16" i="56"/>
  <c r="E21" i="67"/>
  <c r="F21" i="67" s="1"/>
  <c r="E23" i="67"/>
  <c r="F23" i="67" s="1"/>
  <c r="E18" i="67"/>
  <c r="F18" i="67" s="1"/>
  <c r="E27" i="67"/>
  <c r="F27" i="67" s="1"/>
  <c r="F28" i="67"/>
  <c r="F26" i="67"/>
  <c r="E17" i="67"/>
  <c r="F17" i="67" s="1"/>
  <c r="E25" i="67"/>
  <c r="F25" i="67" s="1"/>
  <c r="E29" i="67"/>
  <c r="F29" i="67" s="1"/>
  <c r="E20" i="67"/>
  <c r="F20" i="67" s="1"/>
  <c r="E19" i="67"/>
  <c r="F19" i="67" s="1"/>
  <c r="F22" i="67"/>
  <c r="F31" i="56" l="1"/>
  <c r="F28" i="56"/>
  <c r="E29" i="56"/>
  <c r="E33" i="56"/>
  <c r="F27" i="56"/>
  <c r="E31" i="56"/>
  <c r="E28" i="56"/>
  <c r="E23" i="56"/>
  <c r="E26" i="56"/>
  <c r="F29" i="56"/>
  <c r="E27" i="56"/>
  <c r="E22" i="56"/>
  <c r="E24" i="56"/>
  <c r="E30" i="56"/>
  <c r="E25" i="56"/>
  <c r="F30" i="56"/>
  <c r="E32" i="56"/>
  <c r="E34" i="56"/>
  <c r="F25" i="56"/>
  <c r="F32" i="56"/>
  <c r="F23" i="56"/>
  <c r="F33" i="56"/>
  <c r="F24" i="56"/>
  <c r="F26" i="56"/>
  <c r="F34" i="56"/>
  <c r="F22" i="56"/>
  <c r="C3" i="67"/>
  <c r="E3" i="67" s="1"/>
  <c r="C3" i="56" l="1"/>
  <c r="E3" i="56" l="1"/>
  <c r="E90" i="17" l="1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5" i="17"/>
  <c r="E74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E2" i="17"/>
  <c r="B15" i="4"/>
  <c r="C4" i="18" l="1"/>
  <c r="D4" i="18" s="1"/>
  <c r="C4" i="11"/>
  <c r="D4" i="11" s="1"/>
  <c r="C3" i="4"/>
  <c r="C4" i="4"/>
  <c r="C5" i="4"/>
  <c r="C6" i="4"/>
  <c r="C7" i="4"/>
  <c r="C8" i="4"/>
  <c r="C9" i="4"/>
  <c r="C10" i="4"/>
  <c r="C11" i="4"/>
  <c r="C12" i="4"/>
  <c r="C13" i="4"/>
  <c r="C14" i="4"/>
  <c r="C2" i="4"/>
  <c r="E26" i="18"/>
  <c r="E30" i="18"/>
  <c r="E29" i="18"/>
  <c r="E32" i="18"/>
  <c r="E34" i="18"/>
  <c r="E35" i="18"/>
  <c r="E33" i="18"/>
  <c r="E31" i="18"/>
  <c r="E28" i="18"/>
  <c r="E23" i="18"/>
  <c r="E25" i="18"/>
  <c r="E24" i="18"/>
  <c r="E27" i="18"/>
  <c r="C33" i="18" l="1"/>
  <c r="D33" i="18" s="1"/>
  <c r="F33" i="18" s="1"/>
  <c r="C33" i="11"/>
  <c r="D33" i="11" s="1"/>
  <c r="F33" i="11" s="1"/>
  <c r="C24" i="18"/>
  <c r="D24" i="18" s="1"/>
  <c r="F24" i="18" s="1"/>
  <c r="C24" i="11"/>
  <c r="D24" i="11" s="1"/>
  <c r="F24" i="11" s="1"/>
  <c r="C27" i="18"/>
  <c r="D27" i="18" s="1"/>
  <c r="F27" i="18" s="1"/>
  <c r="C27" i="11"/>
  <c r="D27" i="11" s="1"/>
  <c r="F27" i="11" s="1"/>
  <c r="C23" i="18"/>
  <c r="C23" i="11"/>
  <c r="C30" i="18"/>
  <c r="D30" i="18" s="1"/>
  <c r="F30" i="18" s="1"/>
  <c r="C30" i="11"/>
  <c r="D30" i="11" s="1"/>
  <c r="F30" i="11" s="1"/>
  <c r="C29" i="18"/>
  <c r="D29" i="18" s="1"/>
  <c r="F29" i="18" s="1"/>
  <c r="C29" i="11"/>
  <c r="D29" i="11" s="1"/>
  <c r="F29" i="11" s="1"/>
  <c r="C32" i="18"/>
  <c r="D32" i="18" s="1"/>
  <c r="F32" i="18" s="1"/>
  <c r="C32" i="11"/>
  <c r="D32" i="11" s="1"/>
  <c r="F32" i="11" s="1"/>
  <c r="C28" i="18"/>
  <c r="D28" i="18" s="1"/>
  <c r="F28" i="18" s="1"/>
  <c r="C28" i="11"/>
  <c r="D28" i="11" s="1"/>
  <c r="F28" i="11" s="1"/>
  <c r="C25" i="18"/>
  <c r="D25" i="18" s="1"/>
  <c r="F25" i="18" s="1"/>
  <c r="C25" i="11"/>
  <c r="D25" i="11" s="1"/>
  <c r="F25" i="11" s="1"/>
  <c r="C26" i="18"/>
  <c r="D26" i="18" s="1"/>
  <c r="F26" i="18" s="1"/>
  <c r="C26" i="11"/>
  <c r="D26" i="11" s="1"/>
  <c r="F26" i="11" s="1"/>
  <c r="C35" i="18"/>
  <c r="D35" i="18" s="1"/>
  <c r="F35" i="18" s="1"/>
  <c r="C35" i="11"/>
  <c r="D35" i="11" s="1"/>
  <c r="F35" i="11" s="1"/>
  <c r="C34" i="18"/>
  <c r="C34" i="11"/>
  <c r="C31" i="18"/>
  <c r="C31" i="11"/>
  <c r="C12" i="11" l="1"/>
  <c r="D31" i="11"/>
  <c r="F31" i="11" s="1"/>
  <c r="D31" i="18"/>
  <c r="F31" i="18" s="1"/>
  <c r="C12" i="18"/>
  <c r="D34" i="11"/>
  <c r="F34" i="11" s="1"/>
  <c r="C11" i="11"/>
  <c r="C11" i="18"/>
  <c r="D34" i="18"/>
  <c r="F34" i="18" s="1"/>
  <c r="C10" i="11"/>
  <c r="D23" i="18"/>
  <c r="F23" i="18" s="1"/>
  <c r="D3" i="18" s="1"/>
  <c r="C10" i="18"/>
  <c r="D23" i="11"/>
  <c r="F23" i="11" s="1"/>
  <c r="D3" i="11" s="1"/>
  <c r="H74" i="56" l="1"/>
  <c r="H75" i="56"/>
  <c r="H76" i="56"/>
  <c r="C33" i="56" l="1"/>
  <c r="C11" i="56" l="1"/>
  <c r="H33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Hui Wen Tan </author>
  </authors>
  <commentList>
    <comment ref="D4" authorId="0" shapeId="0" xr:uid="{DB5EED70-3802-4A94-8B0A-5D3EA77EBF7A}">
      <text>
        <r>
          <rPr>
            <sz val="9"/>
            <color indexed="81"/>
            <rFont val="Tahoma"/>
            <family val="2"/>
          </rPr>
          <t xml:space="preserve">(Assume the total food consumption per capita per year remains unchanged.)
</t>
        </r>
      </text>
    </comment>
    <comment ref="D15" authorId="0" shapeId="0" xr:uid="{F61C25F7-756B-4117-910C-B9B5C9A98FB4}">
      <text>
        <r>
          <rPr>
            <sz val="9"/>
            <color indexed="81"/>
            <rFont val="Tahoma"/>
            <family val="2"/>
          </rPr>
          <t xml:space="preserve">Consisting of 20% leafy vegetables, and 10% eggs and fish.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Hui Wen Tan </author>
  </authors>
  <commentList>
    <comment ref="D4" authorId="0" shapeId="0" xr:uid="{74343D80-D601-4DA4-9C09-78C2779E0728}">
      <text>
        <r>
          <rPr>
            <sz val="9"/>
            <color indexed="81"/>
            <rFont val="Tahoma"/>
            <family val="2"/>
          </rPr>
          <t xml:space="preserve">(Assume the total food consumption per capita per year remains unchanged.)
</t>
        </r>
      </text>
    </comment>
    <comment ref="D15" authorId="0" shapeId="0" xr:uid="{58B0D302-D7AE-435A-9F30-12B966F63DE3}">
      <text>
        <r>
          <rPr>
            <sz val="9"/>
            <color indexed="81"/>
            <rFont val="Tahoma"/>
            <family val="2"/>
          </rPr>
          <t xml:space="preserve">Consisting of 20% leafy vegetables, and 10% eggs and fish.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Hui Wen Tan </author>
  </authors>
  <commentList>
    <comment ref="G1" authorId="0" shapeId="0" xr:uid="{503DEA8C-C3A0-49AE-8A7F-526C888693FE}">
      <text>
        <r>
          <rPr>
            <b/>
            <sz val="9"/>
            <color indexed="81"/>
            <rFont val="Tahoma"/>
            <family val="2"/>
          </rPr>
          <t>Assumption: 
Incorporate processing into production.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<sst xmlns="http://schemas.openxmlformats.org/spreadsheetml/2006/main" count="2140" uniqueCount="241">
  <si>
    <t>Output</t>
  </si>
  <si>
    <t>Annual GHG Emission per capita (kg CO 2 eq)</t>
  </si>
  <si>
    <t>Total food consumption per capita (kg)</t>
  </si>
  <si>
    <t>Input</t>
  </si>
  <si>
    <t>Average Singapore Diet</t>
  </si>
  <si>
    <t>2030 (Optimal Health)</t>
  </si>
  <si>
    <t>Meat, eggs and seafood</t>
  </si>
  <si>
    <t>Grains</t>
  </si>
  <si>
    <t>Fruits and vegetables</t>
  </si>
  <si>
    <t>Food Supply Mix</t>
  </si>
  <si>
    <t>2030 (30 by 30 plan)</t>
  </si>
  <si>
    <t>Locally produced</t>
  </si>
  <si>
    <t>Imported</t>
  </si>
  <si>
    <t>Data Model</t>
  </si>
  <si>
    <t>Per capita in Year 2030</t>
  </si>
  <si>
    <t>Key Food Items</t>
  </si>
  <si>
    <t>Ratio of Respective Key Food Item (%)</t>
  </si>
  <si>
    <t>Amount of Key Food Item Consumed (kg)</t>
  </si>
  <si>
    <t>Average GHG Emission per kg of Key Food Item
(kg CO 2 eq per kg of food)</t>
  </si>
  <si>
    <t>Total GHG Emission per Key Food Item
(kg CO 2 eq)</t>
  </si>
  <si>
    <t>Beef</t>
  </si>
  <si>
    <t>Mutton</t>
  </si>
  <si>
    <t>Pork</t>
  </si>
  <si>
    <t>Chicken</t>
  </si>
  <si>
    <t>Duck</t>
  </si>
  <si>
    <t>Eggs</t>
  </si>
  <si>
    <t>Fish</t>
  </si>
  <si>
    <t>Other Seafood</t>
  </si>
  <si>
    <t>Fruits</t>
  </si>
  <si>
    <t>Leafy vegetables</t>
  </si>
  <si>
    <t>Other Vegetables</t>
  </si>
  <si>
    <t>Rice</t>
  </si>
  <si>
    <t>Wheat</t>
  </si>
  <si>
    <t>S/No</t>
  </si>
  <si>
    <t>Specific Food Items</t>
  </si>
  <si>
    <t>Country Source</t>
  </si>
  <si>
    <t>Total</t>
  </si>
  <si>
    <t>Production</t>
  </si>
  <si>
    <t>Processing</t>
  </si>
  <si>
    <t>Transportation</t>
  </si>
  <si>
    <t>Fresh</t>
  </si>
  <si>
    <t>Malaysia</t>
  </si>
  <si>
    <t>Frozen</t>
  </si>
  <si>
    <t>Brazil</t>
  </si>
  <si>
    <t>Chilled</t>
  </si>
  <si>
    <t>Australia</t>
  </si>
  <si>
    <t>Indonesia</t>
  </si>
  <si>
    <t>Netherlands</t>
  </si>
  <si>
    <t>Spain</t>
  </si>
  <si>
    <t>New Zealand</t>
  </si>
  <si>
    <t>Singapore</t>
  </si>
  <si>
    <t>Banana</t>
  </si>
  <si>
    <t>Philippines</t>
  </si>
  <si>
    <t>Watermelon</t>
  </si>
  <si>
    <t>Papaya</t>
  </si>
  <si>
    <t>Pineapple</t>
  </si>
  <si>
    <t>Orange</t>
  </si>
  <si>
    <t>USA</t>
  </si>
  <si>
    <t>South Africa</t>
  </si>
  <si>
    <t>Egypt</t>
  </si>
  <si>
    <t>Tomato</t>
  </si>
  <si>
    <t>Cabbage</t>
  </si>
  <si>
    <t>China</t>
  </si>
  <si>
    <t>Carrot</t>
  </si>
  <si>
    <t>Beansprout</t>
  </si>
  <si>
    <t>Onion</t>
  </si>
  <si>
    <t>India</t>
  </si>
  <si>
    <t>Potato</t>
  </si>
  <si>
    <t>Bangladesh</t>
  </si>
  <si>
    <t>Pakistan</t>
  </si>
  <si>
    <t>Thailiand</t>
  </si>
  <si>
    <t>Vietnam</t>
  </si>
  <si>
    <t xml:space="preserve">Leafy vegetables </t>
  </si>
  <si>
    <t>Chinese Cabbage</t>
  </si>
  <si>
    <t>Spinach</t>
  </si>
  <si>
    <t>Lettuce</t>
  </si>
  <si>
    <t>Singapore 
(Soil cultivated)</t>
  </si>
  <si>
    <t>Singapore
(Greenhouse soil cultivated)</t>
  </si>
  <si>
    <t>Singapore 
(Non greenhouse hydroponics)</t>
  </si>
  <si>
    <t>Singapore
(Greenhouse hydroponics vertical)</t>
  </si>
  <si>
    <t>Catfish</t>
  </si>
  <si>
    <t>Salmon (chilled)</t>
  </si>
  <si>
    <t>Norway</t>
  </si>
  <si>
    <t>Salmon (frozen)</t>
  </si>
  <si>
    <t>Myanmar</t>
  </si>
  <si>
    <t>Mackerel</t>
  </si>
  <si>
    <t>Japan</t>
  </si>
  <si>
    <t>Aquaculture</t>
  </si>
  <si>
    <t>Capture fishing</t>
  </si>
  <si>
    <t>Shrimp (frozen)</t>
  </si>
  <si>
    <t>Crab (frozen)</t>
  </si>
  <si>
    <t>Crab (fresh)</t>
  </si>
  <si>
    <t>Squid (fresh)</t>
  </si>
  <si>
    <t>Squid (frozen)</t>
  </si>
  <si>
    <t>Indicators</t>
  </si>
  <si>
    <t>Units</t>
  </si>
  <si>
    <t>Chicken
(kg meat)</t>
  </si>
  <si>
    <t>Malaysia +
processed in
Singapore</t>
  </si>
  <si>
    <t>GHG Emissions</t>
  </si>
  <si>
    <t>(kg CO 2 eq per kg of food)</t>
  </si>
  <si>
    <t>Duck
(kg meat)</t>
  </si>
  <si>
    <t>Mutton
(kg meat)</t>
  </si>
  <si>
    <t>Pork
(kg meat)</t>
  </si>
  <si>
    <t>Indonesia +
processed in
Singapore</t>
  </si>
  <si>
    <t>Beef
(kg meat)</t>
  </si>
  <si>
    <t>Eggs
(kg)</t>
  </si>
  <si>
    <t>Fruits
(kg)</t>
  </si>
  <si>
    <t>Other
Vegetables
(kg)</t>
  </si>
  <si>
    <t>Wheat
(kg)</t>
  </si>
  <si>
    <t>Rice
(kg)</t>
  </si>
  <si>
    <t>Leafy
vegetables (kg)</t>
  </si>
  <si>
    <t>Singapore (Soil
cultivated)</t>
  </si>
  <si>
    <t>Singapore
(Greenhouse
soil cultivated)</t>
  </si>
  <si>
    <t>Singapore (Non
greenhouse
hydroponics)</t>
  </si>
  <si>
    <t>Singapore
(Greenhouse
hydroponics
vertical)</t>
  </si>
  <si>
    <t>Fish
(kg meat)</t>
  </si>
  <si>
    <t>Other
Seafood
(kg meat)</t>
  </si>
  <si>
    <t>Key Food Items (kg meat)</t>
  </si>
  <si>
    <t>Average GHG/kg</t>
  </si>
  <si>
    <t>Average</t>
  </si>
  <si>
    <t>Other
Seafood</t>
  </si>
  <si>
    <t>Leafy
vegetables</t>
  </si>
  <si>
    <t>Other
Vegetables</t>
  </si>
  <si>
    <t>Annual food consumption per capita in 2018 
(kg/capita/year)</t>
  </si>
  <si>
    <t>Other vegetables</t>
  </si>
  <si>
    <t>Leafy Vegetables</t>
  </si>
  <si>
    <t>% Ratio of Respective Food per capita in 2018</t>
  </si>
  <si>
    <t>Total food consumption per capita 
(kg/capita/year)</t>
  </si>
  <si>
    <t>Total
(kg CO 2 eq per kg of food)</t>
  </si>
  <si>
    <t>Production (kg CO 2 eq per kg of food)</t>
  </si>
  <si>
    <t>Processing (kg CO 2 eq per kg of food)</t>
  </si>
  <si>
    <t>Transportation (kg CO 2 eq per kg of food)</t>
  </si>
  <si>
    <t>Original % consumption for each food item</t>
  </si>
  <si>
    <t>Derived % consumption
for each food item</t>
  </si>
  <si>
    <t>*Alternate colours (green, pink) are used to visually identify each food type category</t>
  </si>
  <si>
    <t>97% Import
3% Singapore</t>
  </si>
  <si>
    <t>87% Import
13% Singapore</t>
  </si>
  <si>
    <t>95% Import
5% Singapore</t>
  </si>
  <si>
    <t>98% Import
2% Singapore</t>
  </si>
  <si>
    <t>Constraints</t>
  </si>
  <si>
    <t>Food Supply Mix (kg)</t>
  </si>
  <si>
    <t>Locally produced (kg)</t>
  </si>
  <si>
    <t>Imported (kg)</t>
  </si>
  <si>
    <t>Raw Data/Working</t>
  </si>
  <si>
    <t>% of total
/ Key food item</t>
  </si>
  <si>
    <t>Total weight of each type (kg)</t>
  </si>
  <si>
    <t>% of total weight of 365kg</t>
  </si>
  <si>
    <t>Calculated GHG for total weight</t>
  </si>
  <si>
    <t>Production GHG/kg
(kg CO 2 eq per kg of food)</t>
  </si>
  <si>
    <t>Processing GHG/kg
(kg CO 2 eq per kg of food)</t>
  </si>
  <si>
    <t>Transportation GHG/kg
(kg CO 2 eq per kg of food)</t>
  </si>
  <si>
    <t>Total GHG/kg per source
(kg CO 2 eq per kg of food)</t>
  </si>
  <si>
    <t>Contributing GHG/kg per source
(kg CO 2 eq per kg of food)</t>
  </si>
  <si>
    <t>Import</t>
  </si>
  <si>
    <t>Plant Based Meats</t>
  </si>
  <si>
    <t>Cultivated Meats (conventional</t>
  </si>
  <si>
    <t>Insect Substitutes</t>
  </si>
  <si>
    <t>After Change (Solver)</t>
  </si>
  <si>
    <t>Before change</t>
  </si>
  <si>
    <t>% Difference (Before - After)</t>
  </si>
  <si>
    <t>Constraint</t>
  </si>
  <si>
    <t>Changing Variable</t>
  </si>
  <si>
    <t>Starting values</t>
  </si>
  <si>
    <t>Constraint at 20% maximum reduction</t>
  </si>
  <si>
    <t>NEW Ratio of Respective Key Food Item (%) - Changing Variable</t>
  </si>
  <si>
    <t>Original before change
Ratio of Respective Key Food Item (%)</t>
  </si>
  <si>
    <t>Difference (original % - New %)</t>
  </si>
  <si>
    <t>Ratio of Respective Key Food Item (%) - AT LEAST</t>
  </si>
  <si>
    <t>% of total
/ Key food item - SUM</t>
  </si>
  <si>
    <t>Min % Change from 2018 values per Key Food Item</t>
  </si>
  <si>
    <t>Microsoft Excel 16.0 Feasibility Report</t>
  </si>
  <si>
    <t>Worksheet: [Food_Model_241022_SCLv4.xlsx]Optimal Diet + 30 by 30</t>
  </si>
  <si>
    <t>Report Created: 26/10/2022 11:57:31 pm</t>
  </si>
  <si>
    <t>Constraints Which Make the Problem Infeasible</t>
  </si>
  <si>
    <t>Cell</t>
  </si>
  <si>
    <t>Name</t>
  </si>
  <si>
    <t>Cell Value</t>
  </si>
  <si>
    <t>Formula</t>
  </si>
  <si>
    <t>Status</t>
  </si>
  <si>
    <t>Slack</t>
  </si>
  <si>
    <t>$C$11</t>
  </si>
  <si>
    <t>Meat, eggs and seafood After change</t>
  </si>
  <si>
    <t>$C$11=0.25</t>
  </si>
  <si>
    <t>Violated</t>
  </si>
  <si>
    <t>$C$16</t>
  </si>
  <si>
    <t>Locally produced (kg) After change</t>
  </si>
  <si>
    <t>$C$16=$D$16</t>
  </si>
  <si>
    <t>Binding</t>
  </si>
  <si>
    <t>$M$36</t>
  </si>
  <si>
    <t>Fruits % of total
/ Key food item - SUM</t>
  </si>
  <si>
    <t>$M$36=1</t>
  </si>
  <si>
    <t>$M$38:$M$40</t>
  </si>
  <si>
    <t>$M$38</t>
  </si>
  <si>
    <t>Other Vegetables % of total
/ Key food item - SUM</t>
  </si>
  <si>
    <t>$M$38=1</t>
  </si>
  <si>
    <t>$M$39</t>
  </si>
  <si>
    <t>Rice % of total
/ Key food item - SUM</t>
  </si>
  <si>
    <t>$M$39=1</t>
  </si>
  <si>
    <t>$M$40</t>
  </si>
  <si>
    <t>Wheat % of total
/ Key food item - SUM</t>
  </si>
  <si>
    <t>$M$40=1</t>
  </si>
  <si>
    <t>Report Created: 26/10/2022 11:57:44 pm</t>
  </si>
  <si>
    <t>Constraints (not including Variable Bounds) Which Make the Problem Infeasible</t>
  </si>
  <si>
    <t>Other Constraints (not expected to adjust for trade offs)</t>
  </si>
  <si>
    <t>Constraint for each item</t>
  </si>
  <si>
    <t>NEW Ratio of Respective Key Food Item (%)</t>
  </si>
  <si>
    <t>Ratio of Respective Key Food Item (%) - THRESHOLD</t>
  </si>
  <si>
    <t>Min %</t>
  </si>
  <si>
    <t>Min per item</t>
  </si>
  <si>
    <t>Starting Values</t>
  </si>
  <si>
    <t>TOTAL GHG for total weight</t>
  </si>
  <si>
    <t>Original % of total
/ Key food item COPY to F column</t>
  </si>
  <si>
    <t>Avg GHG (with meat substitutes)</t>
  </si>
  <si>
    <t>Avg % reduction compared to meats</t>
  </si>
  <si>
    <t>% of meats substituted</t>
  </si>
  <si>
    <t>Plan based meats</t>
  </si>
  <si>
    <t>Cultivated meats (Conventional Energy)</t>
  </si>
  <si>
    <t>Only replace beef as it actually generates more GHG for other meats On conventional Energy</t>
  </si>
  <si>
    <t>Insects Substitute</t>
  </si>
  <si>
    <t>Currently no full substitute for meat, mainly added as a protein supplement</t>
  </si>
  <si>
    <t>Difference</t>
  </si>
  <si>
    <t>SCENARIO1_BEEF_AUS_DISEASE</t>
  </si>
  <si>
    <t>Ratio of Distribution to Another country</t>
  </si>
  <si>
    <t>Ratio of Distribution to Brazil</t>
  </si>
  <si>
    <t>AUS_STOP_BEEF</t>
  </si>
  <si>
    <t>CHILLED</t>
  </si>
  <si>
    <t>AUS</t>
  </si>
  <si>
    <t>BRAZIL_STOP_BEEF</t>
  </si>
  <si>
    <t>Ratio of Distribution to New Zealand</t>
  </si>
  <si>
    <t>NEW ZEALAND</t>
  </si>
  <si>
    <t>Input Model</t>
  </si>
  <si>
    <t>BRAZIL</t>
  </si>
  <si>
    <t>FROZEN</t>
  </si>
  <si>
    <t>TOTAL</t>
  </si>
  <si>
    <t>TOTAL GHG</t>
  </si>
  <si>
    <t xml:space="preserve">TOTAL GHG </t>
  </si>
  <si>
    <t>OPTIMAL EMISSION</t>
  </si>
  <si>
    <t>RESIDUAL</t>
  </si>
  <si>
    <t>SCENARIO2_BEEF_BRAZIL_DISEASE</t>
  </si>
  <si>
    <t>Ratio of Distribution to AUS</t>
  </si>
  <si>
    <t>Diet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</si>
</sst>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0.000000"/>
    <numFmt numFmtId="167" formatCode="0.000"/>
    <numFmt numFmtId="168" formatCode="0.0000%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3333FF"/>
      <name val="Calibri"/>
      <family val="2"/>
      <scheme val="minor"/>
    </font>
    <font>
      <b/>
      <sz val="14"/>
      <color rgb="FF3333FF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color rgb="FF3333F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2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DD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2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164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9" fontId="8" fillId="0" borderId="1" xfId="0" applyNumberFormat="1" applyFont="1" applyBorder="1" applyAlignment="1">
      <alignment horizontal="center"/>
    </xf>
    <xf numFmtId="0" fontId="9" fillId="0" borderId="0" xfId="0" applyFont="1"/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/>
    <xf numFmtId="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top"/>
    </xf>
    <xf numFmtId="0" fontId="9" fillId="3" borderId="1" xfId="0" applyFont="1" applyFill="1" applyBorder="1" applyAlignment="1">
      <alignment horizontal="left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/>
    <xf numFmtId="0" fontId="7" fillId="3" borderId="1" xfId="0" applyFont="1" applyFill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165" fontId="8" fillId="0" borderId="0" xfId="0" applyNumberFormat="1" applyFont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10" fontId="8" fillId="0" borderId="0" xfId="0" applyNumberFormat="1" applyFont="1" applyAlignment="1">
      <alignment horizontal="center"/>
    </xf>
    <xf numFmtId="0" fontId="8" fillId="0" borderId="0" xfId="0" applyFont="1"/>
    <xf numFmtId="0" fontId="7" fillId="0" borderId="0" xfId="0" applyFont="1"/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1" fontId="0" fillId="7" borderId="1" xfId="0" applyNumberFormat="1" applyFill="1" applyBorder="1" applyAlignment="1">
      <alignment horizontal="center" vertical="center" wrapText="1"/>
    </xf>
    <xf numFmtId="11" fontId="0" fillId="7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9" fontId="0" fillId="0" borderId="0" xfId="0" applyNumberFormat="1"/>
    <xf numFmtId="10" fontId="0" fillId="0" borderId="0" xfId="0" applyNumberFormat="1"/>
    <xf numFmtId="10" fontId="2" fillId="0" borderId="0" xfId="0" applyNumberFormat="1" applyFont="1"/>
    <xf numFmtId="0" fontId="14" fillId="0" borderId="0" xfId="0" applyFont="1"/>
    <xf numFmtId="0" fontId="2" fillId="0" borderId="0" xfId="0" quotePrefix="1" applyFont="1" applyAlignment="1">
      <alignment horizontal="center" vertical="center"/>
    </xf>
    <xf numFmtId="9" fontId="8" fillId="0" borderId="1" xfId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4" borderId="1" xfId="0" applyNumberFormat="1" applyFont="1" applyFill="1" applyBorder="1" applyAlignment="1">
      <alignment horizontal="center" vertical="center"/>
    </xf>
    <xf numFmtId="9" fontId="8" fillId="4" borderId="1" xfId="0" applyNumberFormat="1" applyFont="1" applyFill="1" applyBorder="1" applyAlignment="1">
      <alignment horizontal="center"/>
    </xf>
    <xf numFmtId="9" fontId="2" fillId="4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9" fontId="8" fillId="0" borderId="0" xfId="1" applyFont="1" applyFill="1" applyBorder="1" applyAlignment="1">
      <alignment horizontal="center"/>
    </xf>
    <xf numFmtId="9" fontId="2" fillId="0" borderId="0" xfId="0" applyNumberFormat="1" applyFont="1" applyAlignment="1">
      <alignment horizontal="center"/>
    </xf>
    <xf numFmtId="0" fontId="9" fillId="0" borderId="1" xfId="0" applyFont="1" applyBorder="1" applyAlignment="1">
      <alignment vertical="top"/>
    </xf>
    <xf numFmtId="0" fontId="7" fillId="3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vertical="top" wrapText="1"/>
    </xf>
    <xf numFmtId="165" fontId="2" fillId="0" borderId="0" xfId="0" applyNumberFormat="1" applyFont="1" applyAlignment="1">
      <alignment horizontal="center"/>
    </xf>
    <xf numFmtId="9" fontId="2" fillId="0" borderId="1" xfId="1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10" fontId="2" fillId="2" borderId="1" xfId="1" applyNumberFormat="1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/>
    <xf numFmtId="0" fontId="16" fillId="0" borderId="0" xfId="0" applyFont="1" applyAlignment="1">
      <alignment horizontal="left"/>
    </xf>
    <xf numFmtId="2" fontId="2" fillId="0" borderId="0" xfId="0" applyNumberFormat="1" applyFont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 wrapText="1"/>
    </xf>
    <xf numFmtId="2" fontId="2" fillId="9" borderId="1" xfId="0" applyNumberFormat="1" applyFont="1" applyFill="1" applyBorder="1" applyAlignment="1">
      <alignment horizontal="center" vertical="center"/>
    </xf>
    <xf numFmtId="9" fontId="7" fillId="9" borderId="1" xfId="1" applyFont="1" applyFill="1" applyBorder="1" applyAlignment="1">
      <alignment horizontal="center" vertical="center" wrapText="1"/>
    </xf>
    <xf numFmtId="10" fontId="0" fillId="5" borderId="1" xfId="1" applyNumberFormat="1" applyFont="1" applyFill="1" applyBorder="1" applyAlignment="1">
      <alignment horizontal="center" vertical="center"/>
    </xf>
    <xf numFmtId="10" fontId="0" fillId="7" borderId="1" xfId="1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wrapText="1"/>
    </xf>
    <xf numFmtId="10" fontId="2" fillId="0" borderId="1" xfId="1" applyNumberFormat="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164" fontId="8" fillId="7" borderId="1" xfId="1" applyNumberFormat="1" applyFont="1" applyFill="1" applyBorder="1" applyAlignment="1">
      <alignment horizontal="center" vertical="center" wrapText="1"/>
    </xf>
    <xf numFmtId="167" fontId="8" fillId="7" borderId="1" xfId="1" applyNumberFormat="1" applyFont="1" applyFill="1" applyBorder="1" applyAlignment="1">
      <alignment horizontal="center" vertical="center" wrapText="1"/>
    </xf>
    <xf numFmtId="168" fontId="8" fillId="7" borderId="1" xfId="1" applyNumberFormat="1" applyFont="1" applyFill="1" applyBorder="1" applyAlignment="1">
      <alignment horizontal="center" vertical="center" wrapText="1"/>
    </xf>
    <xf numFmtId="0" fontId="8" fillId="7" borderId="1" xfId="1" applyNumberFormat="1" applyFont="1" applyFill="1" applyBorder="1" applyAlignment="1">
      <alignment horizontal="center" vertical="center" wrapText="1"/>
    </xf>
    <xf numFmtId="166" fontId="8" fillId="7" borderId="1" xfId="0" applyNumberFormat="1" applyFont="1" applyFill="1" applyBorder="1" applyAlignment="1">
      <alignment horizontal="center" vertical="center"/>
    </xf>
    <xf numFmtId="166" fontId="8" fillId="7" borderId="1" xfId="0" applyNumberFormat="1" applyFont="1" applyFill="1" applyBorder="1" applyAlignment="1">
      <alignment horizontal="center"/>
    </xf>
    <xf numFmtId="164" fontId="8" fillId="7" borderId="1" xfId="1" applyNumberFormat="1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164" fontId="8" fillId="8" borderId="1" xfId="1" applyNumberFormat="1" applyFont="1" applyFill="1" applyBorder="1" applyAlignment="1">
      <alignment horizontal="center" vertical="center" wrapText="1"/>
    </xf>
    <xf numFmtId="167" fontId="8" fillId="8" borderId="1" xfId="1" applyNumberFormat="1" applyFont="1" applyFill="1" applyBorder="1" applyAlignment="1">
      <alignment horizontal="center" vertical="center" wrapText="1"/>
    </xf>
    <xf numFmtId="168" fontId="8" fillId="8" borderId="1" xfId="1" applyNumberFormat="1" applyFont="1" applyFill="1" applyBorder="1" applyAlignment="1">
      <alignment horizontal="center" vertical="center" wrapText="1"/>
    </xf>
    <xf numFmtId="0" fontId="8" fillId="8" borderId="1" xfId="1" applyNumberFormat="1" applyFont="1" applyFill="1" applyBorder="1" applyAlignment="1">
      <alignment horizontal="center" vertical="center" wrapText="1"/>
    </xf>
    <xf numFmtId="166" fontId="8" fillId="8" borderId="1" xfId="0" applyNumberFormat="1" applyFont="1" applyFill="1" applyBorder="1" applyAlignment="1">
      <alignment horizontal="center" vertical="center"/>
    </xf>
    <xf numFmtId="166" fontId="8" fillId="8" borderId="1" xfId="0" applyNumberFormat="1" applyFont="1" applyFill="1" applyBorder="1" applyAlignment="1">
      <alignment horizontal="center"/>
    </xf>
    <xf numFmtId="167" fontId="8" fillId="7" borderId="1" xfId="1" applyNumberFormat="1" applyFont="1" applyFill="1" applyBorder="1" applyAlignment="1">
      <alignment horizontal="center" vertical="center"/>
    </xf>
    <xf numFmtId="164" fontId="8" fillId="8" borderId="1" xfId="1" applyNumberFormat="1" applyFont="1" applyFill="1" applyBorder="1" applyAlignment="1">
      <alignment horizontal="center" vertical="center"/>
    </xf>
    <xf numFmtId="167" fontId="8" fillId="8" borderId="1" xfId="1" applyNumberFormat="1" applyFont="1" applyFill="1" applyBorder="1" applyAlignment="1">
      <alignment horizontal="center" vertical="center"/>
    </xf>
    <xf numFmtId="166" fontId="8" fillId="7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/>
    </xf>
    <xf numFmtId="9" fontId="8" fillId="8" borderId="1" xfId="0" applyNumberFormat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9" fontId="8" fillId="7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17" fillId="0" borderId="0" xfId="0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165" fontId="9" fillId="10" borderId="1" xfId="0" applyNumberFormat="1" applyFont="1" applyFill="1" applyBorder="1" applyAlignment="1">
      <alignment horizontal="center" vertical="center" wrapText="1"/>
    </xf>
    <xf numFmtId="165" fontId="9" fillId="10" borderId="1" xfId="0" applyNumberFormat="1" applyFont="1" applyFill="1" applyBorder="1" applyAlignment="1">
      <alignment horizontal="center" vertical="center"/>
    </xf>
    <xf numFmtId="10" fontId="2" fillId="10" borderId="1" xfId="0" applyNumberFormat="1" applyFont="1" applyFill="1" applyBorder="1" applyAlignment="1">
      <alignment horizontal="center" vertical="center" wrapText="1"/>
    </xf>
    <xf numFmtId="10" fontId="8" fillId="10" borderId="1" xfId="1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/>
    </xf>
    <xf numFmtId="9" fontId="2" fillId="9" borderId="1" xfId="1" applyFont="1" applyFill="1" applyBorder="1" applyAlignment="1">
      <alignment horizontal="center" vertical="center"/>
    </xf>
    <xf numFmtId="0" fontId="18" fillId="11" borderId="2" xfId="0" applyFont="1" applyFill="1" applyBorder="1" applyAlignment="1">
      <alignment horizontal="left" vertical="center" wrapText="1"/>
    </xf>
    <xf numFmtId="0" fontId="19" fillId="11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 wrapText="1"/>
    </xf>
    <xf numFmtId="9" fontId="0" fillId="7" borderId="1" xfId="1" applyFont="1" applyFill="1" applyBorder="1" applyAlignment="1">
      <alignment horizontal="center" vertical="center"/>
    </xf>
    <xf numFmtId="0" fontId="21" fillId="0" borderId="0" xfId="0" applyFont="1"/>
    <xf numFmtId="0" fontId="22" fillId="0" borderId="1" xfId="0" applyFont="1" applyBorder="1" applyAlignment="1">
      <alignment horizontal="center" wrapText="1"/>
    </xf>
    <xf numFmtId="9" fontId="21" fillId="7" borderId="1" xfId="0" applyNumberFormat="1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65" fontId="23" fillId="0" borderId="1" xfId="0" applyNumberFormat="1" applyFont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10" fontId="21" fillId="7" borderId="1" xfId="0" applyNumberFormat="1" applyFont="1" applyFill="1" applyBorder="1" applyAlignment="1">
      <alignment horizontal="center" vertical="center"/>
    </xf>
    <xf numFmtId="165" fontId="26" fillId="0" borderId="1" xfId="0" applyNumberFormat="1" applyFont="1" applyBorder="1" applyAlignment="1">
      <alignment horizontal="center" vertical="center"/>
    </xf>
    <xf numFmtId="10" fontId="21" fillId="2" borderId="1" xfId="0" applyNumberFormat="1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center" vertical="center"/>
    </xf>
    <xf numFmtId="9" fontId="21" fillId="12" borderId="1" xfId="0" applyNumberFormat="1" applyFont="1" applyFill="1" applyBorder="1" applyAlignment="1">
      <alignment horizontal="center" vertical="center"/>
    </xf>
    <xf numFmtId="10" fontId="21" fillId="12" borderId="1" xfId="0" applyNumberFormat="1" applyFont="1" applyFill="1" applyBorder="1" applyAlignment="1">
      <alignment horizontal="center"/>
    </xf>
    <xf numFmtId="9" fontId="21" fillId="2" borderId="1" xfId="0" applyNumberFormat="1" applyFont="1" applyFill="1" applyBorder="1" applyAlignment="1">
      <alignment horizontal="center" vertical="center"/>
    </xf>
    <xf numFmtId="10" fontId="21" fillId="2" borderId="1" xfId="1" applyNumberFormat="1" applyFont="1" applyFill="1" applyBorder="1" applyAlignment="1">
      <alignment horizontal="center" vertical="center"/>
    </xf>
    <xf numFmtId="165" fontId="21" fillId="2" borderId="1" xfId="0" applyNumberFormat="1" applyFont="1" applyFill="1" applyBorder="1" applyAlignment="1">
      <alignment horizontal="center" vertical="center"/>
    </xf>
    <xf numFmtId="165" fontId="21" fillId="12" borderId="1" xfId="0" applyNumberFormat="1" applyFont="1" applyFill="1" applyBorder="1" applyAlignment="1">
      <alignment horizontal="center" vertical="center"/>
    </xf>
    <xf numFmtId="165" fontId="21" fillId="12" borderId="1" xfId="0" applyNumberFormat="1" applyFont="1" applyFill="1" applyBorder="1" applyAlignment="1">
      <alignment horizontal="center"/>
    </xf>
    <xf numFmtId="10" fontId="21" fillId="8" borderId="1" xfId="0" applyNumberFormat="1" applyFont="1" applyFill="1" applyBorder="1" applyAlignment="1">
      <alignment horizontal="center"/>
    </xf>
    <xf numFmtId="9" fontId="21" fillId="8" borderId="1" xfId="0" applyNumberFormat="1" applyFont="1" applyFill="1" applyBorder="1" applyAlignment="1">
      <alignment horizontal="center" vertical="center"/>
    </xf>
    <xf numFmtId="10" fontId="21" fillId="8" borderId="1" xfId="0" applyNumberFormat="1" applyFont="1" applyFill="1" applyBorder="1" applyAlignment="1">
      <alignment horizontal="center" vertical="center"/>
    </xf>
    <xf numFmtId="2" fontId="21" fillId="8" borderId="1" xfId="1" applyNumberFormat="1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/>
    </xf>
    <xf numFmtId="2" fontId="23" fillId="0" borderId="10" xfId="0" applyNumberFormat="1" applyFont="1" applyBorder="1" applyAlignment="1">
      <alignment horizontal="center" vertical="center"/>
    </xf>
    <xf numFmtId="2" fontId="25" fillId="0" borderId="10" xfId="0" applyNumberFormat="1" applyFont="1" applyBorder="1" applyAlignment="1">
      <alignment horizontal="center" vertical="center"/>
    </xf>
    <xf numFmtId="10" fontId="21" fillId="2" borderId="1" xfId="0" applyNumberFormat="1" applyFont="1" applyFill="1" applyBorder="1" applyAlignment="1">
      <alignment horizontal="center"/>
    </xf>
    <xf numFmtId="9" fontId="21" fillId="0" borderId="4" xfId="0" applyNumberFormat="1" applyFont="1" applyBorder="1" applyAlignment="1">
      <alignment horizontal="center" vertical="center"/>
    </xf>
    <xf numFmtId="165" fontId="21" fillId="2" borderId="1" xfId="0" applyNumberFormat="1" applyFont="1" applyFill="1" applyBorder="1" applyAlignment="1">
      <alignment horizontal="center"/>
    </xf>
    <xf numFmtId="2" fontId="23" fillId="0" borderId="0" xfId="0" applyNumberFormat="1" applyFont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165" fontId="21" fillId="8" borderId="1" xfId="0" applyNumberFormat="1" applyFont="1" applyFill="1" applyBorder="1" applyAlignment="1">
      <alignment horizontal="center"/>
    </xf>
    <xf numFmtId="164" fontId="21" fillId="2" borderId="1" xfId="0" applyNumberFormat="1" applyFont="1" applyFill="1" applyBorder="1" applyAlignment="1">
      <alignment horizontal="center" vertical="center"/>
    </xf>
    <xf numFmtId="165" fontId="21" fillId="8" borderId="1" xfId="0" applyNumberFormat="1" applyFont="1" applyFill="1" applyBorder="1" applyAlignment="1">
      <alignment horizontal="center" vertical="center"/>
    </xf>
    <xf numFmtId="10" fontId="27" fillId="12" borderId="1" xfId="0" applyNumberFormat="1" applyFont="1" applyFill="1" applyBorder="1" applyAlignment="1">
      <alignment horizontal="center" vertical="center"/>
    </xf>
    <xf numFmtId="10" fontId="21" fillId="2" borderId="1" xfId="1" applyNumberFormat="1" applyFont="1" applyFill="1" applyBorder="1" applyAlignment="1">
      <alignment horizontal="center"/>
    </xf>
    <xf numFmtId="165" fontId="27" fillId="12" borderId="1" xfId="0" applyNumberFormat="1" applyFont="1" applyFill="1" applyBorder="1" applyAlignment="1">
      <alignment horizontal="center" vertical="center"/>
    </xf>
    <xf numFmtId="165" fontId="21" fillId="2" borderId="1" xfId="1" applyNumberFormat="1" applyFont="1" applyFill="1" applyBorder="1" applyAlignment="1">
      <alignment horizontal="center"/>
    </xf>
    <xf numFmtId="10" fontId="21" fillId="8" borderId="1" xfId="1" applyNumberFormat="1" applyFont="1" applyFill="1" applyBorder="1" applyAlignment="1">
      <alignment horizontal="center" vertical="center"/>
    </xf>
    <xf numFmtId="10" fontId="21" fillId="12" borderId="1" xfId="0" applyNumberFormat="1" applyFont="1" applyFill="1" applyBorder="1" applyAlignment="1">
      <alignment horizontal="center" vertical="center"/>
    </xf>
    <xf numFmtId="165" fontId="21" fillId="8" borderId="1" xfId="1" applyNumberFormat="1" applyFont="1" applyFill="1" applyBorder="1" applyAlignment="1">
      <alignment horizontal="center" vertical="center"/>
    </xf>
    <xf numFmtId="10" fontId="27" fillId="12" borderId="1" xfId="0" applyNumberFormat="1" applyFont="1" applyFill="1" applyBorder="1" applyAlignment="1">
      <alignment horizontal="center"/>
    </xf>
    <xf numFmtId="165" fontId="27" fillId="12" borderId="1" xfId="0" applyNumberFormat="1" applyFont="1" applyFill="1" applyBorder="1" applyAlignment="1">
      <alignment horizontal="center"/>
    </xf>
    <xf numFmtId="9" fontId="24" fillId="7" borderId="1" xfId="1" applyFont="1" applyFill="1" applyBorder="1" applyAlignment="1">
      <alignment vertical="center" textRotation="90" wrapText="1"/>
    </xf>
    <xf numFmtId="0" fontId="26" fillId="7" borderId="2" xfId="0" applyFont="1" applyFill="1" applyBorder="1" applyAlignment="1">
      <alignment horizontal="center" vertical="center"/>
    </xf>
    <xf numFmtId="10" fontId="21" fillId="7" borderId="1" xfId="1" applyNumberFormat="1" applyFont="1" applyFill="1" applyBorder="1" applyAlignment="1">
      <alignment horizontal="center" vertical="center"/>
    </xf>
    <xf numFmtId="2" fontId="21" fillId="2" borderId="1" xfId="0" applyNumberFormat="1" applyFont="1" applyFill="1" applyBorder="1" applyAlignment="1">
      <alignment horizontal="center" vertical="center"/>
    </xf>
    <xf numFmtId="2" fontId="21" fillId="12" borderId="1" xfId="0" applyNumberFormat="1" applyFont="1" applyFill="1" applyBorder="1" applyAlignment="1">
      <alignment horizontal="center" vertical="center"/>
    </xf>
    <xf numFmtId="2" fontId="21" fillId="12" borderId="1" xfId="0" applyNumberFormat="1" applyFont="1" applyFill="1" applyBorder="1" applyAlignment="1">
      <alignment horizontal="center"/>
    </xf>
    <xf numFmtId="2" fontId="21" fillId="8" borderId="1" xfId="0" applyNumberFormat="1" applyFont="1" applyFill="1" applyBorder="1" applyAlignment="1">
      <alignment horizontal="center"/>
    </xf>
    <xf numFmtId="2" fontId="21" fillId="2" borderId="1" xfId="0" applyNumberFormat="1" applyFont="1" applyFill="1" applyBorder="1" applyAlignment="1">
      <alignment horizontal="center"/>
    </xf>
    <xf numFmtId="2" fontId="21" fillId="8" borderId="1" xfId="0" applyNumberFormat="1" applyFont="1" applyFill="1" applyBorder="1" applyAlignment="1">
      <alignment horizontal="center" vertical="center"/>
    </xf>
    <xf numFmtId="2" fontId="27" fillId="12" borderId="1" xfId="0" applyNumberFormat="1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center"/>
    </xf>
    <xf numFmtId="0" fontId="27" fillId="12" borderId="1" xfId="0" applyFont="1" applyFill="1" applyBorder="1" applyAlignment="1">
      <alignment horizontal="center"/>
    </xf>
    <xf numFmtId="2" fontId="27" fillId="12" borderId="1" xfId="0" applyNumberFormat="1" applyFont="1" applyFill="1" applyBorder="1" applyAlignment="1">
      <alignment horizontal="center"/>
    </xf>
    <xf numFmtId="10" fontId="23" fillId="7" borderId="1" xfId="0" applyNumberFormat="1" applyFont="1" applyFill="1" applyBorder="1" applyAlignment="1">
      <alignment horizontal="center" vertical="center"/>
    </xf>
    <xf numFmtId="165" fontId="23" fillId="7" borderId="1" xfId="0" applyNumberFormat="1" applyFont="1" applyFill="1" applyBorder="1" applyAlignment="1">
      <alignment horizontal="center" vertical="center"/>
    </xf>
    <xf numFmtId="2" fontId="23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25" fillId="8" borderId="1" xfId="0" applyFont="1" applyFill="1" applyBorder="1" applyAlignment="1">
      <alignment horizontal="center" vertical="center"/>
    </xf>
    <xf numFmtId="2" fontId="23" fillId="8" borderId="1" xfId="0" applyNumberFormat="1" applyFont="1" applyFill="1" applyBorder="1" applyAlignment="1">
      <alignment horizontal="center" vertical="center"/>
    </xf>
    <xf numFmtId="2" fontId="23" fillId="2" borderId="1" xfId="0" applyNumberFormat="1" applyFont="1" applyFill="1" applyBorder="1" applyAlignment="1">
      <alignment horizontal="center" vertical="center"/>
    </xf>
    <xf numFmtId="0" fontId="0" fillId="7" borderId="11" xfId="0" applyFill="1" applyBorder="1" applyAlignment="1">
      <alignment horizontal="center"/>
    </xf>
    <xf numFmtId="165" fontId="23" fillId="8" borderId="1" xfId="0" applyNumberFormat="1" applyFont="1" applyFill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2" fontId="25" fillId="8" borderId="1" xfId="0" applyNumberFormat="1" applyFont="1" applyFill="1" applyBorder="1" applyAlignment="1">
      <alignment horizontal="center" vertical="center"/>
    </xf>
    <xf numFmtId="0" fontId="0" fillId="7" borderId="12" xfId="0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/>
    </xf>
    <xf numFmtId="165" fontId="26" fillId="8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3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10" fontId="21" fillId="0" borderId="0" xfId="0" applyNumberFormat="1" applyFont="1" applyAlignment="1">
      <alignment horizontal="center" vertical="center"/>
    </xf>
    <xf numFmtId="10" fontId="21" fillId="0" borderId="0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0" xfId="0" applyAlignment="1">
      <alignment horizontal="center" wrapText="1"/>
    </xf>
    <xf numFmtId="9" fontId="2" fillId="0" borderId="5" xfId="0" applyNumberFormat="1" applyFont="1" applyBorder="1" applyAlignment="1">
      <alignment horizontal="center" vertical="center"/>
    </xf>
    <xf numFmtId="9" fontId="2" fillId="0" borderId="6" xfId="0" applyNumberFormat="1" applyFont="1" applyBorder="1" applyAlignment="1">
      <alignment horizontal="center" vertical="center"/>
    </xf>
    <xf numFmtId="9" fontId="2" fillId="0" borderId="7" xfId="0" applyNumberFormat="1" applyFont="1" applyBorder="1" applyAlignment="1">
      <alignment horizontal="center" vertical="center"/>
    </xf>
    <xf numFmtId="9" fontId="21" fillId="7" borderId="5" xfId="0" applyNumberFormat="1" applyFont="1" applyFill="1" applyBorder="1" applyAlignment="1">
      <alignment horizontal="center" vertical="center"/>
    </xf>
    <xf numFmtId="9" fontId="21" fillId="7" borderId="7" xfId="0" applyNumberFormat="1" applyFont="1" applyFill="1" applyBorder="1" applyAlignment="1">
      <alignment horizontal="center" vertical="center"/>
    </xf>
    <xf numFmtId="9" fontId="24" fillId="7" borderId="5" xfId="1" applyFont="1" applyFill="1" applyBorder="1" applyAlignment="1">
      <alignment horizontal="center" vertical="center" textRotation="90" wrapText="1"/>
    </xf>
    <xf numFmtId="9" fontId="24" fillId="7" borderId="6" xfId="1" applyFont="1" applyFill="1" applyBorder="1" applyAlignment="1">
      <alignment horizontal="center" vertical="center" textRotation="90" wrapText="1"/>
    </xf>
    <xf numFmtId="9" fontId="24" fillId="7" borderId="7" xfId="1" applyFont="1" applyFill="1" applyBorder="1" applyAlignment="1">
      <alignment horizontal="center" vertical="center" textRotation="90" wrapText="1"/>
    </xf>
    <xf numFmtId="0" fontId="24" fillId="7" borderId="1" xfId="0" applyFont="1" applyFill="1" applyBorder="1" applyAlignment="1">
      <alignment horizontal="center" vertical="center"/>
    </xf>
    <xf numFmtId="0" fontId="20" fillId="8" borderId="2" xfId="0" applyFont="1" applyFill="1" applyBorder="1" applyAlignment="1">
      <alignment horizontal="center" vertical="center"/>
    </xf>
    <xf numFmtId="0" fontId="20" fillId="8" borderId="8" xfId="0" applyFont="1" applyFill="1" applyBorder="1" applyAlignment="1">
      <alignment horizontal="center" vertical="center"/>
    </xf>
    <xf numFmtId="0" fontId="20" fillId="8" borderId="9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18"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</dxf>
  </dxfs>
  <tableStyles count="0" defaultTableStyle="TableStyleMedium2" defaultPivotStyle="PivotStyleLight16"/>
  <colors>
    <mruColors>
      <color rgb="FFCCFFCC"/>
      <color rgb="FF3333FF"/>
      <color rgb="FFFFDDFF"/>
      <color rgb="FFFF00FF"/>
      <color rgb="FFCCECFF"/>
      <color rgb="FFFFFF99"/>
      <color rgb="FFFFFFCC"/>
      <color rgb="FFFFCC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</a:t>
            </a:r>
            <a:r>
              <a:rPr lang="en-US" baseline="0"/>
              <a:t> Analysis - Removing Countries of Import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'Sensitivity Analysis'!$W$2</c:f>
              <c:strCache>
                <c:ptCount val="1"/>
                <c:pt idx="0">
                  <c:v>AUS_STOP_BEEF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'Sensitivity Analysis'!$X$1:$AC$1</c:f>
              <c:numCache>
                <c:formatCode>0%</c:formatCode>
                <c:ptCount val="6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0.19999999999999996</c:v>
                </c:pt>
                <c:pt idx="5">
                  <c:v>0</c:v>
                </c:pt>
              </c:numCache>
            </c:numRef>
          </c:cat>
          <c:val>
            <c:numRef>
              <c:f>'Sensitivity Analysis'!$X$2:$AC$2</c:f>
              <c:numCache>
                <c:formatCode>0.0</c:formatCode>
                <c:ptCount val="6"/>
                <c:pt idx="0">
                  <c:v>931.85803025031021</c:v>
                </c:pt>
                <c:pt idx="1">
                  <c:v>931.33758010101099</c:v>
                </c:pt>
                <c:pt idx="2">
                  <c:v>930.81494545077078</c:v>
                </c:pt>
                <c:pt idx="3">
                  <c:v>930.2923108005308</c:v>
                </c:pt>
                <c:pt idx="4">
                  <c:v>929.76967615029082</c:v>
                </c:pt>
                <c:pt idx="5">
                  <c:v>929.24704150005084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B-4A7C-8D02-B9EA533F0018}"/>
            </c:ext>
          </c:extLst>
        </c:ser>
        <c:ser>
          <c:idx val="1"/>
          <c:order val="1"/>
          <c:tx>
            <c:strRef>
              <c:f>'Sensitivity Analysis'!$W$3</c:f>
              <c:strCache>
                <c:ptCount val="1"/>
                <c:pt idx="0">
                  <c:v>BRAZIL_STOP_BEEF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'Sensitivity Analysis'!$X$1:$AC$1</c:f>
              <c:numCache>
                <c:formatCode>0%</c:formatCode>
                <c:ptCount val="6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0.19999999999999996</c:v>
                </c:pt>
                <c:pt idx="5">
                  <c:v>0</c:v>
                </c:pt>
              </c:numCache>
            </c:numRef>
          </c:cat>
          <c:val>
            <c:numRef>
              <c:f>'Sensitivity Analysis'!$X$3:$AC$3</c:f>
              <c:numCache>
                <c:formatCode>0.0</c:formatCode>
                <c:ptCount val="6"/>
                <c:pt idx="0">
                  <c:v>924.52892384025097</c:v>
                </c:pt>
                <c:pt idx="1">
                  <c:v>924.40223455443095</c:v>
                </c:pt>
                <c:pt idx="2">
                  <c:v>924.36004020231087</c:v>
                </c:pt>
                <c:pt idx="3">
                  <c:v>924.31784585019079</c:v>
                </c:pt>
                <c:pt idx="4">
                  <c:v>924.27565149807094</c:v>
                </c:pt>
                <c:pt idx="5">
                  <c:v>924.23345714595087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B-4A7C-8D02-B9EA533F0018}"/>
            </c:ext>
          </c:extLst>
        </c:ser>
        <c:ser>
          <c:idx val="2"/>
          <c:order val="2"/>
          <c:tx>
            <c:strRef>
              <c:f>'Sensitivity Analysis'!$W$4</c:f>
              <c:strCache>
                <c:ptCount val="1"/>
                <c:pt idx="0">
                  <c:v>Input Model</c:v>
                </c:pt>
              </c:strCache>
            </c:strRef>
          </c:tx>
          <c:spPr>
            <a:ln w="34925" cap="rnd">
              <a:solidFill>
                <a:schemeClr val="accent3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B80-4EAE-8300-74DE62B5FC3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B80-4EAE-8300-74DE62B5FC3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B80-4EAE-8300-74DE62B5FC3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B80-4EAE-8300-74DE62B5FC3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B80-4EAE-8300-74DE62B5FC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'Sensitivity Analysis'!$X$1:$AC$1</c:f>
              <c:numCache>
                <c:formatCode>0%</c:formatCode>
                <c:ptCount val="6"/>
                <c:pt idx="0">
                  <c:v>1</c:v>
                </c:pt>
                <c:pt idx="1">
                  <c:v>0.8</c:v>
                </c:pt>
                <c:pt idx="2">
                  <c:v>0.6</c:v>
                </c:pt>
                <c:pt idx="3">
                  <c:v>0.4</c:v>
                </c:pt>
                <c:pt idx="4">
                  <c:v>0.19999999999999996</c:v>
                </c:pt>
                <c:pt idx="5">
                  <c:v>0</c:v>
                </c:pt>
              </c:numCache>
            </c:numRef>
          </c:cat>
          <c:val>
            <c:numRef>
              <c:f>'Sensitivity Analysis'!$X$4:$AC$4</c:f>
              <c:numCache>
                <c:formatCode>0.0</c:formatCode>
                <c:ptCount val="6"/>
                <c:pt idx="0">
                  <c:v>929.41751284347936</c:v>
                </c:pt>
                <c:pt idx="1">
                  <c:v>929.41751284347936</c:v>
                </c:pt>
                <c:pt idx="2">
                  <c:v>929.41751284347936</c:v>
                </c:pt>
                <c:pt idx="3">
                  <c:v>929.41751284347936</c:v>
                </c:pt>
                <c:pt idx="4">
                  <c:v>929.41751284347936</c:v>
                </c:pt>
                <c:pt idx="5">
                  <c:v>929.41751284347936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7B-4A7C-8D02-B9EA533F00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60964144"/>
        <c:axId val="1360964960"/>
      </c:lineChart>
      <c:catAx>
        <c:axId val="136096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of distribution to another 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964960"/>
        <c:crosses val="autoZero"/>
        <c:auto val="1"/>
        <c:lblAlgn val="ctr"/>
        <c:lblOffset val="100"/>
        <c:noMultiLvlLbl val="0"/>
      </c:catAx>
      <c:valAx>
        <c:axId val="1360964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TOTAL GHG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96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217487</xdr:colOff>
      <xdr:row>5</xdr:row>
      <xdr:rowOff>200025</xdr:rowOff>
    </xdr:from>
    <xdr:to>
      <xdr:col>30</xdr:col>
      <xdr:colOff>738187</xdr:colOff>
      <xdr:row>43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A028F0-D00B-4668-A815-B0FA3B94A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1026103</xdr:colOff>
      <xdr:row>9</xdr:row>
      <xdr:rowOff>77788</xdr:rowOff>
    </xdr:from>
    <xdr:to>
      <xdr:col>24</xdr:col>
      <xdr:colOff>1145164</xdr:colOff>
      <xdr:row>10</xdr:row>
      <xdr:rowOff>191655</xdr:rowOff>
    </xdr:to>
    <xdr:sp macro="" textlink="">
      <xdr:nvSpPr>
        <xdr:cNvPr id="7" name="TextBox 2">
          <a:extLst>
            <a:ext uri="{FF2B5EF4-FFF2-40B4-BE49-F238E27FC236}">
              <a16:creationId xmlns:a16="http://schemas.microsoft.com/office/drawing/2014/main" id="{45E2C27A-9CF1-3097-A22C-69CF63BF912E}"/>
            </a:ext>
          </a:extLst>
        </xdr:cNvPr>
        <xdr:cNvSpPr txBox="1"/>
      </xdr:nvSpPr>
      <xdr:spPr>
        <a:xfrm>
          <a:off x="34125478" y="2649538"/>
          <a:ext cx="4095749" cy="375805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SG" sz="1800"/>
            <a:t>New Zealand</a:t>
          </a:r>
          <a:r>
            <a:rPr lang="en-SG" sz="1800" baseline="0"/>
            <a:t> &amp; Brazil continues to import</a:t>
          </a:r>
          <a:endParaRPr lang="en-SG" sz="1800"/>
        </a:p>
      </xdr:txBody>
    </xdr:sp>
    <xdr:clientData/>
  </xdr:twoCellAnchor>
  <xdr:twoCellAnchor>
    <xdr:from>
      <xdr:col>22</xdr:col>
      <xdr:colOff>1021773</xdr:colOff>
      <xdr:row>25</xdr:row>
      <xdr:rowOff>218785</xdr:rowOff>
    </xdr:from>
    <xdr:to>
      <xdr:col>25</xdr:col>
      <xdr:colOff>55129</xdr:colOff>
      <xdr:row>27</xdr:row>
      <xdr:rowOff>89765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2377044-03F6-4655-8303-F807A7AE55C5}"/>
            </a:ext>
          </a:extLst>
        </xdr:cNvPr>
        <xdr:cNvSpPr txBox="1"/>
      </xdr:nvSpPr>
      <xdr:spPr>
        <a:xfrm>
          <a:off x="34134137" y="6938240"/>
          <a:ext cx="4471265" cy="390525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SG" sz="1800"/>
            <a:t>New Zealand</a:t>
          </a:r>
          <a:r>
            <a:rPr lang="en-SG" sz="1800" baseline="0"/>
            <a:t> &amp; Australia continues to import</a:t>
          </a:r>
          <a:endParaRPr lang="en-SG" sz="18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nsitivity_Analysis271022_CY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Model (backup)"/>
      <sheetName val="Base Model (2018) - backup"/>
      <sheetName val="Transportation (backup)"/>
      <sheetName val="2019 (whole list)"/>
      <sheetName val="2019 (average GHG per kg)"/>
      <sheetName val="2018 (food consumption)"/>
      <sheetName val="Optimal Diet"/>
      <sheetName val="Feasibility Report 1"/>
      <sheetName val="Feasibility Report 2"/>
      <sheetName val="Optimal Diet + 30 by 30"/>
      <sheetName val="Sensitivity Analysis"/>
      <sheetName val="GHG food types"/>
      <sheetName val="Base Model(2030) - backup"/>
      <sheetName val="Base Model(SCL)"/>
      <sheetName val="Base Model(2030)- Optimalhealth"/>
      <sheetName val="Base Model(2030)- 30by30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C3">
            <v>929.41751284347936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32801-DBAB-4555-9E73-EC7495D0A3A8}">
  <sheetPr codeName="Sheet1"/>
  <dimension ref="B1:I38"/>
  <sheetViews>
    <sheetView workbookViewId="0">
      <selection activeCell="F11" sqref="F11"/>
    </sheetView>
  </sheetViews>
  <sheetFormatPr defaultColWidth="8.73046875" defaultRowHeight="13.15" x14ac:dyDescent="0.4"/>
  <cols>
    <col min="1" max="1" width="2.3984375" style="5" customWidth="1"/>
    <col min="2" max="4" width="28.86328125" style="5" customWidth="1"/>
    <col min="5" max="5" width="37.1328125" style="5" bestFit="1" customWidth="1"/>
    <col min="6" max="6" width="30.73046875" style="5" bestFit="1" customWidth="1"/>
    <col min="7" max="7" width="15.3984375" style="5" customWidth="1"/>
    <col min="8" max="8" width="14.3984375" style="5" customWidth="1"/>
    <col min="9" max="16384" width="8.73046875" style="5"/>
  </cols>
  <sheetData>
    <row r="1" spans="2:7" x14ac:dyDescent="0.4">
      <c r="B1" s="22" t="s">
        <v>0</v>
      </c>
    </row>
    <row r="2" spans="2:7" x14ac:dyDescent="0.4">
      <c r="B2" s="22"/>
      <c r="C2" s="21">
        <v>2018</v>
      </c>
      <c r="D2" s="21">
        <v>2030</v>
      </c>
    </row>
    <row r="3" spans="2:7" ht="26.25" x14ac:dyDescent="0.4">
      <c r="B3" s="33" t="s">
        <v>1</v>
      </c>
      <c r="C3" s="50">
        <v>963.18</v>
      </c>
      <c r="D3" s="51">
        <f>SUM(F23:F35)</f>
        <v>963.18000000000006</v>
      </c>
    </row>
    <row r="4" spans="2:7" ht="26.25" x14ac:dyDescent="0.4">
      <c r="B4" s="33" t="s">
        <v>2</v>
      </c>
      <c r="C4" s="35">
        <f>'2018 (food consumption)'!$B$15</f>
        <v>365</v>
      </c>
      <c r="D4" s="29">
        <f>C4</f>
        <v>365</v>
      </c>
      <c r="E4" s="32"/>
    </row>
    <row r="7" spans="2:7" x14ac:dyDescent="0.4">
      <c r="B7" s="22" t="s">
        <v>3</v>
      </c>
      <c r="E7" s="31"/>
      <c r="F7" s="34"/>
      <c r="G7" s="28"/>
    </row>
    <row r="8" spans="2:7" x14ac:dyDescent="0.4">
      <c r="B8" s="22"/>
      <c r="E8" s="31"/>
      <c r="F8" s="34"/>
      <c r="G8" s="28"/>
    </row>
    <row r="9" spans="2:7" x14ac:dyDescent="0.4">
      <c r="B9" s="16" t="s">
        <v>4</v>
      </c>
      <c r="C9" s="17">
        <v>2018</v>
      </c>
      <c r="D9" s="17" t="s">
        <v>5</v>
      </c>
      <c r="E9" s="31"/>
      <c r="F9" s="34"/>
      <c r="G9" s="28"/>
    </row>
    <row r="10" spans="2:7" x14ac:dyDescent="0.4">
      <c r="B10" s="23" t="s">
        <v>6</v>
      </c>
      <c r="C10" s="30">
        <f>C23+C24+C25+C26+C27+C28+C29+C30</f>
        <v>0.29041095890410956</v>
      </c>
      <c r="D10" s="15">
        <v>0.25</v>
      </c>
      <c r="E10" s="31"/>
      <c r="F10" s="34"/>
      <c r="G10" s="28"/>
    </row>
    <row r="11" spans="2:7" x14ac:dyDescent="0.4">
      <c r="B11" s="23" t="s">
        <v>7</v>
      </c>
      <c r="C11" s="30">
        <f>C34+C35</f>
        <v>0.24931506849315069</v>
      </c>
      <c r="D11" s="15">
        <v>0.25</v>
      </c>
      <c r="E11" s="31"/>
      <c r="F11" s="34"/>
      <c r="G11" s="28"/>
    </row>
    <row r="12" spans="2:7" x14ac:dyDescent="0.4">
      <c r="B12" s="23" t="s">
        <v>8</v>
      </c>
      <c r="C12" s="30">
        <f>C31+C32+C33</f>
        <v>0.46027397260273972</v>
      </c>
      <c r="D12" s="15">
        <v>0.5</v>
      </c>
      <c r="E12" s="31"/>
      <c r="F12" s="34"/>
      <c r="G12" s="28"/>
    </row>
    <row r="13" spans="2:7" x14ac:dyDescent="0.4">
      <c r="E13" s="31"/>
      <c r="F13" s="34"/>
      <c r="G13" s="28"/>
    </row>
    <row r="14" spans="2:7" x14ac:dyDescent="0.4">
      <c r="B14" s="16" t="s">
        <v>9</v>
      </c>
      <c r="C14" s="17">
        <v>2018</v>
      </c>
      <c r="D14" s="17" t="s">
        <v>10</v>
      </c>
      <c r="E14" s="31"/>
      <c r="F14" s="34"/>
      <c r="G14" s="28"/>
    </row>
    <row r="15" spans="2:7" x14ac:dyDescent="0.4">
      <c r="B15" s="18" t="s">
        <v>11</v>
      </c>
      <c r="C15" s="15">
        <v>0.1</v>
      </c>
      <c r="D15" s="19">
        <v>0.3</v>
      </c>
      <c r="E15" s="31"/>
      <c r="F15" s="34"/>
      <c r="G15" s="28"/>
    </row>
    <row r="16" spans="2:7" x14ac:dyDescent="0.4">
      <c r="B16" s="18" t="s">
        <v>12</v>
      </c>
      <c r="C16" s="15">
        <v>0.9</v>
      </c>
      <c r="D16" s="19">
        <v>0.7</v>
      </c>
      <c r="E16" s="31"/>
      <c r="F16" s="34"/>
      <c r="G16" s="28"/>
    </row>
    <row r="17" spans="2:9" x14ac:dyDescent="0.4">
      <c r="B17" s="22"/>
      <c r="E17" s="31"/>
      <c r="F17" s="34"/>
      <c r="G17" s="28"/>
    </row>
    <row r="18" spans="2:9" x14ac:dyDescent="0.4">
      <c r="B18" s="36"/>
      <c r="C18" s="37"/>
      <c r="G18" s="38"/>
    </row>
    <row r="19" spans="2:9" x14ac:dyDescent="0.4">
      <c r="B19" s="22" t="s">
        <v>13</v>
      </c>
      <c r="C19" s="37"/>
      <c r="G19" s="38"/>
    </row>
    <row r="20" spans="2:9" x14ac:dyDescent="0.4">
      <c r="B20" s="36"/>
      <c r="C20" s="37"/>
      <c r="G20" s="38"/>
    </row>
    <row r="21" spans="2:9" x14ac:dyDescent="0.4">
      <c r="B21" s="39" t="s">
        <v>14</v>
      </c>
    </row>
    <row r="22" spans="2:9" ht="26.25" x14ac:dyDescent="0.4">
      <c r="B22" s="21" t="s">
        <v>15</v>
      </c>
      <c r="C22" s="26" t="s">
        <v>16</v>
      </c>
      <c r="D22" s="26" t="s">
        <v>17</v>
      </c>
      <c r="E22" s="26" t="s">
        <v>18</v>
      </c>
      <c r="F22" s="26" t="s">
        <v>19</v>
      </c>
    </row>
    <row r="23" spans="2:9" ht="14.25" x14ac:dyDescent="0.4">
      <c r="B23" s="20" t="s">
        <v>20</v>
      </c>
      <c r="C23" s="27">
        <f>VLOOKUP(B23,'2018 (food consumption)'!$A$2:$C$14,3,FALSE)</f>
        <v>8.21917808219178E-3</v>
      </c>
      <c r="D23" s="24">
        <f>C23*$D$4</f>
        <v>2.9999999999999996</v>
      </c>
      <c r="E23" s="49">
        <v>24.41</v>
      </c>
      <c r="F23" s="49">
        <f>D23*E23</f>
        <v>73.22999999999999</v>
      </c>
      <c r="H23" s="3"/>
      <c r="I23" s="4"/>
    </row>
    <row r="24" spans="2:9" ht="14.25" x14ac:dyDescent="0.4">
      <c r="B24" s="20" t="s">
        <v>21</v>
      </c>
      <c r="C24" s="27">
        <f>VLOOKUP(B24,'2018 (food consumption)'!$A$2:$C$14,3,FALSE)</f>
        <v>5.4794520547945206E-3</v>
      </c>
      <c r="D24" s="24">
        <f t="shared" ref="D24:D35" si="0">C24*$D$4</f>
        <v>2</v>
      </c>
      <c r="E24" s="49">
        <v>16.47</v>
      </c>
      <c r="F24" s="49">
        <f t="shared" ref="F24:F35" si="1">D24*E24</f>
        <v>32.94</v>
      </c>
      <c r="H24" s="3"/>
      <c r="I24" s="4"/>
    </row>
    <row r="25" spans="2:9" ht="14.25" x14ac:dyDescent="0.4">
      <c r="B25" s="20" t="s">
        <v>22</v>
      </c>
      <c r="C25" s="27">
        <f>VLOOKUP(B25,'2018 (food consumption)'!$A$2:$C$14,3,FALSE)</f>
        <v>6.0273972602739728E-2</v>
      </c>
      <c r="D25" s="24">
        <f t="shared" si="0"/>
        <v>22</v>
      </c>
      <c r="E25" s="49">
        <v>12.77</v>
      </c>
      <c r="F25" s="49">
        <f t="shared" si="1"/>
        <v>280.94</v>
      </c>
      <c r="H25" s="3"/>
      <c r="I25" s="4"/>
    </row>
    <row r="26" spans="2:9" ht="14.25" x14ac:dyDescent="0.4">
      <c r="B26" s="20" t="s">
        <v>23</v>
      </c>
      <c r="C26" s="27">
        <f>VLOOKUP(B26,'2018 (food consumption)'!$A$2:$C$14,3,FALSE)</f>
        <v>9.3150684931506855E-2</v>
      </c>
      <c r="D26" s="24">
        <f t="shared" si="0"/>
        <v>34</v>
      </c>
      <c r="E26" s="49">
        <v>3.54</v>
      </c>
      <c r="F26" s="49">
        <f t="shared" si="1"/>
        <v>120.36</v>
      </c>
      <c r="H26" s="3"/>
      <c r="I26" s="4"/>
    </row>
    <row r="27" spans="2:9" ht="14.25" x14ac:dyDescent="0.4">
      <c r="B27" s="20" t="s">
        <v>24</v>
      </c>
      <c r="C27" s="27">
        <f>VLOOKUP(B27,'2018 (food consumption)'!$A$2:$C$14,3,FALSE)</f>
        <v>5.4794520547945206E-3</v>
      </c>
      <c r="D27" s="24">
        <f t="shared" si="0"/>
        <v>2</v>
      </c>
      <c r="E27" s="49">
        <v>4.21</v>
      </c>
      <c r="F27" s="49">
        <f t="shared" si="1"/>
        <v>8.42</v>
      </c>
      <c r="H27" s="3"/>
      <c r="I27" s="4"/>
    </row>
    <row r="28" spans="2:9" ht="14.25" x14ac:dyDescent="0.4">
      <c r="B28" s="20" t="s">
        <v>25</v>
      </c>
      <c r="C28" s="27">
        <f>VLOOKUP(B28,'2018 (food consumption)'!$A$2:$C$14,3,FALSE)</f>
        <v>6.0273972602739728E-2</v>
      </c>
      <c r="D28" s="24">
        <f t="shared" si="0"/>
        <v>22</v>
      </c>
      <c r="E28" s="49">
        <v>3.08</v>
      </c>
      <c r="F28" s="49">
        <f t="shared" si="1"/>
        <v>67.760000000000005</v>
      </c>
      <c r="H28" s="3"/>
      <c r="I28" s="4"/>
    </row>
    <row r="29" spans="2:9" ht="14.25" x14ac:dyDescent="0.4">
      <c r="B29" s="20" t="s">
        <v>26</v>
      </c>
      <c r="C29" s="27">
        <f>VLOOKUP(B29,'2018 (food consumption)'!$A$2:$C$14,3,FALSE)</f>
        <v>4.1095890410958902E-2</v>
      </c>
      <c r="D29" s="24">
        <f t="shared" si="0"/>
        <v>15</v>
      </c>
      <c r="E29" s="49">
        <v>6.28</v>
      </c>
      <c r="F29" s="49">
        <f t="shared" si="1"/>
        <v>94.2</v>
      </c>
      <c r="H29" s="3"/>
      <c r="I29" s="4"/>
    </row>
    <row r="30" spans="2:9" ht="14.25" x14ac:dyDescent="0.4">
      <c r="B30" s="20" t="s">
        <v>27</v>
      </c>
      <c r="C30" s="27">
        <f>VLOOKUP(B30,'2018 (food consumption)'!$A$2:$C$14,3,FALSE)</f>
        <v>1.643835616438356E-2</v>
      </c>
      <c r="D30" s="24">
        <f t="shared" si="0"/>
        <v>5.9999999999999991</v>
      </c>
      <c r="E30" s="49">
        <v>5.72</v>
      </c>
      <c r="F30" s="49">
        <f t="shared" si="1"/>
        <v>34.319999999999993</v>
      </c>
      <c r="H30" s="3"/>
      <c r="I30" s="4"/>
    </row>
    <row r="31" spans="2:9" ht="14.25" x14ac:dyDescent="0.4">
      <c r="B31" s="20" t="s">
        <v>28</v>
      </c>
      <c r="C31" s="27">
        <f>VLOOKUP(B31,'2018 (food consumption)'!$A$2:$C$14,3,FALSE)</f>
        <v>0.19726027397260273</v>
      </c>
      <c r="D31" s="24">
        <f t="shared" si="0"/>
        <v>72</v>
      </c>
      <c r="E31" s="49">
        <v>0.42</v>
      </c>
      <c r="F31" s="49">
        <f t="shared" si="1"/>
        <v>30.24</v>
      </c>
      <c r="H31" s="3"/>
      <c r="I31" s="4"/>
    </row>
    <row r="32" spans="2:9" ht="14.25" x14ac:dyDescent="0.4">
      <c r="B32" s="20" t="s">
        <v>29</v>
      </c>
      <c r="C32" s="27">
        <f>VLOOKUP(B32,'2018 (food consumption)'!$A$2:$C$14,3,FALSE)</f>
        <v>4.3835616438356165E-2</v>
      </c>
      <c r="D32" s="24">
        <f t="shared" si="0"/>
        <v>16</v>
      </c>
      <c r="E32" s="49">
        <v>0.4</v>
      </c>
      <c r="F32" s="49">
        <f t="shared" si="1"/>
        <v>6.4</v>
      </c>
      <c r="H32" s="3"/>
      <c r="I32" s="4"/>
    </row>
    <row r="33" spans="2:9" ht="14.25" x14ac:dyDescent="0.4">
      <c r="B33" s="20" t="s">
        <v>30</v>
      </c>
      <c r="C33" s="27">
        <f>VLOOKUP(B33,'2018 (food consumption)'!$A$2:$C$14,3,FALSE)</f>
        <v>0.21917808219178081</v>
      </c>
      <c r="D33" s="24">
        <f t="shared" si="0"/>
        <v>80</v>
      </c>
      <c r="E33" s="49">
        <v>0.82</v>
      </c>
      <c r="F33" s="49">
        <f t="shared" si="1"/>
        <v>65.599999999999994</v>
      </c>
      <c r="H33" s="3"/>
      <c r="I33" s="4"/>
    </row>
    <row r="34" spans="2:9" ht="14.25" x14ac:dyDescent="0.4">
      <c r="B34" s="20" t="s">
        <v>31</v>
      </c>
      <c r="C34" s="27">
        <f>VLOOKUP(B34,'2018 (food consumption)'!$A$2:$C$14,3,FALSE)</f>
        <v>0.12328767123287671</v>
      </c>
      <c r="D34" s="24">
        <f t="shared" si="0"/>
        <v>45</v>
      </c>
      <c r="E34" s="49">
        <v>2.57</v>
      </c>
      <c r="F34" s="49">
        <f t="shared" si="1"/>
        <v>115.64999999999999</v>
      </c>
      <c r="H34" s="3"/>
      <c r="I34" s="4"/>
    </row>
    <row r="35" spans="2:9" ht="14.25" x14ac:dyDescent="0.4">
      <c r="B35" s="20" t="s">
        <v>32</v>
      </c>
      <c r="C35" s="27">
        <f>VLOOKUP(B35,'2018 (food consumption)'!$A$2:$C$14,3,FALSE)</f>
        <v>0.12602739726027398</v>
      </c>
      <c r="D35" s="24">
        <f t="shared" si="0"/>
        <v>46</v>
      </c>
      <c r="E35" s="49">
        <v>0.72</v>
      </c>
      <c r="F35" s="49">
        <f t="shared" si="1"/>
        <v>33.119999999999997</v>
      </c>
      <c r="H35" s="3"/>
      <c r="I35" s="4"/>
    </row>
    <row r="36" spans="2:9" s="14" customFormat="1" x14ac:dyDescent="0.4"/>
    <row r="38" spans="2:9" x14ac:dyDescent="0.4">
      <c r="G38" s="25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242AB-6F0E-4DFD-A49A-882B0264D835}">
  <sheetPr codeName="Sheet8"/>
  <dimension ref="A1:G15"/>
  <sheetViews>
    <sheetView showGridLines="0" workbookViewId="0"/>
  </sheetViews>
  <sheetFormatPr defaultRowHeight="14.25" outlineLevelRow="1" x14ac:dyDescent="0.45"/>
  <cols>
    <col min="1" max="1" width="2.1328125" customWidth="1"/>
    <col min="2" max="2" width="6.3984375" bestFit="1" customWidth="1"/>
    <col min="3" max="3" width="30.3984375" bestFit="1" customWidth="1"/>
    <col min="4" max="4" width="8.73046875" bestFit="1" customWidth="1"/>
    <col min="5" max="5" width="11.86328125" bestFit="1" customWidth="1"/>
    <col min="6" max="6" width="7.265625" bestFit="1" customWidth="1"/>
    <col min="7" max="7" width="12.3984375" bestFit="1" customWidth="1"/>
  </cols>
  <sheetData>
    <row r="1" spans="1:7" x14ac:dyDescent="0.45">
      <c r="A1" s="1" t="s">
        <v>170</v>
      </c>
    </row>
    <row r="2" spans="1:7" x14ac:dyDescent="0.45">
      <c r="A2" s="1" t="s">
        <v>171</v>
      </c>
    </row>
    <row r="3" spans="1:7" x14ac:dyDescent="0.45">
      <c r="A3" s="1" t="s">
        <v>172</v>
      </c>
    </row>
    <row r="6" spans="1:7" ht="14.65" thickBot="1" x14ac:dyDescent="0.5">
      <c r="A6" t="s">
        <v>173</v>
      </c>
    </row>
    <row r="7" spans="1:7" ht="14.65" thickBot="1" x14ac:dyDescent="0.5">
      <c r="B7" s="79" t="s">
        <v>174</v>
      </c>
      <c r="C7" s="79" t="s">
        <v>175</v>
      </c>
      <c r="D7" s="79" t="s">
        <v>176</v>
      </c>
      <c r="E7" s="79" t="s">
        <v>177</v>
      </c>
      <c r="F7" s="79" t="s">
        <v>178</v>
      </c>
      <c r="G7" s="79" t="s">
        <v>179</v>
      </c>
    </row>
    <row r="8" spans="1:7" x14ac:dyDescent="0.45">
      <c r="B8" t="s">
        <v>180</v>
      </c>
      <c r="C8" t="s">
        <v>181</v>
      </c>
      <c r="D8" s="60">
        <v>0.29041095890410956</v>
      </c>
      <c r="E8" t="s">
        <v>182</v>
      </c>
      <c r="F8" t="s">
        <v>183</v>
      </c>
      <c r="G8">
        <v>-4.0410958904109562E-2</v>
      </c>
    </row>
    <row r="9" spans="1:7" x14ac:dyDescent="0.45">
      <c r="B9" t="s">
        <v>184</v>
      </c>
      <c r="C9" t="s">
        <v>185</v>
      </c>
      <c r="D9" s="59">
        <v>0.30000099999999996</v>
      </c>
      <c r="E9" t="s">
        <v>186</v>
      </c>
      <c r="F9" t="s">
        <v>187</v>
      </c>
      <c r="G9">
        <v>0</v>
      </c>
    </row>
    <row r="10" spans="1:7" ht="28.5" x14ac:dyDescent="0.45">
      <c r="B10" t="s">
        <v>188</v>
      </c>
      <c r="C10" s="80" t="s">
        <v>189</v>
      </c>
      <c r="D10" s="81">
        <v>1</v>
      </c>
      <c r="E10" t="s">
        <v>190</v>
      </c>
      <c r="F10" t="s">
        <v>187</v>
      </c>
      <c r="G10">
        <v>0</v>
      </c>
    </row>
    <row r="11" spans="1:7" x14ac:dyDescent="0.45">
      <c r="B11" s="82" t="s">
        <v>191</v>
      </c>
      <c r="C11" s="80"/>
      <c r="D11" s="81"/>
    </row>
    <row r="12" spans="1:7" ht="28.5" hidden="1" outlineLevel="1" x14ac:dyDescent="0.45">
      <c r="B12" t="s">
        <v>192</v>
      </c>
      <c r="C12" s="80" t="s">
        <v>193</v>
      </c>
      <c r="D12" s="81">
        <v>0.99999999999999989</v>
      </c>
      <c r="E12" t="s">
        <v>194</v>
      </c>
      <c r="F12" t="s">
        <v>187</v>
      </c>
      <c r="G12">
        <v>0</v>
      </c>
    </row>
    <row r="13" spans="1:7" ht="28.5" hidden="1" outlineLevel="1" x14ac:dyDescent="0.45">
      <c r="B13" t="s">
        <v>195</v>
      </c>
      <c r="C13" s="80" t="s">
        <v>196</v>
      </c>
      <c r="D13" s="81">
        <v>1</v>
      </c>
      <c r="E13" t="s">
        <v>197</v>
      </c>
      <c r="F13" t="s">
        <v>187</v>
      </c>
      <c r="G13">
        <v>0</v>
      </c>
    </row>
    <row r="14" spans="1:7" ht="28.5" hidden="1" outlineLevel="1" x14ac:dyDescent="0.45">
      <c r="B14" t="s">
        <v>198</v>
      </c>
      <c r="C14" s="80" t="s">
        <v>199</v>
      </c>
      <c r="D14" s="81">
        <v>1</v>
      </c>
      <c r="E14" t="s">
        <v>200</v>
      </c>
      <c r="F14" t="s">
        <v>187</v>
      </c>
      <c r="G14">
        <v>0</v>
      </c>
    </row>
    <row r="15" spans="1:7" collapsed="1" x14ac:dyDescent="0.45">
      <c r="C15" s="80"/>
      <c r="D15" s="8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CA824-D8D1-4F50-AB7A-99D661199E44}">
  <sheetPr codeName="Sheet9"/>
  <dimension ref="A1:G15"/>
  <sheetViews>
    <sheetView showGridLines="0" workbookViewId="0"/>
  </sheetViews>
  <sheetFormatPr defaultRowHeight="14.25" outlineLevelRow="1" x14ac:dyDescent="0.45"/>
  <cols>
    <col min="1" max="1" width="2.1328125" customWidth="1"/>
    <col min="2" max="2" width="6.3984375" bestFit="1" customWidth="1"/>
    <col min="3" max="3" width="30.3984375" bestFit="1" customWidth="1"/>
    <col min="4" max="4" width="8.73046875" bestFit="1" customWidth="1"/>
    <col min="5" max="5" width="11.86328125" bestFit="1" customWidth="1"/>
    <col min="6" max="6" width="7.265625" bestFit="1" customWidth="1"/>
    <col min="7" max="7" width="12.3984375" bestFit="1" customWidth="1"/>
  </cols>
  <sheetData>
    <row r="1" spans="1:7" x14ac:dyDescent="0.45">
      <c r="A1" s="1" t="s">
        <v>170</v>
      </c>
    </row>
    <row r="2" spans="1:7" x14ac:dyDescent="0.45">
      <c r="A2" s="1" t="s">
        <v>171</v>
      </c>
    </row>
    <row r="3" spans="1:7" x14ac:dyDescent="0.45">
      <c r="A3" s="1" t="s">
        <v>201</v>
      </c>
    </row>
    <row r="6" spans="1:7" ht="14.65" thickBot="1" x14ac:dyDescent="0.5">
      <c r="A6" t="s">
        <v>202</v>
      </c>
    </row>
    <row r="7" spans="1:7" ht="14.65" thickBot="1" x14ac:dyDescent="0.5">
      <c r="B7" s="79" t="s">
        <v>174</v>
      </c>
      <c r="C7" s="79" t="s">
        <v>175</v>
      </c>
      <c r="D7" s="79" t="s">
        <v>176</v>
      </c>
      <c r="E7" s="79" t="s">
        <v>177</v>
      </c>
      <c r="F7" s="79" t="s">
        <v>178</v>
      </c>
      <c r="G7" s="79" t="s">
        <v>179</v>
      </c>
    </row>
    <row r="8" spans="1:7" x14ac:dyDescent="0.45">
      <c r="B8" t="s">
        <v>180</v>
      </c>
      <c r="C8" t="s">
        <v>181</v>
      </c>
      <c r="D8" s="60">
        <v>0.29041095890410956</v>
      </c>
      <c r="E8" t="s">
        <v>182</v>
      </c>
      <c r="F8" t="s">
        <v>183</v>
      </c>
      <c r="G8">
        <v>-4.0410958904109562E-2</v>
      </c>
    </row>
    <row r="9" spans="1:7" x14ac:dyDescent="0.45">
      <c r="B9" t="s">
        <v>184</v>
      </c>
      <c r="C9" t="s">
        <v>185</v>
      </c>
      <c r="D9" s="59">
        <v>0.30000099999999996</v>
      </c>
      <c r="E9" t="s">
        <v>186</v>
      </c>
      <c r="F9" t="s">
        <v>187</v>
      </c>
      <c r="G9">
        <v>0</v>
      </c>
    </row>
    <row r="10" spans="1:7" ht="28.5" x14ac:dyDescent="0.45">
      <c r="B10" t="s">
        <v>188</v>
      </c>
      <c r="C10" s="80" t="s">
        <v>189</v>
      </c>
      <c r="D10" s="81">
        <v>1</v>
      </c>
      <c r="E10" t="s">
        <v>190</v>
      </c>
      <c r="F10" t="s">
        <v>187</v>
      </c>
      <c r="G10">
        <v>0</v>
      </c>
    </row>
    <row r="11" spans="1:7" x14ac:dyDescent="0.45">
      <c r="B11" s="82" t="s">
        <v>191</v>
      </c>
      <c r="C11" s="80"/>
      <c r="D11" s="81"/>
    </row>
    <row r="12" spans="1:7" ht="28.5" hidden="1" outlineLevel="1" x14ac:dyDescent="0.45">
      <c r="B12" t="s">
        <v>192</v>
      </c>
      <c r="C12" s="80" t="s">
        <v>193</v>
      </c>
      <c r="D12" s="81">
        <v>0.99999999999999989</v>
      </c>
      <c r="E12" t="s">
        <v>194</v>
      </c>
      <c r="F12" t="s">
        <v>187</v>
      </c>
      <c r="G12">
        <v>0</v>
      </c>
    </row>
    <row r="13" spans="1:7" ht="28.5" hidden="1" outlineLevel="1" x14ac:dyDescent="0.45">
      <c r="B13" t="s">
        <v>195</v>
      </c>
      <c r="C13" s="80" t="s">
        <v>196</v>
      </c>
      <c r="D13" s="81">
        <v>1</v>
      </c>
      <c r="E13" t="s">
        <v>197</v>
      </c>
      <c r="F13" t="s">
        <v>187</v>
      </c>
      <c r="G13">
        <v>0</v>
      </c>
    </row>
    <row r="14" spans="1:7" ht="28.5" hidden="1" outlineLevel="1" x14ac:dyDescent="0.45">
      <c r="B14" t="s">
        <v>198</v>
      </c>
      <c r="C14" s="80" t="s">
        <v>199</v>
      </c>
      <c r="D14" s="81">
        <v>1</v>
      </c>
      <c r="E14" t="s">
        <v>200</v>
      </c>
      <c r="F14" t="s">
        <v>187</v>
      </c>
      <c r="G14">
        <v>0</v>
      </c>
    </row>
    <row r="15" spans="1:7" collapsed="1" x14ac:dyDescent="0.45">
      <c r="C15" s="80"/>
      <c r="D15" s="8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1733-6782-4403-A3E4-80D29FC0FD1C}">
  <sheetPr codeName="Sheet10">
    <tabColor theme="0"/>
  </sheetPr>
  <dimension ref="B1:T82"/>
  <sheetViews>
    <sheetView showGridLines="0" topLeftCell="A5" zoomScale="85" zoomScaleNormal="85" workbookViewId="0">
      <selection activeCell="I25" sqref="I25"/>
    </sheetView>
  </sheetViews>
  <sheetFormatPr defaultColWidth="8.73046875" defaultRowHeight="13.15" x14ac:dyDescent="0.4"/>
  <cols>
    <col min="1" max="1" width="2.3984375" style="5" customWidth="1"/>
    <col min="2" max="2" width="28.86328125" style="5" customWidth="1"/>
    <col min="3" max="3" width="27.59765625" style="5" bestFit="1" customWidth="1"/>
    <col min="4" max="4" width="21" style="5" customWidth="1"/>
    <col min="5" max="5" width="31.1328125" style="5" customWidth="1"/>
    <col min="6" max="6" width="30.73046875" style="5" customWidth="1"/>
    <col min="7" max="7" width="25.265625" style="5" customWidth="1"/>
    <col min="8" max="10" width="30.73046875" style="5" customWidth="1"/>
    <col min="11" max="14" width="21.59765625" style="5" customWidth="1"/>
    <col min="15" max="15" width="25.86328125" style="5" customWidth="1"/>
    <col min="16" max="16" width="11.265625" style="5" customWidth="1"/>
    <col min="17" max="17" width="8.73046875" style="5"/>
    <col min="18" max="18" width="12.1328125" style="5" customWidth="1"/>
    <col min="19" max="19" width="28.3984375" style="5" customWidth="1"/>
    <col min="20" max="20" width="27.59765625" style="5" customWidth="1"/>
    <col min="21" max="16384" width="8.73046875" style="5"/>
  </cols>
  <sheetData>
    <row r="1" spans="2:15" x14ac:dyDescent="0.4">
      <c r="B1" s="22" t="s">
        <v>0</v>
      </c>
      <c r="E1" s="31"/>
      <c r="F1" s="31"/>
      <c r="G1" s="31"/>
    </row>
    <row r="2" spans="2:15" x14ac:dyDescent="0.4">
      <c r="B2" s="31"/>
      <c r="C2" s="123" t="s">
        <v>157</v>
      </c>
      <c r="D2" s="123" t="s">
        <v>158</v>
      </c>
      <c r="E2" s="123" t="s">
        <v>159</v>
      </c>
      <c r="F2" s="31"/>
      <c r="G2" s="31"/>
    </row>
    <row r="3" spans="2:15" ht="28.5" x14ac:dyDescent="0.4">
      <c r="B3" s="130" t="s">
        <v>1</v>
      </c>
      <c r="C3" s="119">
        <f>SUM(F22:F34)</f>
        <v>929.41751284347936</v>
      </c>
      <c r="D3" s="86">
        <v>929.41751284347959</v>
      </c>
      <c r="E3" s="87">
        <f>(D3-C3)/D3</f>
        <v>2.4464104915303375E-16</v>
      </c>
      <c r="F3" s="31"/>
      <c r="G3" s="31"/>
      <c r="K3" s="83"/>
      <c r="L3" s="28"/>
      <c r="M3" s="28"/>
      <c r="N3" s="28"/>
      <c r="O3" s="28"/>
    </row>
    <row r="4" spans="2:15" x14ac:dyDescent="0.4">
      <c r="E4" s="31"/>
      <c r="F4" s="31"/>
      <c r="G4" s="31"/>
    </row>
    <row r="5" spans="2:15" x14ac:dyDescent="0.4">
      <c r="B5" s="22" t="s">
        <v>3</v>
      </c>
      <c r="E5" s="31"/>
      <c r="F5" s="31"/>
      <c r="G5" s="31"/>
      <c r="H5" s="34"/>
      <c r="I5" s="34"/>
      <c r="J5" s="34"/>
      <c r="K5" s="28"/>
    </row>
    <row r="6" spans="2:15" x14ac:dyDescent="0.4">
      <c r="B6" s="22"/>
      <c r="C6" s="122" t="s">
        <v>160</v>
      </c>
      <c r="E6" s="31"/>
      <c r="F6" s="31"/>
      <c r="G6" s="31"/>
      <c r="H6" s="34"/>
      <c r="I6" s="34"/>
      <c r="J6" s="34"/>
      <c r="K6" s="28"/>
    </row>
    <row r="7" spans="2:15" ht="26.25" x14ac:dyDescent="0.4">
      <c r="B7" s="33" t="s">
        <v>2</v>
      </c>
      <c r="C7" s="35">
        <v>365</v>
      </c>
      <c r="D7" s="32"/>
    </row>
    <row r="8" spans="2:15" x14ac:dyDescent="0.4">
      <c r="B8" s="22"/>
      <c r="E8" s="31"/>
      <c r="F8" s="34"/>
      <c r="G8" s="34"/>
      <c r="H8" s="34"/>
      <c r="I8" s="34"/>
      <c r="J8" s="34"/>
      <c r="K8" s="28"/>
    </row>
    <row r="9" spans="2:15" x14ac:dyDescent="0.4">
      <c r="B9" s="16" t="s">
        <v>4</v>
      </c>
      <c r="D9" s="122" t="s">
        <v>139</v>
      </c>
      <c r="E9" s="31"/>
      <c r="F9" s="34"/>
      <c r="G9" s="34"/>
      <c r="H9" s="34"/>
      <c r="I9" s="34"/>
      <c r="J9" s="34"/>
      <c r="K9" s="28"/>
    </row>
    <row r="10" spans="2:15" x14ac:dyDescent="0.4">
      <c r="B10" s="23" t="s">
        <v>6</v>
      </c>
      <c r="C10" s="30">
        <f>SUM(C22:C29)</f>
        <v>0.29041095890410956</v>
      </c>
      <c r="D10" s="15">
        <v>0.25</v>
      </c>
      <c r="E10" s="31"/>
      <c r="F10" s="34"/>
      <c r="G10" s="34"/>
      <c r="H10" s="34"/>
      <c r="I10" s="34"/>
      <c r="J10" s="34"/>
      <c r="K10" s="28"/>
    </row>
    <row r="11" spans="2:15" x14ac:dyDescent="0.4">
      <c r="B11" s="23" t="s">
        <v>7</v>
      </c>
      <c r="C11" s="30">
        <f>SUM(C33:C34)</f>
        <v>0.24931506849315072</v>
      </c>
      <c r="D11" s="15">
        <v>0.25</v>
      </c>
      <c r="E11" s="31"/>
      <c r="F11" s="34"/>
      <c r="G11" s="34"/>
      <c r="H11" s="34"/>
      <c r="I11" s="34"/>
      <c r="J11" s="34"/>
      <c r="K11" s="28"/>
    </row>
    <row r="12" spans="2:15" x14ac:dyDescent="0.4">
      <c r="B12" s="23" t="s">
        <v>8</v>
      </c>
      <c r="C12" s="30">
        <f>SUM(C30:C32)</f>
        <v>0.46027397260273972</v>
      </c>
      <c r="D12" s="15">
        <v>0.5</v>
      </c>
      <c r="E12" s="31"/>
      <c r="F12" s="34"/>
      <c r="G12" s="34"/>
      <c r="H12" s="34"/>
      <c r="I12" s="34"/>
      <c r="J12" s="34"/>
      <c r="K12" s="28"/>
    </row>
    <row r="13" spans="2:15" x14ac:dyDescent="0.4">
      <c r="E13" s="31"/>
      <c r="F13" s="34"/>
      <c r="G13" s="34"/>
      <c r="H13" s="34"/>
      <c r="I13" s="34"/>
      <c r="J13" s="34"/>
      <c r="K13" s="28"/>
    </row>
    <row r="14" spans="2:15" x14ac:dyDescent="0.4">
      <c r="B14" s="16" t="s">
        <v>140</v>
      </c>
      <c r="D14" s="122" t="s">
        <v>139</v>
      </c>
      <c r="E14" s="31"/>
      <c r="F14" s="34"/>
      <c r="G14" s="34"/>
      <c r="H14" s="34"/>
      <c r="I14" s="34"/>
      <c r="J14" s="34"/>
      <c r="K14" s="28"/>
    </row>
    <row r="15" spans="2:15" x14ac:dyDescent="0.4">
      <c r="B15" s="18" t="s">
        <v>141</v>
      </c>
      <c r="C15" s="64">
        <f>((F60*D27)+(F71*D32)+(F78*D31)+(F80*D28)+(F82*D29))/C7</f>
        <v>2.610958904109589E-2</v>
      </c>
      <c r="D15" s="19">
        <v>0.3</v>
      </c>
      <c r="E15" s="31"/>
      <c r="F15" s="34"/>
      <c r="G15" s="34"/>
      <c r="H15" s="34"/>
      <c r="I15" s="34"/>
      <c r="J15" s="34"/>
      <c r="K15" s="63"/>
    </row>
    <row r="16" spans="2:15" x14ac:dyDescent="0.4">
      <c r="B16" s="18" t="s">
        <v>142</v>
      </c>
      <c r="C16" s="64">
        <f>(SUM(F39:F41)*D25+SUM(F42:F43)*D26+SUM(F44:F45)*D23+SUM(F46:F52)*D24+SUM(F53:F58)*D22+SUM(F59)*D27+SUM(F61:F69)*D30+SUM(F70)*D32+SUM(F72:F73)*D34+SUM(F74:F76)*D33+SUM(F77)*D31+SUM(F79)*D28+SUM(F81)*D29)/C7</f>
        <v>0.97389041095890405</v>
      </c>
      <c r="D16" s="19">
        <v>0.7</v>
      </c>
      <c r="E16" s="31"/>
      <c r="F16" s="34"/>
      <c r="G16" s="34"/>
      <c r="H16" s="34"/>
      <c r="I16" s="34"/>
      <c r="J16" s="34"/>
      <c r="K16" s="28"/>
    </row>
    <row r="17" spans="2:14" x14ac:dyDescent="0.4">
      <c r="B17" s="39"/>
      <c r="C17" s="70"/>
      <c r="D17" s="71"/>
      <c r="E17" s="31"/>
      <c r="F17" s="34"/>
      <c r="G17" s="34"/>
      <c r="H17" s="34"/>
      <c r="I17" s="34"/>
      <c r="J17" s="34"/>
      <c r="K17" s="28"/>
    </row>
    <row r="18" spans="2:14" x14ac:dyDescent="0.4">
      <c r="B18" s="22" t="s">
        <v>13</v>
      </c>
      <c r="C18" s="37"/>
      <c r="J18" s="22" t="s">
        <v>203</v>
      </c>
    </row>
    <row r="19" spans="2:14" x14ac:dyDescent="0.4">
      <c r="B19" s="36"/>
      <c r="C19" s="37"/>
    </row>
    <row r="20" spans="2:14" x14ac:dyDescent="0.4">
      <c r="B20" s="39"/>
      <c r="H20" s="230" t="s">
        <v>240</v>
      </c>
      <c r="J20" s="121" t="s">
        <v>163</v>
      </c>
      <c r="N20" s="121" t="s">
        <v>204</v>
      </c>
    </row>
    <row r="21" spans="2:14" ht="39.4" x14ac:dyDescent="0.4">
      <c r="B21" s="21" t="s">
        <v>15</v>
      </c>
      <c r="C21" s="77" t="s">
        <v>205</v>
      </c>
      <c r="D21" s="26" t="s">
        <v>17</v>
      </c>
      <c r="E21" s="26" t="s">
        <v>18</v>
      </c>
      <c r="F21" s="26" t="s">
        <v>19</v>
      </c>
      <c r="G21" s="124" t="s">
        <v>165</v>
      </c>
      <c r="H21" s="125" t="s">
        <v>166</v>
      </c>
      <c r="I21" s="34"/>
      <c r="J21" s="21" t="s">
        <v>15</v>
      </c>
      <c r="K21" s="26" t="s">
        <v>206</v>
      </c>
      <c r="L21" s="26" t="s">
        <v>168</v>
      </c>
      <c r="M21" s="21" t="s">
        <v>207</v>
      </c>
      <c r="N21" s="21" t="s">
        <v>208</v>
      </c>
    </row>
    <row r="22" spans="2:14" x14ac:dyDescent="0.4">
      <c r="B22" s="20" t="s">
        <v>20</v>
      </c>
      <c r="C22" s="91">
        <f>H53+H54+H55+H56+H57+H58</f>
        <v>8.2191780821917783E-3</v>
      </c>
      <c r="D22" s="24">
        <v>2.9999999999999996</v>
      </c>
      <c r="E22" s="49">
        <f>SUM(O53:O58)</f>
        <v>24.291314857142858</v>
      </c>
      <c r="F22" s="49">
        <f>SUM(I53:I58)</f>
        <v>72.873944571428567</v>
      </c>
      <c r="G22" s="126">
        <v>8.21917808219178E-3</v>
      </c>
      <c r="H22" s="127">
        <f>G22-C22</f>
        <v>0</v>
      </c>
      <c r="I22" s="34"/>
      <c r="J22" s="20" t="s">
        <v>20</v>
      </c>
      <c r="K22" s="27">
        <f>0.821917808219178%*(1-M22)</f>
        <v>6.5753424657534242E-3</v>
      </c>
      <c r="L22" s="65">
        <f>SUM(F53:F58)</f>
        <v>1</v>
      </c>
      <c r="M22" s="76">
        <v>0.2</v>
      </c>
      <c r="N22" s="218">
        <v>0.01</v>
      </c>
    </row>
    <row r="23" spans="2:14" x14ac:dyDescent="0.4">
      <c r="B23" s="20" t="s">
        <v>21</v>
      </c>
      <c r="C23" s="91">
        <f>H44+H45</f>
        <v>5.4794520547945206E-3</v>
      </c>
      <c r="D23" s="24">
        <v>2</v>
      </c>
      <c r="E23" s="49">
        <f>SUM(O44:O45)</f>
        <v>16.406103899999998</v>
      </c>
      <c r="F23" s="49">
        <f>SUM(I44:I45)</f>
        <v>32.812207799999996</v>
      </c>
      <c r="G23" s="126">
        <v>5.4794520547945206E-3</v>
      </c>
      <c r="H23" s="127">
        <f t="shared" ref="H23:H34" si="0">G23-C23</f>
        <v>0</v>
      </c>
      <c r="I23" s="34"/>
      <c r="J23" s="20" t="s">
        <v>21</v>
      </c>
      <c r="K23" s="27">
        <f>0.547945205479452%*(1-M23)</f>
        <v>4.383561643835617E-3</v>
      </c>
      <c r="L23" s="65">
        <f>SUM(F44:F45)</f>
        <v>1</v>
      </c>
      <c r="M23" s="76">
        <v>0.2</v>
      </c>
      <c r="N23" s="219"/>
    </row>
    <row r="24" spans="2:14" x14ac:dyDescent="0.4">
      <c r="B24" s="20" t="s">
        <v>22</v>
      </c>
      <c r="C24" s="91">
        <f>H46+H47+H48+H49+H50+H51+H52</f>
        <v>6.0273972602739721E-2</v>
      </c>
      <c r="D24" s="24">
        <v>22</v>
      </c>
      <c r="E24" s="49">
        <f>SUM(O46:O52)</f>
        <v>11.945393876296295</v>
      </c>
      <c r="F24" s="49">
        <f>SUM(I46:I52)</f>
        <v>262.79866527851846</v>
      </c>
      <c r="G24" s="126">
        <v>6.0273972602739728E-2</v>
      </c>
      <c r="H24" s="127">
        <f t="shared" si="0"/>
        <v>0</v>
      </c>
      <c r="I24" s="34"/>
      <c r="J24" s="20" t="s">
        <v>22</v>
      </c>
      <c r="K24" s="27">
        <f>6.02739726027397%*(1-M24)</f>
        <v>4.8219178082191762E-2</v>
      </c>
      <c r="L24" s="65">
        <f>SUM(F46:F52)</f>
        <v>0.99999999999999989</v>
      </c>
      <c r="M24" s="76">
        <v>0.2</v>
      </c>
      <c r="N24" s="219"/>
    </row>
    <row r="25" spans="2:14" x14ac:dyDescent="0.4">
      <c r="B25" s="20" t="s">
        <v>23</v>
      </c>
      <c r="C25" s="91">
        <f>H39+H40+H41</f>
        <v>9.3150684931506855E-2</v>
      </c>
      <c r="D25" s="24">
        <v>34</v>
      </c>
      <c r="E25" s="49">
        <f>SUM(O39:O41)</f>
        <v>3.5247584216867471</v>
      </c>
      <c r="F25" s="49">
        <f>SUM(I39:I41)</f>
        <v>119.84178633734939</v>
      </c>
      <c r="G25" s="126">
        <v>9.3150684931506855E-2</v>
      </c>
      <c r="H25" s="127">
        <f t="shared" si="0"/>
        <v>0</v>
      </c>
      <c r="I25" s="34"/>
      <c r="J25" s="20" t="s">
        <v>23</v>
      </c>
      <c r="K25" s="27">
        <f>9.31506849315068%*(1-M25)</f>
        <v>7.4520547945205448E-2</v>
      </c>
      <c r="L25" s="65">
        <f>SUM(F39:F41)</f>
        <v>1</v>
      </c>
      <c r="M25" s="76">
        <v>0.2</v>
      </c>
      <c r="N25" s="219"/>
    </row>
    <row r="26" spans="2:14" x14ac:dyDescent="0.4">
      <c r="B26" s="20" t="s">
        <v>24</v>
      </c>
      <c r="C26" s="91">
        <f>H42+H43</f>
        <v>5.4794520547945206E-3</v>
      </c>
      <c r="D26" s="24">
        <v>2</v>
      </c>
      <c r="E26" s="49">
        <f>SUM(O42:O43)</f>
        <v>4.2112411489361712</v>
      </c>
      <c r="F26" s="49">
        <f>SUM(I42:I43)</f>
        <v>8.4224822978723424</v>
      </c>
      <c r="G26" s="126">
        <v>5.4794520547945206E-3</v>
      </c>
      <c r="H26" s="127">
        <f t="shared" si="0"/>
        <v>0</v>
      </c>
      <c r="I26" s="34"/>
      <c r="J26" s="20" t="s">
        <v>24</v>
      </c>
      <c r="K26" s="27">
        <f>0.547945205479452%*(1-M26)</f>
        <v>4.383561643835617E-3</v>
      </c>
      <c r="L26" s="65">
        <f>SUM(F42:F43)</f>
        <v>1</v>
      </c>
      <c r="M26" s="76">
        <v>0.2</v>
      </c>
      <c r="N26" s="219"/>
    </row>
    <row r="27" spans="2:14" x14ac:dyDescent="0.4">
      <c r="B27" s="20" t="s">
        <v>25</v>
      </c>
      <c r="C27" s="91">
        <f>H59+H60</f>
        <v>6.0273972602739728E-2</v>
      </c>
      <c r="D27" s="24">
        <v>22</v>
      </c>
      <c r="E27" s="49">
        <f>SUM(O59:O60)</f>
        <v>3.0794528699999999</v>
      </c>
      <c r="F27" s="49">
        <f>SUM(I59:I60)</f>
        <v>67.747963139999996</v>
      </c>
      <c r="G27" s="126">
        <v>6.0273972602739728E-2</v>
      </c>
      <c r="H27" s="127">
        <f t="shared" si="0"/>
        <v>0</v>
      </c>
      <c r="I27" s="34"/>
      <c r="J27" s="20" t="s">
        <v>25</v>
      </c>
      <c r="K27" s="27">
        <f>6.02739726027397%*(1-M27)</f>
        <v>4.8219178082191762E-2</v>
      </c>
      <c r="L27" s="65">
        <f>SUM(F59:F60)</f>
        <v>1</v>
      </c>
      <c r="M27" s="76">
        <v>0.2</v>
      </c>
      <c r="N27" s="219"/>
    </row>
    <row r="28" spans="2:14" x14ac:dyDescent="0.4">
      <c r="B28" s="20" t="s">
        <v>26</v>
      </c>
      <c r="C28" s="91">
        <f>H79+H80</f>
        <v>4.1095890410958902E-2</v>
      </c>
      <c r="D28" s="24">
        <v>15</v>
      </c>
      <c r="E28" s="49">
        <f>SUM(O79:O80)</f>
        <v>5.5226759035714279</v>
      </c>
      <c r="F28" s="49">
        <f>SUM(I79:I80)</f>
        <v>82.840138553571421</v>
      </c>
      <c r="G28" s="126">
        <v>4.1095890410958902E-2</v>
      </c>
      <c r="H28" s="127">
        <f t="shared" si="0"/>
        <v>0</v>
      </c>
      <c r="I28" s="34"/>
      <c r="J28" s="20" t="s">
        <v>26</v>
      </c>
      <c r="K28" s="27">
        <f>4.10958904109589%*(1-M28)</f>
        <v>3.287671232876712E-2</v>
      </c>
      <c r="L28" s="65">
        <f>SUM(F79:F80)</f>
        <v>1</v>
      </c>
      <c r="M28" s="76">
        <v>0.2</v>
      </c>
      <c r="N28" s="219"/>
    </row>
    <row r="29" spans="2:14" x14ac:dyDescent="0.4">
      <c r="B29" s="20" t="s">
        <v>27</v>
      </c>
      <c r="C29" s="91">
        <f>H81+H82</f>
        <v>1.643835616438356E-2</v>
      </c>
      <c r="D29" s="24">
        <v>5.9999999999999991</v>
      </c>
      <c r="E29" s="49">
        <f>SUM(O81:O82)</f>
        <v>5.2610641187624996</v>
      </c>
      <c r="F29" s="49">
        <f>SUM(I81:I82)</f>
        <v>31.566384712574994</v>
      </c>
      <c r="G29" s="126">
        <v>1.643835616438356E-2</v>
      </c>
      <c r="H29" s="127">
        <f t="shared" si="0"/>
        <v>0</v>
      </c>
      <c r="I29" s="34"/>
      <c r="J29" s="20" t="s">
        <v>27</v>
      </c>
      <c r="K29" s="27">
        <f>1.64383561643836%*(1-M29)</f>
        <v>1.3150684931506881E-2</v>
      </c>
      <c r="L29" s="65">
        <f>SUM(F81:F82)</f>
        <v>1</v>
      </c>
      <c r="M29" s="76">
        <v>0.2</v>
      </c>
      <c r="N29" s="219"/>
    </row>
    <row r="30" spans="2:14" x14ac:dyDescent="0.4">
      <c r="B30" s="20" t="s">
        <v>28</v>
      </c>
      <c r="C30" s="91">
        <f>H61+H62+H63+H64+H65+H66+H67+H68+H69</f>
        <v>0.19726027397260273</v>
      </c>
      <c r="D30" s="24">
        <v>72</v>
      </c>
      <c r="E30" s="49">
        <f>SUM(O61:O69)</f>
        <v>0.4049254074889867</v>
      </c>
      <c r="F30" s="49">
        <f>SUM(I61:I69)</f>
        <v>29.154629339207048</v>
      </c>
      <c r="G30" s="126">
        <v>0.19726027397260273</v>
      </c>
      <c r="H30" s="127">
        <f t="shared" si="0"/>
        <v>0</v>
      </c>
      <c r="I30" s="34"/>
      <c r="J30" s="20" t="s">
        <v>28</v>
      </c>
      <c r="K30" s="27">
        <f>19.7260273972603%*(1-M30)</f>
        <v>0.15780821917808241</v>
      </c>
      <c r="L30" s="65">
        <f>SUM(F61:F69)</f>
        <v>1</v>
      </c>
      <c r="M30" s="76">
        <v>0.2</v>
      </c>
      <c r="N30" s="219"/>
    </row>
    <row r="31" spans="2:14" x14ac:dyDescent="0.4">
      <c r="B31" s="20" t="s">
        <v>29</v>
      </c>
      <c r="C31" s="91">
        <f>H77+H78</f>
        <v>4.3835616438356165E-2</v>
      </c>
      <c r="D31" s="24">
        <v>16</v>
      </c>
      <c r="E31" s="49">
        <f>SUM(O77:O78)</f>
        <v>0.42478675000000005</v>
      </c>
      <c r="F31" s="49">
        <f>SUM(I77:I78)</f>
        <v>6.7965880000000007</v>
      </c>
      <c r="G31" s="126">
        <v>4.3835616438356165E-2</v>
      </c>
      <c r="H31" s="127">
        <f t="shared" si="0"/>
        <v>0</v>
      </c>
      <c r="I31" s="34"/>
      <c r="J31" s="20" t="s">
        <v>29</v>
      </c>
      <c r="K31" s="27">
        <f>4.38356164383562%*(1-M31)</f>
        <v>3.5068493150684964E-2</v>
      </c>
      <c r="L31" s="65">
        <f>SUM(F77:F78)</f>
        <v>1</v>
      </c>
      <c r="M31" s="76">
        <v>0.2</v>
      </c>
      <c r="N31" s="219"/>
    </row>
    <row r="32" spans="2:14" x14ac:dyDescent="0.4">
      <c r="B32" s="20" t="s">
        <v>30</v>
      </c>
      <c r="C32" s="91">
        <f>H70+H71</f>
        <v>0.21917808219178081</v>
      </c>
      <c r="D32" s="24">
        <v>80</v>
      </c>
      <c r="E32" s="49">
        <f>SUM(O70:O71)</f>
        <v>0.81906525133333319</v>
      </c>
      <c r="F32" s="49">
        <f>SUM(I70:I71)</f>
        <v>65.525220106666652</v>
      </c>
      <c r="G32" s="126">
        <v>0.21917808219178081</v>
      </c>
      <c r="H32" s="127">
        <f t="shared" si="0"/>
        <v>0</v>
      </c>
      <c r="I32" s="34"/>
      <c r="J32" s="20" t="s">
        <v>30</v>
      </c>
      <c r="K32" s="27">
        <f>21.9178082191781%*(1-M32)</f>
        <v>0.1753424657534248</v>
      </c>
      <c r="L32" s="65">
        <f>SUM(F70:F71)</f>
        <v>1</v>
      </c>
      <c r="M32" s="76">
        <v>0.2</v>
      </c>
      <c r="N32" s="219"/>
    </row>
    <row r="33" spans="2:20" x14ac:dyDescent="0.4">
      <c r="B33" s="20" t="s">
        <v>31</v>
      </c>
      <c r="C33" s="91">
        <f>H74+H75+H76</f>
        <v>0.12328767123287673</v>
      </c>
      <c r="D33" s="24">
        <v>45</v>
      </c>
      <c r="E33" s="49">
        <f>SUM(O74:O76)</f>
        <v>2.5732208043478266</v>
      </c>
      <c r="F33" s="49">
        <f>SUM(I74:I76)</f>
        <v>115.79493619565218</v>
      </c>
      <c r="G33" s="126">
        <v>0.12328767123287671</v>
      </c>
      <c r="H33" s="127">
        <f t="shared" si="0"/>
        <v>0</v>
      </c>
      <c r="I33" s="34"/>
      <c r="J33" s="20" t="s">
        <v>31</v>
      </c>
      <c r="K33" s="27">
        <f>12.3287671232877%*(1-M33)</f>
        <v>9.8630136986301603E-2</v>
      </c>
      <c r="L33" s="65">
        <f>SUM(F74:F76)</f>
        <v>1</v>
      </c>
      <c r="M33" s="76">
        <v>0.2</v>
      </c>
      <c r="N33" s="219"/>
    </row>
    <row r="34" spans="2:20" x14ac:dyDescent="0.4">
      <c r="B34" s="20" t="s">
        <v>32</v>
      </c>
      <c r="C34" s="91">
        <f>H72+H73</f>
        <v>0.12602739726027398</v>
      </c>
      <c r="D34" s="24">
        <v>46</v>
      </c>
      <c r="E34" s="49">
        <f>SUM(O72:O73)</f>
        <v>0.72266448936170213</v>
      </c>
      <c r="F34" s="49">
        <f>SUM(I72:I73)</f>
        <v>33.242566510638298</v>
      </c>
      <c r="G34" s="126">
        <v>0.12602739726027398</v>
      </c>
      <c r="H34" s="127">
        <f t="shared" si="0"/>
        <v>0</v>
      </c>
      <c r="I34" s="34"/>
      <c r="J34" s="20" t="s">
        <v>32</v>
      </c>
      <c r="K34" s="27">
        <f>12.6027397260274%*(1-M34)</f>
        <v>0.10082191780821921</v>
      </c>
      <c r="L34" s="65">
        <f>SUM(F72:F73)</f>
        <v>1</v>
      </c>
      <c r="M34" s="76">
        <v>0.2</v>
      </c>
      <c r="N34" s="220"/>
    </row>
    <row r="35" spans="2:20" s="14" customFormat="1" x14ac:dyDescent="0.4">
      <c r="D35" s="75"/>
    </row>
    <row r="36" spans="2:20" x14ac:dyDescent="0.4">
      <c r="C36" s="61"/>
      <c r="D36" s="25"/>
    </row>
    <row r="37" spans="2:20" x14ac:dyDescent="0.4">
      <c r="B37" s="22" t="s">
        <v>143</v>
      </c>
      <c r="F37" s="123" t="s">
        <v>161</v>
      </c>
      <c r="J37" s="123" t="s">
        <v>209</v>
      </c>
      <c r="K37" s="25"/>
    </row>
    <row r="38" spans="2:20" ht="26.25" x14ac:dyDescent="0.4">
      <c r="B38" s="133" t="s">
        <v>33</v>
      </c>
      <c r="C38" s="133" t="s">
        <v>15</v>
      </c>
      <c r="D38" s="133" t="s">
        <v>34</v>
      </c>
      <c r="E38" s="133" t="s">
        <v>35</v>
      </c>
      <c r="F38" s="120" t="s">
        <v>144</v>
      </c>
      <c r="G38" s="134" t="s">
        <v>145</v>
      </c>
      <c r="H38" s="134" t="s">
        <v>146</v>
      </c>
      <c r="I38" s="134" t="s">
        <v>210</v>
      </c>
      <c r="J38" s="134" t="s">
        <v>211</v>
      </c>
      <c r="K38" s="134" t="s">
        <v>148</v>
      </c>
      <c r="L38" s="134" t="s">
        <v>149</v>
      </c>
      <c r="M38" s="134" t="s">
        <v>150</v>
      </c>
      <c r="N38" s="134" t="s">
        <v>151</v>
      </c>
      <c r="O38" s="134" t="s">
        <v>152</v>
      </c>
      <c r="P38" s="14"/>
      <c r="Q38" s="14"/>
      <c r="R38" s="14"/>
      <c r="S38" s="14"/>
      <c r="T38" s="14"/>
    </row>
    <row r="39" spans="2:20" x14ac:dyDescent="0.4">
      <c r="B39" s="92">
        <v>1</v>
      </c>
      <c r="C39" s="93" t="s">
        <v>23</v>
      </c>
      <c r="D39" s="92" t="s">
        <v>40</v>
      </c>
      <c r="E39" s="93" t="s">
        <v>41</v>
      </c>
      <c r="F39" s="94">
        <v>0.4337349397590361</v>
      </c>
      <c r="G39" s="95">
        <f>F39*D$25</f>
        <v>14.746987951807228</v>
      </c>
      <c r="H39" s="96">
        <f>G39/$C$7</f>
        <v>4.0402706717280072E-2</v>
      </c>
      <c r="I39" s="97">
        <f>G39*N39</f>
        <v>49.850246168674694</v>
      </c>
      <c r="J39" s="94">
        <v>0.4337349397590361</v>
      </c>
      <c r="K39" s="98">
        <v>2.995031</v>
      </c>
      <c r="L39" s="98">
        <v>0.38144</v>
      </c>
      <c r="M39" s="98">
        <v>3.8969999999999999E-3</v>
      </c>
      <c r="N39" s="98">
        <f>SUM(K39:M39)</f>
        <v>3.3803679999999998</v>
      </c>
      <c r="O39" s="99">
        <f>F39*N39</f>
        <v>1.4661837108433733</v>
      </c>
      <c r="P39" s="14"/>
      <c r="Q39" s="14"/>
      <c r="R39" s="14"/>
      <c r="S39" s="14"/>
      <c r="T39" s="14"/>
    </row>
    <row r="40" spans="2:20" x14ac:dyDescent="0.4">
      <c r="B40" s="92">
        <v>2</v>
      </c>
      <c r="C40" s="93" t="s">
        <v>23</v>
      </c>
      <c r="D40" s="92" t="s">
        <v>42</v>
      </c>
      <c r="E40" s="92" t="s">
        <v>41</v>
      </c>
      <c r="F40" s="100">
        <v>1.2048192771084336E-2</v>
      </c>
      <c r="G40" s="95">
        <f t="shared" ref="G40:G41" si="1">F40*D$25</f>
        <v>0.40963855421686746</v>
      </c>
      <c r="H40" s="96">
        <f t="shared" ref="H40:H82" si="2">G40/$C$7</f>
        <v>1.1222974088133356E-3</v>
      </c>
      <c r="I40" s="97">
        <f t="shared" ref="I40:I82" si="3">G40*N40</f>
        <v>1.5414784819277108</v>
      </c>
      <c r="J40" s="100">
        <v>1.2048192771084336E-2</v>
      </c>
      <c r="K40" s="98">
        <v>2.9989279999999998</v>
      </c>
      <c r="L40" s="98">
        <v>0.76137900000000003</v>
      </c>
      <c r="M40" s="98">
        <v>2.7139999999999998E-3</v>
      </c>
      <c r="N40" s="98">
        <f t="shared" ref="N40:N82" si="4">SUM(K40:M40)</f>
        <v>3.7630210000000002</v>
      </c>
      <c r="O40" s="99">
        <f t="shared" ref="O40:O82" si="5">F40*N40</f>
        <v>4.533760240963855E-2</v>
      </c>
      <c r="P40" s="14"/>
      <c r="Q40" s="14"/>
      <c r="R40" s="14"/>
      <c r="S40" s="14"/>
      <c r="T40" s="14"/>
    </row>
    <row r="41" spans="2:20" x14ac:dyDescent="0.4">
      <c r="B41" s="92">
        <v>3</v>
      </c>
      <c r="C41" s="93" t="s">
        <v>23</v>
      </c>
      <c r="D41" s="92" t="s">
        <v>42</v>
      </c>
      <c r="E41" s="92" t="s">
        <v>43</v>
      </c>
      <c r="F41" s="100">
        <v>0.55421686746987953</v>
      </c>
      <c r="G41" s="95">
        <f t="shared" si="1"/>
        <v>18.843373493975903</v>
      </c>
      <c r="H41" s="96">
        <f t="shared" si="2"/>
        <v>5.1625680805413438E-2</v>
      </c>
      <c r="I41" s="97">
        <f t="shared" si="3"/>
        <v>68.450061686746992</v>
      </c>
      <c r="J41" s="100">
        <v>0.55421686746987953</v>
      </c>
      <c r="K41" s="98">
        <v>2.5277020000000001</v>
      </c>
      <c r="L41" s="98">
        <v>0.68049199999999999</v>
      </c>
      <c r="M41" s="98">
        <v>0.42438599999999999</v>
      </c>
      <c r="N41" s="98">
        <f t="shared" si="4"/>
        <v>3.6325800000000004</v>
      </c>
      <c r="O41" s="99">
        <f t="shared" si="5"/>
        <v>2.013237108433735</v>
      </c>
      <c r="P41" s="14"/>
      <c r="Q41" s="14"/>
      <c r="R41" s="14"/>
      <c r="S41" s="14"/>
      <c r="T41" s="14"/>
    </row>
    <row r="42" spans="2:20" ht="13.15" hidden="1" customHeight="1" x14ac:dyDescent="0.4">
      <c r="B42" s="101">
        <v>4</v>
      </c>
      <c r="C42" s="102" t="s">
        <v>24</v>
      </c>
      <c r="D42" s="101" t="s">
        <v>40</v>
      </c>
      <c r="E42" s="102" t="s">
        <v>41</v>
      </c>
      <c r="F42" s="103">
        <v>0.36170212765957449</v>
      </c>
      <c r="G42" s="104">
        <f>F42*D$26</f>
        <v>0.72340425531914898</v>
      </c>
      <c r="H42" s="105">
        <f t="shared" si="2"/>
        <v>1.9819294666278053E-3</v>
      </c>
      <c r="I42" s="106">
        <f t="shared" si="3"/>
        <v>2.9964793191489369</v>
      </c>
      <c r="J42" s="103">
        <v>0.36170212765957449</v>
      </c>
      <c r="K42" s="107">
        <v>3.812459</v>
      </c>
      <c r="L42" s="107">
        <v>0.32567699999999999</v>
      </c>
      <c r="M42" s="107">
        <v>4.0559999999999997E-3</v>
      </c>
      <c r="N42" s="107">
        <f t="shared" si="4"/>
        <v>4.1421920000000005</v>
      </c>
      <c r="O42" s="108">
        <f t="shared" si="5"/>
        <v>1.4982396595744685</v>
      </c>
      <c r="P42" s="14"/>
      <c r="Q42" s="14"/>
      <c r="R42" s="14"/>
      <c r="S42" s="14"/>
      <c r="T42" s="14"/>
    </row>
    <row r="43" spans="2:20" ht="13.15" hidden="1" customHeight="1" x14ac:dyDescent="0.4">
      <c r="B43" s="101">
        <v>5</v>
      </c>
      <c r="C43" s="102" t="s">
        <v>24</v>
      </c>
      <c r="D43" s="101" t="s">
        <v>42</v>
      </c>
      <c r="E43" s="102" t="s">
        <v>41</v>
      </c>
      <c r="F43" s="103">
        <v>0.63829787234042556</v>
      </c>
      <c r="G43" s="104">
        <f>F43*D$26</f>
        <v>1.2765957446808511</v>
      </c>
      <c r="H43" s="105">
        <f t="shared" si="2"/>
        <v>3.4975225881667153E-3</v>
      </c>
      <c r="I43" s="106">
        <f t="shared" si="3"/>
        <v>5.426002978723405</v>
      </c>
      <c r="J43" s="103">
        <v>0.63829787234042556</v>
      </c>
      <c r="K43" s="107">
        <v>3.812459</v>
      </c>
      <c r="L43" s="107">
        <v>0.43385400000000002</v>
      </c>
      <c r="M43" s="107">
        <v>4.0559999999999997E-3</v>
      </c>
      <c r="N43" s="107">
        <f t="shared" si="4"/>
        <v>4.2503690000000001</v>
      </c>
      <c r="O43" s="108">
        <f t="shared" si="5"/>
        <v>2.7130014893617025</v>
      </c>
      <c r="P43" s="14"/>
      <c r="Q43" s="14"/>
      <c r="R43" s="14"/>
      <c r="S43" s="14"/>
      <c r="T43" s="14"/>
    </row>
    <row r="44" spans="2:20" ht="13.15" hidden="1" customHeight="1" x14ac:dyDescent="0.4">
      <c r="B44" s="92">
        <v>6</v>
      </c>
      <c r="C44" s="93" t="s">
        <v>21</v>
      </c>
      <c r="D44" s="92" t="s">
        <v>44</v>
      </c>
      <c r="E44" s="92" t="s">
        <v>45</v>
      </c>
      <c r="F44" s="100">
        <v>0.3</v>
      </c>
      <c r="G44" s="109">
        <f>F44*D$23</f>
        <v>0.6</v>
      </c>
      <c r="H44" s="96">
        <f t="shared" si="2"/>
        <v>1.643835616438356E-3</v>
      </c>
      <c r="I44" s="97">
        <f t="shared" si="3"/>
        <v>12.732062399999998</v>
      </c>
      <c r="J44" s="100">
        <v>0.3</v>
      </c>
      <c r="K44" s="98">
        <v>13.19894</v>
      </c>
      <c r="L44" s="98">
        <v>0.90092099999999997</v>
      </c>
      <c r="M44" s="98">
        <v>7.1202430000000003</v>
      </c>
      <c r="N44" s="98">
        <f t="shared" si="4"/>
        <v>21.220103999999999</v>
      </c>
      <c r="O44" s="99">
        <f t="shared" si="5"/>
        <v>6.3660311999999992</v>
      </c>
      <c r="P44" s="14"/>
      <c r="Q44" s="14"/>
      <c r="R44" s="14"/>
      <c r="S44" s="14"/>
      <c r="T44" s="14"/>
    </row>
    <row r="45" spans="2:20" ht="13.15" hidden="1" customHeight="1" x14ac:dyDescent="0.4">
      <c r="B45" s="92">
        <v>7</v>
      </c>
      <c r="C45" s="93" t="s">
        <v>21</v>
      </c>
      <c r="D45" s="92" t="s">
        <v>42</v>
      </c>
      <c r="E45" s="92" t="s">
        <v>45</v>
      </c>
      <c r="F45" s="100">
        <v>0.7</v>
      </c>
      <c r="G45" s="109">
        <f>F45*D$23</f>
        <v>1.4</v>
      </c>
      <c r="H45" s="96">
        <f t="shared" si="2"/>
        <v>3.8356164383561643E-3</v>
      </c>
      <c r="I45" s="97">
        <f t="shared" si="3"/>
        <v>20.080145399999999</v>
      </c>
      <c r="J45" s="100">
        <v>0.7</v>
      </c>
      <c r="K45" s="98">
        <v>13.19894</v>
      </c>
      <c r="L45" s="98">
        <v>0.96768900000000002</v>
      </c>
      <c r="M45" s="98">
        <v>0.17633199999999999</v>
      </c>
      <c r="N45" s="98">
        <f t="shared" si="4"/>
        <v>14.342961000000001</v>
      </c>
      <c r="O45" s="99">
        <f t="shared" si="5"/>
        <v>10.0400727</v>
      </c>
      <c r="P45" s="14"/>
      <c r="Q45" s="14"/>
      <c r="R45" s="14"/>
      <c r="S45" s="14"/>
      <c r="T45" s="14"/>
    </row>
    <row r="46" spans="2:20" x14ac:dyDescent="0.4">
      <c r="B46" s="101">
        <v>8</v>
      </c>
      <c r="C46" s="102" t="s">
        <v>22</v>
      </c>
      <c r="D46" s="101" t="s">
        <v>40</v>
      </c>
      <c r="E46" s="102" t="s">
        <v>46</v>
      </c>
      <c r="F46" s="103">
        <v>0.20987654320987653</v>
      </c>
      <c r="G46" s="104">
        <f>F46*D$24</f>
        <v>4.617283950617284</v>
      </c>
      <c r="H46" s="105">
        <f t="shared" si="2"/>
        <v>1.2650093015389819E-2</v>
      </c>
      <c r="I46" s="106">
        <f t="shared" si="3"/>
        <v>41.598714693827162</v>
      </c>
      <c r="J46" s="103">
        <v>0.20987654320987653</v>
      </c>
      <c r="K46" s="107">
        <v>7.22039819</v>
      </c>
      <c r="L46" s="107">
        <v>1.7484542000000001</v>
      </c>
      <c r="M46" s="107">
        <v>4.0494910000000002E-2</v>
      </c>
      <c r="N46" s="107">
        <f t="shared" si="4"/>
        <v>9.0093472999999999</v>
      </c>
      <c r="O46" s="108">
        <f t="shared" si="5"/>
        <v>1.8908506679012345</v>
      </c>
      <c r="P46" s="14"/>
      <c r="Q46" s="14"/>
      <c r="R46" s="14"/>
      <c r="S46" s="14"/>
      <c r="T46" s="14"/>
    </row>
    <row r="47" spans="2:20" x14ac:dyDescent="0.4">
      <c r="B47" s="101">
        <v>9</v>
      </c>
      <c r="C47" s="102" t="s">
        <v>22</v>
      </c>
      <c r="D47" s="101" t="s">
        <v>44</v>
      </c>
      <c r="E47" s="101" t="s">
        <v>43</v>
      </c>
      <c r="F47" s="110">
        <v>0.12345679012345678</v>
      </c>
      <c r="G47" s="104">
        <f t="shared" ref="G47:G52" si="6">F47*D$24</f>
        <v>2.716049382716049</v>
      </c>
      <c r="H47" s="105">
        <f t="shared" si="2"/>
        <v>7.4412311855234217E-3</v>
      </c>
      <c r="I47" s="106">
        <f t="shared" si="3"/>
        <v>73.262804999999986</v>
      </c>
      <c r="J47" s="110">
        <v>0.12345679012345678</v>
      </c>
      <c r="K47" s="107">
        <v>7.2956225999999997</v>
      </c>
      <c r="L47" s="107">
        <v>0.81951735000000003</v>
      </c>
      <c r="M47" s="107">
        <v>18.8588928</v>
      </c>
      <c r="N47" s="107">
        <f t="shared" si="4"/>
        <v>26.974032749999999</v>
      </c>
      <c r="O47" s="108">
        <f t="shared" si="5"/>
        <v>3.3301274999999997</v>
      </c>
      <c r="P47" s="14"/>
      <c r="Q47" s="14"/>
      <c r="R47" s="14"/>
      <c r="S47" s="14"/>
      <c r="T47" s="14"/>
    </row>
    <row r="48" spans="2:20" x14ac:dyDescent="0.4">
      <c r="B48" s="101">
        <v>10</v>
      </c>
      <c r="C48" s="102" t="s">
        <v>22</v>
      </c>
      <c r="D48" s="101" t="s">
        <v>44</v>
      </c>
      <c r="E48" s="101" t="s">
        <v>45</v>
      </c>
      <c r="F48" s="110">
        <v>4.9382716049382713E-2</v>
      </c>
      <c r="G48" s="104">
        <f t="shared" si="6"/>
        <v>1.0864197530864197</v>
      </c>
      <c r="H48" s="105">
        <f t="shared" si="2"/>
        <v>2.9764924742093691E-3</v>
      </c>
      <c r="I48" s="106">
        <f t="shared" si="3"/>
        <v>19.913945550617285</v>
      </c>
      <c r="J48" s="110">
        <v>4.9382716049382713E-2</v>
      </c>
      <c r="K48" s="107">
        <v>7.1395445799999999</v>
      </c>
      <c r="L48" s="107">
        <v>4.0700936900000002</v>
      </c>
      <c r="M48" s="107">
        <v>7.1202434300000004</v>
      </c>
      <c r="N48" s="107">
        <f t="shared" si="4"/>
        <v>18.329881700000001</v>
      </c>
      <c r="O48" s="108">
        <f t="shared" si="5"/>
        <v>0.90517934320987659</v>
      </c>
      <c r="P48" s="14"/>
      <c r="Q48" s="14"/>
      <c r="R48" s="14"/>
      <c r="S48" s="14"/>
      <c r="T48" s="14"/>
    </row>
    <row r="49" spans="2:20" x14ac:dyDescent="0.4">
      <c r="B49" s="101">
        <v>11</v>
      </c>
      <c r="C49" s="102" t="s">
        <v>22</v>
      </c>
      <c r="D49" s="101" t="s">
        <v>42</v>
      </c>
      <c r="E49" s="101" t="s">
        <v>43</v>
      </c>
      <c r="F49" s="110">
        <v>0.29629629629629628</v>
      </c>
      <c r="G49" s="104">
        <f t="shared" si="6"/>
        <v>6.5185185185185182</v>
      </c>
      <c r="H49" s="105">
        <f t="shared" si="2"/>
        <v>1.7858954845256216E-2</v>
      </c>
      <c r="I49" s="106">
        <f t="shared" si="3"/>
        <v>55.837654074074074</v>
      </c>
      <c r="J49" s="110">
        <v>0.29629629629629628</v>
      </c>
      <c r="K49" s="107">
        <v>7.2956225999999997</v>
      </c>
      <c r="L49" s="107">
        <v>0.84836555000000002</v>
      </c>
      <c r="M49" s="107">
        <v>0.42201559999999999</v>
      </c>
      <c r="N49" s="107">
        <f t="shared" si="4"/>
        <v>8.5660037500000001</v>
      </c>
      <c r="O49" s="108">
        <f t="shared" si="5"/>
        <v>2.538075185185185</v>
      </c>
      <c r="P49" s="14"/>
      <c r="Q49" s="14"/>
      <c r="R49" s="14"/>
      <c r="S49" s="14"/>
      <c r="T49" s="14"/>
    </row>
    <row r="50" spans="2:20" x14ac:dyDescent="0.4">
      <c r="B50" s="101">
        <v>12</v>
      </c>
      <c r="C50" s="102" t="s">
        <v>22</v>
      </c>
      <c r="D50" s="101" t="s">
        <v>42</v>
      </c>
      <c r="E50" s="101" t="s">
        <v>45</v>
      </c>
      <c r="F50" s="110">
        <v>9.8765432098765427E-2</v>
      </c>
      <c r="G50" s="104">
        <f t="shared" si="6"/>
        <v>2.1728395061728394</v>
      </c>
      <c r="H50" s="105">
        <f t="shared" si="2"/>
        <v>5.9529849484187382E-3</v>
      </c>
      <c r="I50" s="106">
        <f t="shared" si="3"/>
        <v>24.950074257777775</v>
      </c>
      <c r="J50" s="110">
        <v>9.8765432098765427E-2</v>
      </c>
      <c r="K50" s="107">
        <v>7.1395445799999999</v>
      </c>
      <c r="L50" s="107">
        <v>4.1668280099999997</v>
      </c>
      <c r="M50" s="107">
        <v>0.17633204</v>
      </c>
      <c r="N50" s="107">
        <f t="shared" si="4"/>
        <v>11.482704629999999</v>
      </c>
      <c r="O50" s="108">
        <f t="shared" si="5"/>
        <v>1.1340942844444444</v>
      </c>
      <c r="P50" s="14"/>
      <c r="Q50" s="14"/>
      <c r="R50" s="14"/>
      <c r="S50" s="14"/>
      <c r="T50" s="14"/>
    </row>
    <row r="51" spans="2:20" x14ac:dyDescent="0.4">
      <c r="B51" s="101">
        <v>13</v>
      </c>
      <c r="C51" s="102" t="s">
        <v>22</v>
      </c>
      <c r="D51" s="101" t="s">
        <v>42</v>
      </c>
      <c r="E51" s="101" t="s">
        <v>47</v>
      </c>
      <c r="F51" s="110">
        <v>0.14814814814814814</v>
      </c>
      <c r="G51" s="104">
        <f t="shared" si="6"/>
        <v>3.2592592592592591</v>
      </c>
      <c r="H51" s="105">
        <f t="shared" si="2"/>
        <v>8.9294774226281078E-3</v>
      </c>
      <c r="I51" s="106">
        <f t="shared" si="3"/>
        <v>31.976668044444438</v>
      </c>
      <c r="J51" s="110">
        <v>0.14814814814814814</v>
      </c>
      <c r="K51" s="107">
        <v>7.0857764300000001</v>
      </c>
      <c r="L51" s="107">
        <v>2.3632220799999999</v>
      </c>
      <c r="M51" s="107">
        <v>0.36202464000000001</v>
      </c>
      <c r="N51" s="107">
        <f t="shared" si="4"/>
        <v>9.8110231499999987</v>
      </c>
      <c r="O51" s="108">
        <f t="shared" si="5"/>
        <v>1.4534849111111108</v>
      </c>
      <c r="P51" s="14"/>
      <c r="Q51" s="14"/>
      <c r="R51" s="14"/>
      <c r="S51" s="14"/>
      <c r="T51" s="14"/>
    </row>
    <row r="52" spans="2:20" x14ac:dyDescent="0.4">
      <c r="B52" s="101">
        <v>14</v>
      </c>
      <c r="C52" s="102" t="s">
        <v>22</v>
      </c>
      <c r="D52" s="101" t="s">
        <v>42</v>
      </c>
      <c r="E52" s="101" t="s">
        <v>48</v>
      </c>
      <c r="F52" s="110">
        <v>7.407407407407407E-2</v>
      </c>
      <c r="G52" s="104">
        <f t="shared" si="6"/>
        <v>1.6296296296296295</v>
      </c>
      <c r="H52" s="105">
        <f t="shared" si="2"/>
        <v>4.4647387113140539E-3</v>
      </c>
      <c r="I52" s="106">
        <f t="shared" si="3"/>
        <v>15.258803657777776</v>
      </c>
      <c r="J52" s="110">
        <v>7.407407407407407E-2</v>
      </c>
      <c r="K52" s="107">
        <v>7.2956225999999997</v>
      </c>
      <c r="L52" s="107">
        <v>1.77765705</v>
      </c>
      <c r="M52" s="107">
        <v>0.29007714000000001</v>
      </c>
      <c r="N52" s="107">
        <f t="shared" si="4"/>
        <v>9.3633567899999992</v>
      </c>
      <c r="O52" s="108">
        <f t="shared" si="5"/>
        <v>0.6935819844444443</v>
      </c>
      <c r="P52" s="14"/>
      <c r="Q52" s="14"/>
      <c r="R52" s="14"/>
      <c r="S52" s="14"/>
      <c r="T52" s="14"/>
    </row>
    <row r="53" spans="2:20" x14ac:dyDescent="0.4">
      <c r="B53" s="92">
        <v>15</v>
      </c>
      <c r="C53" s="93" t="s">
        <v>20</v>
      </c>
      <c r="D53" s="92" t="s">
        <v>44</v>
      </c>
      <c r="E53" s="92" t="s">
        <v>43</v>
      </c>
      <c r="F53" s="100">
        <v>0.17582417582417581</v>
      </c>
      <c r="G53" s="109">
        <f>F53*D$22</f>
        <v>0.52747252747252737</v>
      </c>
      <c r="H53" s="96">
        <f t="shared" si="2"/>
        <v>1.4451302122534997E-3</v>
      </c>
      <c r="I53" s="97">
        <f t="shared" si="3"/>
        <v>20.248207120879115</v>
      </c>
      <c r="J53" s="100">
        <v>0.17582417582417581</v>
      </c>
      <c r="K53" s="98">
        <v>18.833870000000001</v>
      </c>
      <c r="L53" s="98">
        <v>0.69446600000000003</v>
      </c>
      <c r="M53" s="98">
        <v>18.858889999999999</v>
      </c>
      <c r="N53" s="98">
        <f t="shared" si="4"/>
        <v>38.387225999999998</v>
      </c>
      <c r="O53" s="99">
        <f t="shared" si="5"/>
        <v>6.7494023736263724</v>
      </c>
      <c r="P53" s="14"/>
      <c r="Q53" s="14"/>
      <c r="R53" s="14"/>
      <c r="S53" s="14"/>
      <c r="T53" s="14"/>
    </row>
    <row r="54" spans="2:20" x14ac:dyDescent="0.4">
      <c r="B54" s="92">
        <v>16</v>
      </c>
      <c r="C54" s="93" t="s">
        <v>20</v>
      </c>
      <c r="D54" s="92" t="s">
        <v>44</v>
      </c>
      <c r="E54" s="92" t="s">
        <v>45</v>
      </c>
      <c r="F54" s="100">
        <v>8.7912087912087905E-2</v>
      </c>
      <c r="G54" s="109">
        <f t="shared" ref="G54:G57" si="7">F54*D$22</f>
        <v>0.26373626373626369</v>
      </c>
      <c r="H54" s="96">
        <f t="shared" si="2"/>
        <v>7.2256510612674985E-4</v>
      </c>
      <c r="I54" s="97">
        <f t="shared" si="3"/>
        <v>7.2519072527472508</v>
      </c>
      <c r="J54" s="100">
        <v>8.7912087912087905E-2</v>
      </c>
      <c r="K54" s="98">
        <v>18.857240000000001</v>
      </c>
      <c r="L54" s="98">
        <v>1.5193319999999999</v>
      </c>
      <c r="M54" s="98">
        <v>7.1202430000000003</v>
      </c>
      <c r="N54" s="98">
        <f t="shared" si="4"/>
        <v>27.496814999999998</v>
      </c>
      <c r="O54" s="99">
        <f t="shared" si="5"/>
        <v>2.4173024175824174</v>
      </c>
      <c r="P54" s="14"/>
      <c r="Q54" s="14"/>
      <c r="R54" s="14"/>
      <c r="S54" s="14"/>
      <c r="T54" s="14"/>
    </row>
    <row r="55" spans="2:20" x14ac:dyDescent="0.4">
      <c r="B55" s="92">
        <v>17</v>
      </c>
      <c r="C55" s="93" t="s">
        <v>20</v>
      </c>
      <c r="D55" s="92" t="s">
        <v>44</v>
      </c>
      <c r="E55" s="92" t="s">
        <v>49</v>
      </c>
      <c r="F55" s="100">
        <v>3.2967032967032968E-2</v>
      </c>
      <c r="G55" s="109">
        <f t="shared" si="7"/>
        <v>9.8901098901098883E-2</v>
      </c>
      <c r="H55" s="96">
        <f t="shared" si="2"/>
        <v>2.7096191479753119E-4</v>
      </c>
      <c r="I55" s="97">
        <f t="shared" si="3"/>
        <v>2.8968907252747247</v>
      </c>
      <c r="J55" s="100">
        <v>3.2967032967032968E-2</v>
      </c>
      <c r="K55" s="98">
        <v>18.760680000000001</v>
      </c>
      <c r="L55" s="98">
        <v>0.63292700000000002</v>
      </c>
      <c r="M55" s="98">
        <v>9.8971769999999992</v>
      </c>
      <c r="N55" s="98">
        <f t="shared" si="4"/>
        <v>29.290783999999999</v>
      </c>
      <c r="O55" s="99">
        <f t="shared" si="5"/>
        <v>0.96563024175824175</v>
      </c>
      <c r="P55" s="14"/>
      <c r="Q55" s="14"/>
      <c r="R55" s="14"/>
      <c r="S55" s="14"/>
      <c r="T55" s="14"/>
    </row>
    <row r="56" spans="2:20" x14ac:dyDescent="0.4">
      <c r="B56" s="92">
        <v>18</v>
      </c>
      <c r="C56" s="93" t="s">
        <v>20</v>
      </c>
      <c r="D56" s="92" t="s">
        <v>42</v>
      </c>
      <c r="E56" s="92" t="s">
        <v>43</v>
      </c>
      <c r="F56" s="100">
        <v>0.39560439560439559</v>
      </c>
      <c r="G56" s="109">
        <f t="shared" si="7"/>
        <v>1.1868131868131866</v>
      </c>
      <c r="H56" s="96">
        <f t="shared" si="2"/>
        <v>3.2515429775703741E-3</v>
      </c>
      <c r="I56" s="97">
        <f t="shared" si="3"/>
        <v>23.700534725274721</v>
      </c>
      <c r="J56" s="100">
        <v>0.39560439560439559</v>
      </c>
      <c r="K56" s="98">
        <v>18.833870000000001</v>
      </c>
      <c r="L56" s="98">
        <v>0.714009</v>
      </c>
      <c r="M56" s="98">
        <v>0.422016</v>
      </c>
      <c r="N56" s="98">
        <f t="shared" si="4"/>
        <v>19.969895000000001</v>
      </c>
      <c r="O56" s="99">
        <f t="shared" si="5"/>
        <v>7.9001782417582422</v>
      </c>
      <c r="P56" s="14"/>
      <c r="Q56" s="14"/>
      <c r="R56" s="14"/>
      <c r="S56" s="14"/>
      <c r="T56" s="14"/>
    </row>
    <row r="57" spans="2:20" x14ac:dyDescent="0.4">
      <c r="B57" s="92">
        <v>19</v>
      </c>
      <c r="C57" s="93" t="s">
        <v>20</v>
      </c>
      <c r="D57" s="92" t="s">
        <v>42</v>
      </c>
      <c r="E57" s="92" t="s">
        <v>45</v>
      </c>
      <c r="F57" s="100">
        <v>0.21978021978021978</v>
      </c>
      <c r="G57" s="109">
        <f t="shared" si="7"/>
        <v>0.65934065934065922</v>
      </c>
      <c r="H57" s="96">
        <f t="shared" si="2"/>
        <v>1.8064127653168746E-3</v>
      </c>
      <c r="I57" s="97">
        <f t="shared" si="3"/>
        <v>13.595388131868129</v>
      </c>
      <c r="J57" s="100">
        <v>0.21978021978021978</v>
      </c>
      <c r="K57" s="98">
        <v>18.857240000000001</v>
      </c>
      <c r="L57" s="98">
        <v>1.5861000000000001</v>
      </c>
      <c r="M57" s="98">
        <v>0.17633199999999999</v>
      </c>
      <c r="N57" s="98">
        <f t="shared" si="4"/>
        <v>20.619671999999998</v>
      </c>
      <c r="O57" s="99">
        <f t="shared" si="5"/>
        <v>4.5317960439560432</v>
      </c>
    </row>
    <row r="58" spans="2:20" x14ac:dyDescent="0.4">
      <c r="B58" s="92">
        <v>20</v>
      </c>
      <c r="C58" s="93" t="s">
        <v>20</v>
      </c>
      <c r="D58" s="92" t="s">
        <v>42</v>
      </c>
      <c r="E58" s="92" t="s">
        <v>49</v>
      </c>
      <c r="F58" s="100">
        <v>8.7912087912087905E-2</v>
      </c>
      <c r="G58" s="109">
        <f>F58*D$22</f>
        <v>0.26373626373626369</v>
      </c>
      <c r="H58" s="96">
        <f t="shared" si="2"/>
        <v>7.2256510612674985E-4</v>
      </c>
      <c r="I58" s="97">
        <f t="shared" si="3"/>
        <v>5.1810166153846149</v>
      </c>
      <c r="J58" s="100">
        <v>8.7912087912087905E-2</v>
      </c>
      <c r="K58" s="98">
        <v>18.760680000000001</v>
      </c>
      <c r="L58" s="98">
        <v>0.64853400000000005</v>
      </c>
      <c r="M58" s="98">
        <v>0.23547399999999999</v>
      </c>
      <c r="N58" s="98">
        <f t="shared" si="4"/>
        <v>19.644688000000002</v>
      </c>
      <c r="O58" s="99">
        <f t="shared" si="5"/>
        <v>1.7270055384615386</v>
      </c>
    </row>
    <row r="59" spans="2:20" x14ac:dyDescent="0.4">
      <c r="B59" s="101">
        <v>21</v>
      </c>
      <c r="C59" s="102" t="s">
        <v>25</v>
      </c>
      <c r="D59" s="101" t="s">
        <v>40</v>
      </c>
      <c r="E59" s="101" t="s">
        <v>41</v>
      </c>
      <c r="F59" s="110">
        <v>0.81</v>
      </c>
      <c r="G59" s="111">
        <f>F59*D$27</f>
        <v>17.82</v>
      </c>
      <c r="H59" s="105">
        <f t="shared" si="2"/>
        <v>4.8821917808219178E-2</v>
      </c>
      <c r="I59" s="106">
        <f t="shared" si="3"/>
        <v>55.393291799999993</v>
      </c>
      <c r="J59" s="110">
        <v>0.81</v>
      </c>
      <c r="K59" s="107">
        <v>3.0457689999999999</v>
      </c>
      <c r="L59" s="107">
        <v>5.5363000000000002E-2</v>
      </c>
      <c r="M59" s="107">
        <v>7.358E-3</v>
      </c>
      <c r="N59" s="107">
        <f t="shared" si="4"/>
        <v>3.1084899999999998</v>
      </c>
      <c r="O59" s="108">
        <f t="shared" si="5"/>
        <v>2.5178769000000001</v>
      </c>
    </row>
    <row r="60" spans="2:20" s="62" customFormat="1" x14ac:dyDescent="0.4">
      <c r="B60" s="101">
        <v>22</v>
      </c>
      <c r="C60" s="102" t="s">
        <v>25</v>
      </c>
      <c r="D60" s="101" t="s">
        <v>40</v>
      </c>
      <c r="E60" s="101" t="s">
        <v>50</v>
      </c>
      <c r="F60" s="110">
        <v>0.19</v>
      </c>
      <c r="G60" s="111">
        <f>F60*D$27</f>
        <v>4.18</v>
      </c>
      <c r="H60" s="105">
        <f t="shared" si="2"/>
        <v>1.1452054794520548E-2</v>
      </c>
      <c r="I60" s="106">
        <f t="shared" si="3"/>
        <v>12.354671339999999</v>
      </c>
      <c r="J60" s="110">
        <v>0.19</v>
      </c>
      <c r="K60" s="107">
        <v>2.924229</v>
      </c>
      <c r="L60" s="107">
        <v>3.1273000000000002E-2</v>
      </c>
      <c r="M60" s="107">
        <v>1.6100000000000001E-4</v>
      </c>
      <c r="N60" s="107">
        <f t="shared" si="4"/>
        <v>2.9556629999999999</v>
      </c>
      <c r="O60" s="108">
        <f t="shared" si="5"/>
        <v>0.56157597000000004</v>
      </c>
    </row>
    <row r="61" spans="2:20" x14ac:dyDescent="0.4">
      <c r="B61" s="92">
        <v>23</v>
      </c>
      <c r="C61" s="93" t="s">
        <v>28</v>
      </c>
      <c r="D61" s="92" t="s">
        <v>51</v>
      </c>
      <c r="E61" s="92" t="s">
        <v>41</v>
      </c>
      <c r="F61" s="100">
        <v>9.0308370044052858E-2</v>
      </c>
      <c r="G61" s="109">
        <f>F61*D$30</f>
        <v>6.5022026431718061</v>
      </c>
      <c r="H61" s="96">
        <f t="shared" si="2"/>
        <v>1.7814253816909056E-2</v>
      </c>
      <c r="I61" s="97">
        <f t="shared" si="3"/>
        <v>2.4878402643171809</v>
      </c>
      <c r="J61" s="100">
        <v>9.0308370044052858E-2</v>
      </c>
      <c r="K61" s="98">
        <v>0.19164700000000001</v>
      </c>
      <c r="L61" s="98">
        <v>0.10198699999999999</v>
      </c>
      <c r="M61" s="98">
        <v>8.8981000000000005E-2</v>
      </c>
      <c r="N61" s="98">
        <f t="shared" si="4"/>
        <v>0.38261500000000004</v>
      </c>
      <c r="O61" s="99">
        <f t="shared" si="5"/>
        <v>3.4553337004405285E-2</v>
      </c>
    </row>
    <row r="62" spans="2:20" x14ac:dyDescent="0.4">
      <c r="B62" s="92">
        <v>24</v>
      </c>
      <c r="C62" s="93" t="s">
        <v>28</v>
      </c>
      <c r="D62" s="92" t="s">
        <v>51</v>
      </c>
      <c r="E62" s="92" t="s">
        <v>52</v>
      </c>
      <c r="F62" s="100">
        <v>9.2511013215859028E-2</v>
      </c>
      <c r="G62" s="109">
        <f t="shared" ref="G62:G69" si="8">F62*D$30</f>
        <v>6.6607929515418505</v>
      </c>
      <c r="H62" s="96">
        <f t="shared" si="2"/>
        <v>1.8248747812443424E-2</v>
      </c>
      <c r="I62" s="97">
        <f t="shared" si="3"/>
        <v>2.6038305198237888</v>
      </c>
      <c r="J62" s="100">
        <v>9.2511013215859028E-2</v>
      </c>
      <c r="K62" s="98">
        <v>0.199766</v>
      </c>
      <c r="L62" s="98">
        <v>0.10198699999999999</v>
      </c>
      <c r="M62" s="98">
        <v>8.9165999999999995E-2</v>
      </c>
      <c r="N62" s="98">
        <f t="shared" si="4"/>
        <v>0.39091900000000002</v>
      </c>
      <c r="O62" s="99">
        <f t="shared" si="5"/>
        <v>3.6164312775330394E-2</v>
      </c>
    </row>
    <row r="63" spans="2:20" x14ac:dyDescent="0.4">
      <c r="B63" s="92">
        <v>25</v>
      </c>
      <c r="C63" s="93" t="s">
        <v>28</v>
      </c>
      <c r="D63" s="92" t="s">
        <v>53</v>
      </c>
      <c r="E63" s="92" t="s">
        <v>41</v>
      </c>
      <c r="F63" s="100">
        <v>0.21806167400881057</v>
      </c>
      <c r="G63" s="109">
        <f t="shared" si="8"/>
        <v>15.700440528634362</v>
      </c>
      <c r="H63" s="96">
        <f t="shared" si="2"/>
        <v>4.3014905557902362E-2</v>
      </c>
      <c r="I63" s="97">
        <f t="shared" si="3"/>
        <v>4.9987376563876653</v>
      </c>
      <c r="J63" s="100">
        <v>0.21806167400881057</v>
      </c>
      <c r="K63" s="98">
        <v>0.127414</v>
      </c>
      <c r="L63" s="98">
        <v>0.10198699999999999</v>
      </c>
      <c r="M63" s="98">
        <v>8.8981000000000005E-2</v>
      </c>
      <c r="N63" s="98">
        <f t="shared" si="4"/>
        <v>0.318382</v>
      </c>
      <c r="O63" s="99">
        <f t="shared" si="5"/>
        <v>6.9426911894273122E-2</v>
      </c>
    </row>
    <row r="64" spans="2:20" x14ac:dyDescent="0.4">
      <c r="B64" s="92">
        <v>26</v>
      </c>
      <c r="C64" s="93" t="s">
        <v>28</v>
      </c>
      <c r="D64" s="92" t="s">
        <v>54</v>
      </c>
      <c r="E64" s="92" t="s">
        <v>41</v>
      </c>
      <c r="F64" s="100">
        <v>0.21365638766519823</v>
      </c>
      <c r="G64" s="109">
        <f t="shared" si="8"/>
        <v>15.383259911894273</v>
      </c>
      <c r="H64" s="96">
        <f t="shared" si="2"/>
        <v>4.2145917566833627E-2</v>
      </c>
      <c r="I64" s="97">
        <f t="shared" si="3"/>
        <v>5.1542842995594711</v>
      </c>
      <c r="J64" s="100">
        <v>0.21365638766519823</v>
      </c>
      <c r="K64" s="98">
        <v>0.14409</v>
      </c>
      <c r="L64" s="98">
        <v>0.10198699999999999</v>
      </c>
      <c r="M64" s="98">
        <v>8.8981000000000005E-2</v>
      </c>
      <c r="N64" s="98">
        <f t="shared" si="4"/>
        <v>0.33505799999999997</v>
      </c>
      <c r="O64" s="99">
        <f t="shared" si="5"/>
        <v>7.1587281938325989E-2</v>
      </c>
    </row>
    <row r="65" spans="2:15" x14ac:dyDescent="0.4">
      <c r="B65" s="92">
        <v>27</v>
      </c>
      <c r="C65" s="93" t="s">
        <v>28</v>
      </c>
      <c r="D65" s="92" t="s">
        <v>55</v>
      </c>
      <c r="E65" s="92" t="s">
        <v>41</v>
      </c>
      <c r="F65" s="100">
        <v>0.18502202643171806</v>
      </c>
      <c r="G65" s="109">
        <f t="shared" si="8"/>
        <v>13.321585903083701</v>
      </c>
      <c r="H65" s="96">
        <f t="shared" si="2"/>
        <v>3.6497495624886848E-2</v>
      </c>
      <c r="I65" s="97">
        <f t="shared" si="3"/>
        <v>3.7843961233480177</v>
      </c>
      <c r="J65" s="100">
        <v>0.18502202643171806</v>
      </c>
      <c r="K65" s="98">
        <v>9.3112E-2</v>
      </c>
      <c r="L65" s="98">
        <v>0.10198699999999999</v>
      </c>
      <c r="M65" s="98">
        <v>8.8981000000000005E-2</v>
      </c>
      <c r="N65" s="98">
        <f t="shared" si="4"/>
        <v>0.28408</v>
      </c>
      <c r="O65" s="99">
        <f t="shared" si="5"/>
        <v>5.2561057268722462E-2</v>
      </c>
    </row>
    <row r="66" spans="2:15" x14ac:dyDescent="0.4">
      <c r="B66" s="92">
        <v>28</v>
      </c>
      <c r="C66" s="93" t="s">
        <v>28</v>
      </c>
      <c r="D66" s="92" t="s">
        <v>56</v>
      </c>
      <c r="E66" s="92" t="s">
        <v>45</v>
      </c>
      <c r="F66" s="100">
        <v>5.2863436123348012E-2</v>
      </c>
      <c r="G66" s="109">
        <f t="shared" si="8"/>
        <v>3.8061674008810567</v>
      </c>
      <c r="H66" s="96">
        <f t="shared" si="2"/>
        <v>1.0427855892824812E-2</v>
      </c>
      <c r="I66" s="97">
        <f t="shared" si="3"/>
        <v>1.9041494273127753</v>
      </c>
      <c r="J66" s="100">
        <v>5.2863436123348012E-2</v>
      </c>
      <c r="K66" s="98">
        <v>0.19825000000000001</v>
      </c>
      <c r="L66" s="98">
        <v>9.6673999999999996E-2</v>
      </c>
      <c r="M66" s="98">
        <v>0.20535600000000001</v>
      </c>
      <c r="N66" s="98">
        <f t="shared" si="4"/>
        <v>0.50028000000000006</v>
      </c>
      <c r="O66" s="99">
        <f t="shared" si="5"/>
        <v>2.6446519823788546E-2</v>
      </c>
    </row>
    <row r="67" spans="2:15" x14ac:dyDescent="0.4">
      <c r="B67" s="92">
        <v>29</v>
      </c>
      <c r="C67" s="93" t="s">
        <v>28</v>
      </c>
      <c r="D67" s="92" t="s">
        <v>56</v>
      </c>
      <c r="E67" s="92" t="s">
        <v>57</v>
      </c>
      <c r="F67" s="100">
        <v>6.8281938325991193E-2</v>
      </c>
      <c r="G67" s="109">
        <f t="shared" si="8"/>
        <v>4.9162995594713657</v>
      </c>
      <c r="H67" s="96">
        <f t="shared" si="2"/>
        <v>1.3469313861565385E-2</v>
      </c>
      <c r="I67" s="97">
        <f t="shared" si="3"/>
        <v>4.9008918766519827</v>
      </c>
      <c r="J67" s="100">
        <v>6.8281938325991193E-2</v>
      </c>
      <c r="K67" s="98">
        <v>0.156613</v>
      </c>
      <c r="L67" s="98">
        <v>9.6673999999999996E-2</v>
      </c>
      <c r="M67" s="98">
        <v>0.74357899999999999</v>
      </c>
      <c r="N67" s="98">
        <f t="shared" si="4"/>
        <v>0.99686600000000003</v>
      </c>
      <c r="O67" s="99">
        <f t="shared" si="5"/>
        <v>6.8067942731277545E-2</v>
      </c>
    </row>
    <row r="68" spans="2:15" x14ac:dyDescent="0.4">
      <c r="B68" s="92">
        <v>30</v>
      </c>
      <c r="C68" s="93" t="s">
        <v>28</v>
      </c>
      <c r="D68" s="92" t="s">
        <v>56</v>
      </c>
      <c r="E68" s="92" t="s">
        <v>58</v>
      </c>
      <c r="F68" s="100">
        <v>4.405286343612335E-2</v>
      </c>
      <c r="G68" s="109">
        <f t="shared" si="8"/>
        <v>3.1718061674008813</v>
      </c>
      <c r="H68" s="96">
        <f t="shared" si="2"/>
        <v>8.689879910687346E-3</v>
      </c>
      <c r="I68" s="97">
        <f t="shared" si="3"/>
        <v>1.8836151541850221</v>
      </c>
      <c r="J68" s="100">
        <v>4.405286343612335E-2</v>
      </c>
      <c r="K68" s="98">
        <v>0.196074</v>
      </c>
      <c r="L68" s="98">
        <v>0.10198699999999999</v>
      </c>
      <c r="M68" s="98">
        <v>0.29580099999999998</v>
      </c>
      <c r="N68" s="98">
        <f t="shared" si="4"/>
        <v>0.593862</v>
      </c>
      <c r="O68" s="99">
        <f t="shared" si="5"/>
        <v>2.6161321585903084E-2</v>
      </c>
    </row>
    <row r="69" spans="2:15" x14ac:dyDescent="0.4">
      <c r="B69" s="92">
        <v>31</v>
      </c>
      <c r="C69" s="93" t="s">
        <v>28</v>
      </c>
      <c r="D69" s="92" t="s">
        <v>56</v>
      </c>
      <c r="E69" s="92" t="s">
        <v>59</v>
      </c>
      <c r="F69" s="100">
        <v>3.5242290748898682E-2</v>
      </c>
      <c r="G69" s="109">
        <f t="shared" si="8"/>
        <v>2.537444933920705</v>
      </c>
      <c r="H69" s="96">
        <f t="shared" si="2"/>
        <v>6.9519039285498765E-3</v>
      </c>
      <c r="I69" s="97">
        <f t="shared" si="3"/>
        <v>1.4368840176211455</v>
      </c>
      <c r="J69" s="100">
        <v>3.5242290748898682E-2</v>
      </c>
      <c r="K69" s="98">
        <v>0.18069099999999999</v>
      </c>
      <c r="L69" s="98">
        <v>0.10312</v>
      </c>
      <c r="M69" s="98">
        <v>0.28246100000000002</v>
      </c>
      <c r="N69" s="98">
        <f t="shared" si="4"/>
        <v>0.566272</v>
      </c>
      <c r="O69" s="99">
        <f t="shared" si="5"/>
        <v>1.9956722466960355E-2</v>
      </c>
    </row>
    <row r="70" spans="2:15" x14ac:dyDescent="0.4">
      <c r="B70" s="101">
        <v>32</v>
      </c>
      <c r="C70" s="102" t="s">
        <v>30</v>
      </c>
      <c r="D70" s="101" t="s">
        <v>119</v>
      </c>
      <c r="E70" s="101" t="s">
        <v>153</v>
      </c>
      <c r="F70" s="110">
        <v>0.97</v>
      </c>
      <c r="G70" s="111">
        <f>F70*D$32</f>
        <v>77.599999999999994</v>
      </c>
      <c r="H70" s="105">
        <f t="shared" si="2"/>
        <v>0.21260273972602739</v>
      </c>
      <c r="I70" s="106">
        <f t="shared" si="3"/>
        <v>64.935504106666656</v>
      </c>
      <c r="J70" s="110">
        <v>0.97</v>
      </c>
      <c r="K70" s="107">
        <v>0.50836139999999996</v>
      </c>
      <c r="L70" s="107">
        <v>0.1616524</v>
      </c>
      <c r="M70" s="107">
        <v>0.16678393333333333</v>
      </c>
      <c r="N70" s="107">
        <f t="shared" si="4"/>
        <v>0.83679773333333329</v>
      </c>
      <c r="O70" s="108">
        <f t="shared" si="5"/>
        <v>0.81169380133333324</v>
      </c>
    </row>
    <row r="71" spans="2:15" x14ac:dyDescent="0.4">
      <c r="B71" s="101">
        <v>33</v>
      </c>
      <c r="C71" s="102" t="s">
        <v>30</v>
      </c>
      <c r="D71" s="101" t="s">
        <v>119</v>
      </c>
      <c r="E71" s="101" t="s">
        <v>50</v>
      </c>
      <c r="F71" s="110">
        <v>0.03</v>
      </c>
      <c r="G71" s="111">
        <f>F71*D$32</f>
        <v>2.4</v>
      </c>
      <c r="H71" s="105">
        <f t="shared" si="2"/>
        <v>6.5753424657534242E-3</v>
      </c>
      <c r="I71" s="106">
        <f t="shared" si="3"/>
        <v>0.58971599999999991</v>
      </c>
      <c r="J71" s="110">
        <v>0.03</v>
      </c>
      <c r="K71" s="107">
        <v>4.8299000000000002E-2</v>
      </c>
      <c r="L71" s="107">
        <v>0.18532499999999999</v>
      </c>
      <c r="M71" s="107">
        <v>1.2090999999999999E-2</v>
      </c>
      <c r="N71" s="107">
        <f t="shared" si="4"/>
        <v>0.24571499999999999</v>
      </c>
      <c r="O71" s="108">
        <f t="shared" si="5"/>
        <v>7.371449999999999E-3</v>
      </c>
    </row>
    <row r="72" spans="2:15" x14ac:dyDescent="0.4">
      <c r="B72" s="92">
        <v>48</v>
      </c>
      <c r="C72" s="93" t="s">
        <v>32</v>
      </c>
      <c r="D72" s="92" t="s">
        <v>32</v>
      </c>
      <c r="E72" s="92" t="s">
        <v>45</v>
      </c>
      <c r="F72" s="100">
        <v>0.63829787234042556</v>
      </c>
      <c r="G72" s="109">
        <f>F72*D$34</f>
        <v>29.361702127659576</v>
      </c>
      <c r="H72" s="96">
        <f t="shared" si="2"/>
        <v>8.0443019527834461E-2</v>
      </c>
      <c r="I72" s="97">
        <f t="shared" si="3"/>
        <v>17.882539148936171</v>
      </c>
      <c r="J72" s="100">
        <v>0.63829787234042556</v>
      </c>
      <c r="K72" s="98">
        <v>0.44561099999999998</v>
      </c>
      <c r="L72" s="98">
        <v>3.3017999999999999E-2</v>
      </c>
      <c r="M72" s="98">
        <v>0.130414</v>
      </c>
      <c r="N72" s="98">
        <f t="shared" si="4"/>
        <v>0.609043</v>
      </c>
      <c r="O72" s="99">
        <f t="shared" si="5"/>
        <v>0.38875085106382978</v>
      </c>
    </row>
    <row r="73" spans="2:15" x14ac:dyDescent="0.4">
      <c r="B73" s="92">
        <v>49</v>
      </c>
      <c r="C73" s="93" t="s">
        <v>32</v>
      </c>
      <c r="D73" s="92" t="s">
        <v>32</v>
      </c>
      <c r="E73" s="92" t="s">
        <v>57</v>
      </c>
      <c r="F73" s="100">
        <v>0.36170212765957449</v>
      </c>
      <c r="G73" s="109">
        <f>F73*D$34</f>
        <v>16.638297872340427</v>
      </c>
      <c r="H73" s="96">
        <f t="shared" si="2"/>
        <v>4.5584377732439528E-2</v>
      </c>
      <c r="I73" s="97">
        <f t="shared" si="3"/>
        <v>15.36002736170213</v>
      </c>
      <c r="J73" s="100">
        <v>0.36170212765957449</v>
      </c>
      <c r="K73" s="98">
        <v>0.49074200000000001</v>
      </c>
      <c r="L73" s="98">
        <v>3.2978E-2</v>
      </c>
      <c r="M73" s="98">
        <v>0.399453</v>
      </c>
      <c r="N73" s="98">
        <f t="shared" si="4"/>
        <v>0.92317300000000002</v>
      </c>
      <c r="O73" s="99">
        <f t="shared" si="5"/>
        <v>0.33391363829787235</v>
      </c>
    </row>
    <row r="74" spans="2:15" x14ac:dyDescent="0.4">
      <c r="B74" s="101">
        <v>50</v>
      </c>
      <c r="C74" s="102" t="s">
        <v>31</v>
      </c>
      <c r="D74" s="101" t="s">
        <v>31</v>
      </c>
      <c r="E74" s="101" t="s">
        <v>70</v>
      </c>
      <c r="F74" s="110">
        <v>0.43478260869565222</v>
      </c>
      <c r="G74" s="111">
        <f>F74*D$33</f>
        <v>19.565217391304351</v>
      </c>
      <c r="H74" s="105">
        <f t="shared" si="2"/>
        <v>5.3603335318642059E-2</v>
      </c>
      <c r="I74" s="106">
        <f t="shared" si="3"/>
        <v>49.565386956521749</v>
      </c>
      <c r="J74" s="110">
        <v>0.43478260869565222</v>
      </c>
      <c r="K74" s="107">
        <v>2.6889720000000001</v>
      </c>
      <c r="L74" s="107">
        <v>-0.18823500000000001</v>
      </c>
      <c r="M74" s="107">
        <v>3.2605000000000002E-2</v>
      </c>
      <c r="N74" s="107">
        <f t="shared" si="4"/>
        <v>2.5333420000000002</v>
      </c>
      <c r="O74" s="108">
        <f t="shared" si="5"/>
        <v>1.101453043478261</v>
      </c>
    </row>
    <row r="75" spans="2:15" x14ac:dyDescent="0.4">
      <c r="B75" s="101">
        <v>51</v>
      </c>
      <c r="C75" s="102" t="s">
        <v>31</v>
      </c>
      <c r="D75" s="101" t="s">
        <v>31</v>
      </c>
      <c r="E75" s="101" t="s">
        <v>66</v>
      </c>
      <c r="F75" s="110">
        <v>0.31521739130434784</v>
      </c>
      <c r="G75" s="111">
        <f>F75*D$33</f>
        <v>14.184782608695652</v>
      </c>
      <c r="H75" s="105">
        <f t="shared" si="2"/>
        <v>3.8862418106015484E-2</v>
      </c>
      <c r="I75" s="106">
        <f t="shared" si="3"/>
        <v>37.89660423913044</v>
      </c>
      <c r="J75" s="110">
        <v>0.31521739130434784</v>
      </c>
      <c r="K75" s="107">
        <v>2.9543300000000001</v>
      </c>
      <c r="L75" s="107">
        <v>-0.33082</v>
      </c>
      <c r="M75" s="107">
        <v>4.8127999999999997E-2</v>
      </c>
      <c r="N75" s="107">
        <f t="shared" si="4"/>
        <v>2.6716380000000002</v>
      </c>
      <c r="O75" s="108">
        <f t="shared" si="5"/>
        <v>0.8421467608695653</v>
      </c>
    </row>
    <row r="76" spans="2:15" x14ac:dyDescent="0.4">
      <c r="B76" s="101">
        <v>52</v>
      </c>
      <c r="C76" s="102" t="s">
        <v>31</v>
      </c>
      <c r="D76" s="101" t="s">
        <v>31</v>
      </c>
      <c r="E76" s="101" t="s">
        <v>71</v>
      </c>
      <c r="F76" s="110">
        <v>0.25000000000000006</v>
      </c>
      <c r="G76" s="111">
        <f>F76*D$33</f>
        <v>11.250000000000002</v>
      </c>
      <c r="H76" s="105">
        <f t="shared" si="2"/>
        <v>3.0821917808219183E-2</v>
      </c>
      <c r="I76" s="106">
        <f t="shared" si="3"/>
        <v>28.332945000000002</v>
      </c>
      <c r="J76" s="110">
        <v>0.25000000000000006</v>
      </c>
      <c r="K76" s="107">
        <v>2.6889720000000001</v>
      </c>
      <c r="L76" s="107">
        <v>-0.221641</v>
      </c>
      <c r="M76" s="107">
        <v>5.1152999999999997E-2</v>
      </c>
      <c r="N76" s="107">
        <f t="shared" si="4"/>
        <v>2.5184839999999999</v>
      </c>
      <c r="O76" s="108">
        <f t="shared" si="5"/>
        <v>0.6296210000000001</v>
      </c>
    </row>
    <row r="77" spans="2:15" x14ac:dyDescent="0.4">
      <c r="B77" s="92">
        <v>53</v>
      </c>
      <c r="C77" s="93" t="s">
        <v>125</v>
      </c>
      <c r="D77" s="92" t="s">
        <v>119</v>
      </c>
      <c r="E77" s="92" t="s">
        <v>153</v>
      </c>
      <c r="F77" s="100">
        <v>0.87</v>
      </c>
      <c r="G77" s="109">
        <f>F77*D$31</f>
        <v>13.92</v>
      </c>
      <c r="H77" s="96">
        <f t="shared" si="2"/>
        <v>3.8136986301369864E-2</v>
      </c>
      <c r="I77" s="97">
        <f t="shared" si="3"/>
        <v>5.7098587200000006</v>
      </c>
      <c r="J77" s="100">
        <v>0.87</v>
      </c>
      <c r="K77" s="98">
        <v>0.23339199999999999</v>
      </c>
      <c r="L77" s="98">
        <v>0.10185740000000001</v>
      </c>
      <c r="M77" s="112">
        <v>7.4941599999999997E-2</v>
      </c>
      <c r="N77" s="98">
        <f t="shared" si="4"/>
        <v>0.41019100000000003</v>
      </c>
      <c r="O77" s="99">
        <f t="shared" si="5"/>
        <v>0.35686617000000004</v>
      </c>
    </row>
    <row r="78" spans="2:15" s="62" customFormat="1" x14ac:dyDescent="0.4">
      <c r="B78" s="92">
        <v>55</v>
      </c>
      <c r="C78" s="93" t="s">
        <v>125</v>
      </c>
      <c r="D78" s="92" t="s">
        <v>119</v>
      </c>
      <c r="E78" s="92" t="s">
        <v>50</v>
      </c>
      <c r="F78" s="100">
        <v>0.13</v>
      </c>
      <c r="G78" s="109">
        <f>F78*D$31</f>
        <v>2.08</v>
      </c>
      <c r="H78" s="96">
        <f t="shared" si="2"/>
        <v>5.6986301369863013E-3</v>
      </c>
      <c r="I78" s="97">
        <f t="shared" si="3"/>
        <v>1.0867292799999999</v>
      </c>
      <c r="J78" s="100">
        <v>0.13</v>
      </c>
      <c r="K78" s="98">
        <v>0.41837200000000002</v>
      </c>
      <c r="L78" s="98">
        <v>0.10102999999999999</v>
      </c>
      <c r="M78" s="98">
        <v>3.0640000000000003E-3</v>
      </c>
      <c r="N78" s="98">
        <f t="shared" si="4"/>
        <v>0.52246599999999999</v>
      </c>
      <c r="O78" s="99">
        <f t="shared" si="5"/>
        <v>6.7920579999999994E-2</v>
      </c>
    </row>
    <row r="79" spans="2:15" x14ac:dyDescent="0.4">
      <c r="B79" s="101">
        <v>64</v>
      </c>
      <c r="C79" s="102" t="s">
        <v>26</v>
      </c>
      <c r="D79" s="101" t="s">
        <v>119</v>
      </c>
      <c r="E79" s="101" t="s">
        <v>153</v>
      </c>
      <c r="F79" s="110">
        <v>0.95</v>
      </c>
      <c r="G79" s="111">
        <f>F79*D$28</f>
        <v>14.25</v>
      </c>
      <c r="H79" s="105">
        <f t="shared" si="2"/>
        <v>3.9041095890410958E-2</v>
      </c>
      <c r="I79" s="106">
        <f t="shared" si="3"/>
        <v>79.842788678571424</v>
      </c>
      <c r="J79" s="110">
        <v>0.95</v>
      </c>
      <c r="K79" s="107">
        <v>3.0364174285714287</v>
      </c>
      <c r="L79" s="107">
        <v>0.69458014285714287</v>
      </c>
      <c r="M79" s="107">
        <v>1.8720051428571429</v>
      </c>
      <c r="N79" s="107">
        <f t="shared" si="4"/>
        <v>5.6030027142857142</v>
      </c>
      <c r="O79" s="108">
        <f t="shared" si="5"/>
        <v>5.3228525785714282</v>
      </c>
    </row>
    <row r="80" spans="2:15" s="62" customFormat="1" x14ac:dyDescent="0.4">
      <c r="B80" s="101">
        <v>72</v>
      </c>
      <c r="C80" s="102" t="s">
        <v>26</v>
      </c>
      <c r="D80" s="101" t="s">
        <v>119</v>
      </c>
      <c r="E80" s="101" t="s">
        <v>50</v>
      </c>
      <c r="F80" s="110">
        <v>0.05</v>
      </c>
      <c r="G80" s="111">
        <f>F80*D$28</f>
        <v>0.75</v>
      </c>
      <c r="H80" s="105">
        <f t="shared" si="2"/>
        <v>2.054794520547945E-3</v>
      </c>
      <c r="I80" s="106">
        <f t="shared" si="3"/>
        <v>2.9973498749999998</v>
      </c>
      <c r="J80" s="110">
        <v>0.05</v>
      </c>
      <c r="K80" s="107">
        <v>3.1400224999999997</v>
      </c>
      <c r="L80" s="107">
        <v>0.84133849999999999</v>
      </c>
      <c r="M80" s="107">
        <v>1.5105500000000001E-2</v>
      </c>
      <c r="N80" s="107">
        <f t="shared" si="4"/>
        <v>3.9964664999999999</v>
      </c>
      <c r="O80" s="108">
        <f t="shared" si="5"/>
        <v>0.199823325</v>
      </c>
    </row>
    <row r="81" spans="2:15" x14ac:dyDescent="0.4">
      <c r="B81" s="92">
        <v>73</v>
      </c>
      <c r="C81" s="93" t="s">
        <v>27</v>
      </c>
      <c r="D81" s="92" t="s">
        <v>119</v>
      </c>
      <c r="E81" s="92" t="s">
        <v>153</v>
      </c>
      <c r="F81" s="100">
        <v>0.98</v>
      </c>
      <c r="G81" s="109">
        <f>F81*D$29</f>
        <v>5.879999999999999</v>
      </c>
      <c r="H81" s="96">
        <f t="shared" si="2"/>
        <v>1.6109589041095888E-2</v>
      </c>
      <c r="I81" s="97">
        <f t="shared" si="3"/>
        <v>30.949749782174994</v>
      </c>
      <c r="J81" s="100">
        <v>0.98</v>
      </c>
      <c r="K81" s="98">
        <v>4.2625649156249992</v>
      </c>
      <c r="L81" s="98">
        <v>0.84579806062499996</v>
      </c>
      <c r="M81" s="98">
        <v>0.15519991187499996</v>
      </c>
      <c r="N81" s="98">
        <f t="shared" si="4"/>
        <v>5.2635628881249996</v>
      </c>
      <c r="O81" s="99">
        <f t="shared" si="5"/>
        <v>5.1582916303624993</v>
      </c>
    </row>
    <row r="82" spans="2:15" s="62" customFormat="1" x14ac:dyDescent="0.4">
      <c r="B82" s="92">
        <v>77</v>
      </c>
      <c r="C82" s="93" t="s">
        <v>27</v>
      </c>
      <c r="D82" s="92" t="s">
        <v>119</v>
      </c>
      <c r="E82" s="92" t="s">
        <v>50</v>
      </c>
      <c r="F82" s="100">
        <v>0.02</v>
      </c>
      <c r="G82" s="109">
        <f>F82*D$29</f>
        <v>0.11999999999999998</v>
      </c>
      <c r="H82" s="96">
        <f t="shared" si="2"/>
        <v>3.2876712328767119E-4</v>
      </c>
      <c r="I82" s="97">
        <f t="shared" si="3"/>
        <v>0.61663493039999995</v>
      </c>
      <c r="J82" s="100">
        <v>0.02</v>
      </c>
      <c r="K82" s="98">
        <v>4.5079172600000001</v>
      </c>
      <c r="L82" s="98">
        <v>0.61092601000000002</v>
      </c>
      <c r="M82" s="98">
        <v>1.9781150000000001E-2</v>
      </c>
      <c r="N82" s="98">
        <f t="shared" si="4"/>
        <v>5.1386244200000002</v>
      </c>
      <c r="O82" s="99">
        <f t="shared" si="5"/>
        <v>0.1027724884</v>
      </c>
    </row>
  </sheetData>
  <mergeCells count="1">
    <mergeCell ref="N22:N34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D6821-374B-44D5-91BF-1E127E4A016D}">
  <sheetPr codeName="Sheet12">
    <tabColor theme="0"/>
  </sheetPr>
  <dimension ref="B1:O91"/>
  <sheetViews>
    <sheetView showGridLines="0" topLeftCell="A10" zoomScale="85" zoomScaleNormal="85" workbookViewId="0">
      <selection activeCell="H26" sqref="H26"/>
    </sheetView>
  </sheetViews>
  <sheetFormatPr defaultColWidth="8.73046875" defaultRowHeight="13.15" x14ac:dyDescent="0.4"/>
  <cols>
    <col min="1" max="1" width="2.3984375" style="5" customWidth="1"/>
    <col min="2" max="2" width="28.86328125" style="5" customWidth="1"/>
    <col min="3" max="3" width="27.59765625" style="5" bestFit="1" customWidth="1"/>
    <col min="4" max="4" width="21" style="5" customWidth="1"/>
    <col min="5" max="5" width="31.1328125" style="5" customWidth="1"/>
    <col min="6" max="6" width="30.73046875" style="5" customWidth="1"/>
    <col min="7" max="7" width="25.265625" style="5" customWidth="1"/>
    <col min="8" max="10" width="30.73046875" style="5" customWidth="1"/>
    <col min="11" max="14" width="21.59765625" style="5" customWidth="1"/>
    <col min="15" max="15" width="25.86328125" style="5" customWidth="1"/>
    <col min="16" max="16" width="11.265625" style="5" customWidth="1"/>
    <col min="17" max="17" width="8.73046875" style="5"/>
    <col min="18" max="18" width="12.1328125" style="5" customWidth="1"/>
    <col min="19" max="19" width="28.3984375" style="5" customWidth="1"/>
    <col min="20" max="20" width="27.59765625" style="5" customWidth="1"/>
    <col min="21" max="16384" width="8.73046875" style="5"/>
  </cols>
  <sheetData>
    <row r="1" spans="2:15" x14ac:dyDescent="0.4">
      <c r="B1" s="22" t="s">
        <v>0</v>
      </c>
      <c r="E1" s="31"/>
      <c r="F1" s="31"/>
      <c r="G1" s="31"/>
    </row>
    <row r="2" spans="2:15" x14ac:dyDescent="0.4">
      <c r="B2" s="31"/>
      <c r="C2" s="123" t="s">
        <v>157</v>
      </c>
      <c r="D2" s="123" t="s">
        <v>158</v>
      </c>
      <c r="E2" s="123" t="s">
        <v>159</v>
      </c>
      <c r="F2" s="31"/>
      <c r="G2" s="31"/>
    </row>
    <row r="3" spans="2:15" ht="28.5" x14ac:dyDescent="0.4">
      <c r="B3" s="130" t="s">
        <v>1</v>
      </c>
      <c r="C3" s="119">
        <f>SUM(F28:F40)</f>
        <v>929.41751284347936</v>
      </c>
      <c r="D3" s="86">
        <v>929.41751284347959</v>
      </c>
      <c r="E3" s="87">
        <f>(D3-C3)/D3</f>
        <v>2.4464104915303375E-16</v>
      </c>
      <c r="F3" s="31"/>
      <c r="G3" s="31"/>
      <c r="K3" s="83">
        <v>929.41751284347959</v>
      </c>
      <c r="L3" s="28"/>
      <c r="M3" s="28"/>
      <c r="N3" s="28"/>
      <c r="O3" s="28">
        <f>(K3-C3)/K3*100</f>
        <v>2.4464104915303375E-14</v>
      </c>
    </row>
    <row r="4" spans="2:15" ht="24" customHeight="1" x14ac:dyDescent="0.4">
      <c r="B4" s="131" t="s">
        <v>212</v>
      </c>
      <c r="C4" s="119">
        <f>SUM(F28:F40)-SUM(F28:F35)*D22-F28*D21-SUM(F28:F35)*D20+SUM(C28:C35)*D20*SUM(D28:D35)*O89+C28*D21*D28*O90+SUM(C28:C35)*D22*SUM(D28:D35)*O91</f>
        <v>929.41751284347936</v>
      </c>
      <c r="D4" s="84"/>
      <c r="E4" s="85"/>
      <c r="F4" s="31"/>
      <c r="G4" s="31"/>
    </row>
    <row r="5" spans="2:15" x14ac:dyDescent="0.4">
      <c r="E5" s="31"/>
      <c r="F5" s="31"/>
      <c r="G5" s="31"/>
    </row>
    <row r="6" spans="2:15" x14ac:dyDescent="0.4">
      <c r="B6" s="22" t="s">
        <v>3</v>
      </c>
      <c r="E6" s="31"/>
      <c r="F6" s="31"/>
      <c r="G6" s="31"/>
      <c r="H6" s="34"/>
      <c r="I6" s="34"/>
      <c r="J6" s="34"/>
      <c r="K6" s="28"/>
    </row>
    <row r="7" spans="2:15" x14ac:dyDescent="0.4">
      <c r="B7" s="22"/>
      <c r="C7" s="122" t="s">
        <v>160</v>
      </c>
      <c r="E7" s="31"/>
      <c r="F7" s="31"/>
      <c r="G7" s="31"/>
      <c r="H7" s="34"/>
      <c r="I7" s="34"/>
      <c r="J7" s="34"/>
      <c r="K7" s="28"/>
    </row>
    <row r="8" spans="2:15" ht="26.25" x14ac:dyDescent="0.4">
      <c r="B8" s="33" t="s">
        <v>2</v>
      </c>
      <c r="C8" s="35">
        <v>365</v>
      </c>
      <c r="D8" s="32"/>
    </row>
    <row r="9" spans="2:15" x14ac:dyDescent="0.4">
      <c r="B9" s="22"/>
      <c r="E9" s="31"/>
      <c r="F9" s="34"/>
      <c r="G9" s="34"/>
      <c r="H9" s="34"/>
      <c r="I9" s="34"/>
      <c r="J9" s="34"/>
      <c r="K9" s="28"/>
    </row>
    <row r="10" spans="2:15" x14ac:dyDescent="0.4">
      <c r="B10" s="16" t="s">
        <v>4</v>
      </c>
      <c r="D10" s="122" t="s">
        <v>139</v>
      </c>
      <c r="E10" s="31"/>
      <c r="F10" s="34"/>
      <c r="G10" s="34"/>
      <c r="H10" s="34"/>
      <c r="I10" s="34"/>
      <c r="J10" s="34"/>
      <c r="K10" s="28"/>
    </row>
    <row r="11" spans="2:15" x14ac:dyDescent="0.4">
      <c r="B11" s="23" t="s">
        <v>6</v>
      </c>
      <c r="C11" s="30">
        <f>SUM(C28:C35)</f>
        <v>0.29041095890410956</v>
      </c>
      <c r="D11" s="15">
        <v>0.25</v>
      </c>
      <c r="E11" s="31"/>
      <c r="F11" s="34"/>
      <c r="G11" s="34"/>
      <c r="H11" s="34"/>
      <c r="I11" s="34"/>
      <c r="J11" s="34"/>
      <c r="K11" s="28"/>
    </row>
    <row r="12" spans="2:15" x14ac:dyDescent="0.4">
      <c r="B12" s="23" t="s">
        <v>7</v>
      </c>
      <c r="C12" s="30">
        <f>SUM(C39:C40)</f>
        <v>0.24931506849315072</v>
      </c>
      <c r="D12" s="15">
        <v>0.25</v>
      </c>
      <c r="E12" s="31"/>
      <c r="F12" s="34"/>
      <c r="G12" s="34"/>
      <c r="H12" s="34"/>
      <c r="I12" s="34"/>
      <c r="J12" s="34"/>
      <c r="K12" s="28"/>
    </row>
    <row r="13" spans="2:15" x14ac:dyDescent="0.4">
      <c r="B13" s="23" t="s">
        <v>8</v>
      </c>
      <c r="C13" s="30">
        <f>SUM(C36:C38)</f>
        <v>0.46027397260273972</v>
      </c>
      <c r="D13" s="15">
        <v>0.5</v>
      </c>
      <c r="E13" s="31"/>
      <c r="F13" s="34"/>
      <c r="G13" s="34"/>
      <c r="H13" s="34"/>
      <c r="I13" s="34"/>
      <c r="J13" s="34"/>
      <c r="K13" s="28"/>
    </row>
    <row r="14" spans="2:15" x14ac:dyDescent="0.4">
      <c r="E14" s="31"/>
      <c r="F14" s="34"/>
      <c r="G14" s="34"/>
      <c r="H14" s="34"/>
      <c r="I14" s="34"/>
      <c r="J14" s="34"/>
      <c r="K14" s="28"/>
    </row>
    <row r="15" spans="2:15" x14ac:dyDescent="0.4">
      <c r="B15" s="16" t="s">
        <v>140</v>
      </c>
      <c r="D15" s="122" t="s">
        <v>139</v>
      </c>
      <c r="E15" s="31"/>
      <c r="F15" s="34"/>
      <c r="G15" s="34"/>
      <c r="H15" s="34"/>
      <c r="I15" s="34"/>
      <c r="J15" s="34"/>
      <c r="K15" s="28"/>
    </row>
    <row r="16" spans="2:15" x14ac:dyDescent="0.4">
      <c r="B16" s="18" t="s">
        <v>141</v>
      </c>
      <c r="C16" s="64">
        <f>((F66*D33)+(F77*D38)+(F84*D37)+(F86*D34)+(F88*D35))/C8</f>
        <v>2.610958904109589E-2</v>
      </c>
      <c r="D16" s="19">
        <v>0.3</v>
      </c>
      <c r="E16" s="31"/>
      <c r="F16" s="34"/>
      <c r="G16" s="34"/>
      <c r="H16" s="34"/>
      <c r="I16" s="34"/>
      <c r="J16" s="34"/>
      <c r="K16" s="63"/>
    </row>
    <row r="17" spans="2:14" x14ac:dyDescent="0.4">
      <c r="B17" s="18" t="s">
        <v>142</v>
      </c>
      <c r="C17" s="64">
        <f>(SUM(F45:F47)*D31+SUM(F48:F49)*D32+SUM(F50:F51)*D29+SUM(F52:F58)*D30+SUM(F59:F64)*D28+SUM(F65)*D33+SUM(F67:F75)*D36+SUM(F76)*D38+SUM(F78:F79)*D40+SUM(F80:F82)*D39+SUM(F83)*D37+SUM(F85)*D34+SUM(F87)*D35)/C8</f>
        <v>0.97389041095890405</v>
      </c>
      <c r="D17" s="19">
        <v>0.7</v>
      </c>
      <c r="E17" s="31"/>
      <c r="F17" s="34"/>
      <c r="G17" s="34"/>
      <c r="H17" s="34"/>
      <c r="I17" s="34"/>
      <c r="J17" s="34"/>
      <c r="K17" s="28"/>
    </row>
    <row r="18" spans="2:14" x14ac:dyDescent="0.4">
      <c r="B18" s="39"/>
      <c r="C18" s="70"/>
      <c r="D18" s="71"/>
      <c r="E18" s="31"/>
      <c r="F18" s="34"/>
      <c r="G18" s="34"/>
      <c r="H18" s="34"/>
      <c r="I18" s="34"/>
      <c r="J18" s="34"/>
      <c r="K18" s="28"/>
    </row>
    <row r="19" spans="2:14" x14ac:dyDescent="0.4">
      <c r="B19" s="22"/>
      <c r="C19" s="17" t="s">
        <v>213</v>
      </c>
      <c r="D19" s="17" t="s">
        <v>214</v>
      </c>
      <c r="E19" s="31"/>
      <c r="F19" s="34"/>
      <c r="G19" s="34"/>
      <c r="H19" s="34"/>
      <c r="I19" s="34"/>
      <c r="J19" s="34"/>
      <c r="K19" s="28"/>
    </row>
    <row r="20" spans="2:14" x14ac:dyDescent="0.4">
      <c r="B20" s="72" t="s">
        <v>215</v>
      </c>
      <c r="C20" s="19">
        <v>0.6</v>
      </c>
      <c r="D20" s="68">
        <v>0</v>
      </c>
      <c r="E20" s="31"/>
      <c r="F20" s="34"/>
      <c r="G20" s="34"/>
      <c r="H20" s="34"/>
      <c r="I20" s="34"/>
      <c r="J20" s="34"/>
      <c r="K20" s="28"/>
    </row>
    <row r="21" spans="2:14" ht="39.4" x14ac:dyDescent="0.4">
      <c r="B21" s="74" t="s">
        <v>216</v>
      </c>
      <c r="C21" s="19">
        <v>0.55000000000000004</v>
      </c>
      <c r="D21" s="68">
        <v>0</v>
      </c>
      <c r="E21" s="31" t="s">
        <v>217</v>
      </c>
      <c r="F21" s="34"/>
      <c r="G21" s="34"/>
      <c r="H21" s="34"/>
      <c r="I21" s="34"/>
      <c r="J21" s="34"/>
      <c r="K21" s="28"/>
    </row>
    <row r="22" spans="2:14" ht="26.25" x14ac:dyDescent="0.4">
      <c r="B22" s="72" t="s">
        <v>218</v>
      </c>
      <c r="C22" s="19">
        <v>0.99</v>
      </c>
      <c r="D22" s="68">
        <v>0</v>
      </c>
      <c r="E22" s="31" t="s">
        <v>219</v>
      </c>
      <c r="F22" s="34"/>
      <c r="G22" s="34"/>
      <c r="H22" s="34"/>
      <c r="I22" s="34"/>
      <c r="J22" s="34"/>
      <c r="K22" s="28"/>
    </row>
    <row r="23" spans="2:14" x14ac:dyDescent="0.4">
      <c r="B23" s="39"/>
      <c r="C23" s="70"/>
      <c r="D23" s="71"/>
      <c r="E23" s="31"/>
      <c r="F23" s="34"/>
      <c r="G23" s="34"/>
      <c r="H23" s="34"/>
      <c r="I23" s="34"/>
      <c r="J23" s="34"/>
      <c r="K23" s="28"/>
    </row>
    <row r="24" spans="2:14" x14ac:dyDescent="0.4">
      <c r="B24" s="22" t="s">
        <v>13</v>
      </c>
      <c r="C24" s="37"/>
      <c r="J24" s="22" t="s">
        <v>203</v>
      </c>
    </row>
    <row r="25" spans="2:14" x14ac:dyDescent="0.4">
      <c r="B25" s="36"/>
      <c r="C25" s="37"/>
    </row>
    <row r="26" spans="2:14" x14ac:dyDescent="0.4">
      <c r="B26" s="39" t="s">
        <v>14</v>
      </c>
      <c r="H26" s="230" t="s">
        <v>240</v>
      </c>
      <c r="J26" s="121" t="s">
        <v>163</v>
      </c>
      <c r="N26" s="121" t="s">
        <v>204</v>
      </c>
    </row>
    <row r="27" spans="2:14" ht="39.4" x14ac:dyDescent="0.4">
      <c r="B27" s="21" t="s">
        <v>15</v>
      </c>
      <c r="C27" s="26" t="s">
        <v>205</v>
      </c>
      <c r="D27" s="26" t="s">
        <v>17</v>
      </c>
      <c r="E27" s="26" t="s">
        <v>18</v>
      </c>
      <c r="F27" s="26" t="s">
        <v>19</v>
      </c>
      <c r="G27" s="124" t="s">
        <v>165</v>
      </c>
      <c r="H27" s="125" t="s">
        <v>220</v>
      </c>
      <c r="I27" s="34"/>
      <c r="J27" s="21" t="s">
        <v>15</v>
      </c>
      <c r="K27" s="26" t="s">
        <v>206</v>
      </c>
      <c r="L27" s="26" t="s">
        <v>168</v>
      </c>
      <c r="M27" s="21" t="s">
        <v>207</v>
      </c>
      <c r="N27" s="21" t="s">
        <v>208</v>
      </c>
    </row>
    <row r="28" spans="2:14" x14ac:dyDescent="0.4">
      <c r="B28" s="20" t="s">
        <v>20</v>
      </c>
      <c r="C28" s="78">
        <f>H59+H60+H61+H62+H63+H64</f>
        <v>8.2191780821917783E-3</v>
      </c>
      <c r="D28" s="24">
        <v>2.9999999999999996</v>
      </c>
      <c r="E28" s="49">
        <f>SUM(O59:O64)</f>
        <v>24.291314857142858</v>
      </c>
      <c r="F28" s="49">
        <f>SUM(I59:I64)</f>
        <v>72.873944571428567</v>
      </c>
      <c r="G28" s="126">
        <v>8.21917808219178E-3</v>
      </c>
      <c r="H28" s="127">
        <f>G28-C28</f>
        <v>0</v>
      </c>
      <c r="I28" s="34"/>
      <c r="J28" s="20" t="s">
        <v>20</v>
      </c>
      <c r="K28" s="27">
        <f>0.821917808219178%*(1-M28)</f>
        <v>6.5753424657534242E-3</v>
      </c>
      <c r="L28" s="65">
        <f>SUM(F59:F64)</f>
        <v>1</v>
      </c>
      <c r="M28" s="76">
        <v>0.2</v>
      </c>
      <c r="N28" s="218">
        <v>0.01</v>
      </c>
    </row>
    <row r="29" spans="2:14" x14ac:dyDescent="0.4">
      <c r="B29" s="20" t="s">
        <v>21</v>
      </c>
      <c r="C29" s="78">
        <f>H50+H51</f>
        <v>5.4794520547945206E-3</v>
      </c>
      <c r="D29" s="24">
        <v>2</v>
      </c>
      <c r="E29" s="49">
        <f>SUM(O50:O51)</f>
        <v>16.406103899999998</v>
      </c>
      <c r="F29" s="49">
        <f>SUM(I50:I51)</f>
        <v>32.812207799999996</v>
      </c>
      <c r="G29" s="126">
        <v>5.4794520547945206E-3</v>
      </c>
      <c r="H29" s="127">
        <f t="shared" ref="H29:H40" si="0">G29-C29</f>
        <v>0</v>
      </c>
      <c r="I29" s="34"/>
      <c r="J29" s="20" t="s">
        <v>21</v>
      </c>
      <c r="K29" s="27">
        <f>0.547945205479452%*(1-M29)</f>
        <v>4.383561643835617E-3</v>
      </c>
      <c r="L29" s="65">
        <f>SUM(F50:F51)</f>
        <v>1</v>
      </c>
      <c r="M29" s="76">
        <v>0.2</v>
      </c>
      <c r="N29" s="219"/>
    </row>
    <row r="30" spans="2:14" x14ac:dyDescent="0.4">
      <c r="B30" s="20" t="s">
        <v>22</v>
      </c>
      <c r="C30" s="78">
        <f>H52+H53+H54+H55+H56+H57+H58</f>
        <v>6.0273972602739721E-2</v>
      </c>
      <c r="D30" s="24">
        <v>22</v>
      </c>
      <c r="E30" s="49">
        <f>SUM(O52:O58)</f>
        <v>11.945393876296295</v>
      </c>
      <c r="F30" s="49">
        <f>SUM(I52:I58)</f>
        <v>262.79866527851846</v>
      </c>
      <c r="G30" s="126">
        <v>6.0273972602739728E-2</v>
      </c>
      <c r="H30" s="127">
        <f t="shared" si="0"/>
        <v>0</v>
      </c>
      <c r="I30" s="34"/>
      <c r="J30" s="20" t="s">
        <v>22</v>
      </c>
      <c r="K30" s="27">
        <f>6.02739726027397%*(1-M30)</f>
        <v>4.8219178082191762E-2</v>
      </c>
      <c r="L30" s="65">
        <f>SUM(F52:F58)</f>
        <v>0.99999999999999989</v>
      </c>
      <c r="M30" s="76">
        <v>0.2</v>
      </c>
      <c r="N30" s="219"/>
    </row>
    <row r="31" spans="2:14" x14ac:dyDescent="0.4">
      <c r="B31" s="20" t="s">
        <v>23</v>
      </c>
      <c r="C31" s="78">
        <f>H45+H46+H47</f>
        <v>9.3150684931506855E-2</v>
      </c>
      <c r="D31" s="24">
        <v>34</v>
      </c>
      <c r="E31" s="49">
        <f>SUM(O45:O47)</f>
        <v>3.5247584216867471</v>
      </c>
      <c r="F31" s="49">
        <f>SUM(I45:I47)</f>
        <v>119.84178633734939</v>
      </c>
      <c r="G31" s="126">
        <v>9.3150684931506855E-2</v>
      </c>
      <c r="H31" s="127">
        <f t="shared" si="0"/>
        <v>0</v>
      </c>
      <c r="I31" s="34"/>
      <c r="J31" s="20" t="s">
        <v>23</v>
      </c>
      <c r="K31" s="27">
        <f>9.31506849315068%*(1-M31)</f>
        <v>7.4520547945205448E-2</v>
      </c>
      <c r="L31" s="65">
        <f>SUM(F45:F47)</f>
        <v>1</v>
      </c>
      <c r="M31" s="76">
        <v>0.2</v>
      </c>
      <c r="N31" s="219"/>
    </row>
    <row r="32" spans="2:14" x14ac:dyDescent="0.4">
      <c r="B32" s="20" t="s">
        <v>24</v>
      </c>
      <c r="C32" s="78">
        <f>H48+H49</f>
        <v>5.4794520547945206E-3</v>
      </c>
      <c r="D32" s="24">
        <v>2</v>
      </c>
      <c r="E32" s="49">
        <f>SUM(O48:O49)</f>
        <v>4.2112411489361712</v>
      </c>
      <c r="F32" s="49">
        <f>SUM(I48:I49)</f>
        <v>8.4224822978723424</v>
      </c>
      <c r="G32" s="126">
        <v>5.4794520547945206E-3</v>
      </c>
      <c r="H32" s="127">
        <f t="shared" si="0"/>
        <v>0</v>
      </c>
      <c r="I32" s="34"/>
      <c r="J32" s="20" t="s">
        <v>24</v>
      </c>
      <c r="K32" s="27">
        <f>0.547945205479452%*(1-M32)</f>
        <v>4.383561643835617E-3</v>
      </c>
      <c r="L32" s="65">
        <f>SUM(F48:F49)</f>
        <v>1</v>
      </c>
      <c r="M32" s="76">
        <v>0.2</v>
      </c>
      <c r="N32" s="219"/>
    </row>
    <row r="33" spans="2:15" x14ac:dyDescent="0.4">
      <c r="B33" s="20" t="s">
        <v>25</v>
      </c>
      <c r="C33" s="78">
        <f>H65+H66</f>
        <v>6.0273972602739728E-2</v>
      </c>
      <c r="D33" s="24">
        <v>22</v>
      </c>
      <c r="E33" s="49">
        <f>SUM(O65:O66)</f>
        <v>3.0794528699999999</v>
      </c>
      <c r="F33" s="49">
        <f>SUM(I65:I66)</f>
        <v>67.747963139999996</v>
      </c>
      <c r="G33" s="126">
        <v>6.0273972602739728E-2</v>
      </c>
      <c r="H33" s="127">
        <f t="shared" si="0"/>
        <v>0</v>
      </c>
      <c r="I33" s="34"/>
      <c r="J33" s="20" t="s">
        <v>25</v>
      </c>
      <c r="K33" s="27">
        <f>6.02739726027397%*(1-M33)</f>
        <v>4.8219178082191762E-2</v>
      </c>
      <c r="L33" s="65">
        <f>SUM(F65:F66)</f>
        <v>1</v>
      </c>
      <c r="M33" s="76">
        <v>0.2</v>
      </c>
      <c r="N33" s="219"/>
    </row>
    <row r="34" spans="2:15" x14ac:dyDescent="0.4">
      <c r="B34" s="20" t="s">
        <v>26</v>
      </c>
      <c r="C34" s="78">
        <f>H85+H86</f>
        <v>4.1095890410958902E-2</v>
      </c>
      <c r="D34" s="24">
        <v>15</v>
      </c>
      <c r="E34" s="49">
        <f>SUM(O85:O86)</f>
        <v>5.5226759035714279</v>
      </c>
      <c r="F34" s="49">
        <f>SUM(I85:I86)</f>
        <v>82.840138553571421</v>
      </c>
      <c r="G34" s="126">
        <v>4.1095890410958902E-2</v>
      </c>
      <c r="H34" s="127">
        <f t="shared" si="0"/>
        <v>0</v>
      </c>
      <c r="I34" s="34"/>
      <c r="J34" s="20" t="s">
        <v>26</v>
      </c>
      <c r="K34" s="27">
        <f>4.10958904109589%*(1-M34)</f>
        <v>3.287671232876712E-2</v>
      </c>
      <c r="L34" s="65">
        <f>SUM(F85:F86)</f>
        <v>1</v>
      </c>
      <c r="M34" s="76">
        <v>0.2</v>
      </c>
      <c r="N34" s="219"/>
    </row>
    <row r="35" spans="2:15" x14ac:dyDescent="0.4">
      <c r="B35" s="20" t="s">
        <v>27</v>
      </c>
      <c r="C35" s="78">
        <f>H87+H88</f>
        <v>1.643835616438356E-2</v>
      </c>
      <c r="D35" s="24">
        <v>5.9999999999999991</v>
      </c>
      <c r="E35" s="49">
        <f>SUM(O87:O88)</f>
        <v>5.2610641187624996</v>
      </c>
      <c r="F35" s="49">
        <f>SUM(I87:I88)</f>
        <v>31.566384712574994</v>
      </c>
      <c r="G35" s="126">
        <v>1.643835616438356E-2</v>
      </c>
      <c r="H35" s="127">
        <f t="shared" si="0"/>
        <v>0</v>
      </c>
      <c r="I35" s="34"/>
      <c r="J35" s="20" t="s">
        <v>27</v>
      </c>
      <c r="K35" s="27">
        <f>1.64383561643836%*(1-M35)</f>
        <v>1.3150684931506881E-2</v>
      </c>
      <c r="L35" s="65">
        <f>SUM(F87:F88)</f>
        <v>1</v>
      </c>
      <c r="M35" s="76">
        <v>0.2</v>
      </c>
      <c r="N35" s="219"/>
    </row>
    <row r="36" spans="2:15" x14ac:dyDescent="0.4">
      <c r="B36" s="20" t="s">
        <v>28</v>
      </c>
      <c r="C36" s="78">
        <f>H67+H68+H69+H70+H71+H72+H73+H74+H75</f>
        <v>0.19726027397260273</v>
      </c>
      <c r="D36" s="24">
        <v>72</v>
      </c>
      <c r="E36" s="49">
        <f>SUM(O67:O75)</f>
        <v>0.4049254074889867</v>
      </c>
      <c r="F36" s="49">
        <f>SUM(I67:I75)</f>
        <v>29.154629339207048</v>
      </c>
      <c r="G36" s="126">
        <v>0.19726027397260273</v>
      </c>
      <c r="H36" s="127">
        <f t="shared" si="0"/>
        <v>0</v>
      </c>
      <c r="I36" s="34"/>
      <c r="J36" s="20" t="s">
        <v>28</v>
      </c>
      <c r="K36" s="27">
        <f>19.7260273972603%*(1-M36)</f>
        <v>0.15780821917808241</v>
      </c>
      <c r="L36" s="65">
        <f>SUM(F67:F75)</f>
        <v>1</v>
      </c>
      <c r="M36" s="76">
        <v>0.2</v>
      </c>
      <c r="N36" s="219"/>
    </row>
    <row r="37" spans="2:15" x14ac:dyDescent="0.4">
      <c r="B37" s="20" t="s">
        <v>29</v>
      </c>
      <c r="C37" s="78">
        <f>H83+H84</f>
        <v>4.3835616438356165E-2</v>
      </c>
      <c r="D37" s="24">
        <v>16</v>
      </c>
      <c r="E37" s="49">
        <f>SUM(O83:O84)</f>
        <v>0.42478675000000005</v>
      </c>
      <c r="F37" s="49">
        <f>SUM(I83:I84)</f>
        <v>6.7965880000000007</v>
      </c>
      <c r="G37" s="126">
        <v>4.3835616438356165E-2</v>
      </c>
      <c r="H37" s="127">
        <f t="shared" si="0"/>
        <v>0</v>
      </c>
      <c r="I37" s="34"/>
      <c r="J37" s="20" t="s">
        <v>29</v>
      </c>
      <c r="K37" s="27">
        <f>4.38356164383562%*(1-M37)</f>
        <v>3.5068493150684964E-2</v>
      </c>
      <c r="L37" s="65">
        <f>SUM(F83:F84)</f>
        <v>1</v>
      </c>
      <c r="M37" s="76">
        <v>0.2</v>
      </c>
      <c r="N37" s="219"/>
    </row>
    <row r="38" spans="2:15" x14ac:dyDescent="0.4">
      <c r="B38" s="20" t="s">
        <v>30</v>
      </c>
      <c r="C38" s="78">
        <f>H76+H77</f>
        <v>0.21917808219178081</v>
      </c>
      <c r="D38" s="24">
        <v>80</v>
      </c>
      <c r="E38" s="49">
        <f>SUM(O76:O77)</f>
        <v>0.81906525133333319</v>
      </c>
      <c r="F38" s="49">
        <f>SUM(I76:I77)</f>
        <v>65.525220106666652</v>
      </c>
      <c r="G38" s="126">
        <v>0.21917808219178081</v>
      </c>
      <c r="H38" s="127">
        <f t="shared" si="0"/>
        <v>0</v>
      </c>
      <c r="I38" s="34"/>
      <c r="J38" s="20" t="s">
        <v>30</v>
      </c>
      <c r="K38" s="27">
        <f>21.9178082191781%*(1-M38)</f>
        <v>0.1753424657534248</v>
      </c>
      <c r="L38" s="65">
        <f>SUM(F76:F77)</f>
        <v>1</v>
      </c>
      <c r="M38" s="76">
        <v>0.2</v>
      </c>
      <c r="N38" s="219"/>
    </row>
    <row r="39" spans="2:15" x14ac:dyDescent="0.4">
      <c r="B39" s="20" t="s">
        <v>31</v>
      </c>
      <c r="C39" s="78">
        <f>H80+H81+H82</f>
        <v>0.12328767123287673</v>
      </c>
      <c r="D39" s="24">
        <v>45</v>
      </c>
      <c r="E39" s="49">
        <f>SUM(O80:O82)</f>
        <v>2.5732208043478266</v>
      </c>
      <c r="F39" s="49">
        <f>SUM(I80:I82)</f>
        <v>115.79493619565218</v>
      </c>
      <c r="G39" s="126">
        <v>0.12328767123287671</v>
      </c>
      <c r="H39" s="127">
        <f t="shared" si="0"/>
        <v>0</v>
      </c>
      <c r="I39" s="34"/>
      <c r="J39" s="20" t="s">
        <v>31</v>
      </c>
      <c r="K39" s="27">
        <f>12.3287671232877%*(1-M39)</f>
        <v>9.8630136986301603E-2</v>
      </c>
      <c r="L39" s="65">
        <f>SUM(F80:F82)</f>
        <v>1</v>
      </c>
      <c r="M39" s="76">
        <v>0.2</v>
      </c>
      <c r="N39" s="219"/>
    </row>
    <row r="40" spans="2:15" x14ac:dyDescent="0.4">
      <c r="B40" s="20" t="s">
        <v>32</v>
      </c>
      <c r="C40" s="78">
        <f>H78+H79</f>
        <v>0.12602739726027398</v>
      </c>
      <c r="D40" s="24">
        <v>46</v>
      </c>
      <c r="E40" s="49">
        <f>SUM(O78:O79)</f>
        <v>0.72266448936170213</v>
      </c>
      <c r="F40" s="49">
        <f>SUM(I78:I79)</f>
        <v>33.242566510638298</v>
      </c>
      <c r="G40" s="126">
        <v>0.12602739726027398</v>
      </c>
      <c r="H40" s="127">
        <f t="shared" si="0"/>
        <v>0</v>
      </c>
      <c r="I40" s="34"/>
      <c r="J40" s="20" t="s">
        <v>32</v>
      </c>
      <c r="K40" s="27">
        <f>12.6027397260274%*(1-M40)</f>
        <v>0.10082191780821921</v>
      </c>
      <c r="L40" s="65">
        <f>SUM(F78:F79)</f>
        <v>1</v>
      </c>
      <c r="M40" s="76">
        <v>0.2</v>
      </c>
      <c r="N40" s="220"/>
    </row>
    <row r="41" spans="2:15" s="14" customFormat="1" x14ac:dyDescent="0.4">
      <c r="D41" s="75"/>
    </row>
    <row r="42" spans="2:15" x14ac:dyDescent="0.4">
      <c r="C42" s="61"/>
      <c r="D42" s="25"/>
    </row>
    <row r="43" spans="2:15" x14ac:dyDescent="0.4">
      <c r="B43" s="22" t="s">
        <v>143</v>
      </c>
      <c r="F43" s="123" t="s">
        <v>161</v>
      </c>
      <c r="K43" s="25"/>
    </row>
    <row r="44" spans="2:15" ht="26.25" x14ac:dyDescent="0.4">
      <c r="B44" s="133" t="s">
        <v>33</v>
      </c>
      <c r="C44" s="133" t="s">
        <v>15</v>
      </c>
      <c r="D44" s="133" t="s">
        <v>34</v>
      </c>
      <c r="E44" s="133" t="s">
        <v>35</v>
      </c>
      <c r="F44" s="120" t="s">
        <v>144</v>
      </c>
      <c r="G44" s="134" t="s">
        <v>145</v>
      </c>
      <c r="H44" s="134" t="s">
        <v>146</v>
      </c>
      <c r="I44" s="134" t="s">
        <v>210</v>
      </c>
      <c r="J44" s="134" t="s">
        <v>211</v>
      </c>
      <c r="K44" s="134" t="s">
        <v>148</v>
      </c>
      <c r="L44" s="134" t="s">
        <v>149</v>
      </c>
      <c r="M44" s="134" t="s">
        <v>150</v>
      </c>
      <c r="N44" s="134" t="s">
        <v>151</v>
      </c>
      <c r="O44" s="134" t="s">
        <v>152</v>
      </c>
    </row>
    <row r="45" spans="2:15" x14ac:dyDescent="0.4">
      <c r="B45" s="92">
        <v>1</v>
      </c>
      <c r="C45" s="93" t="s">
        <v>23</v>
      </c>
      <c r="D45" s="92" t="s">
        <v>40</v>
      </c>
      <c r="E45" s="93" t="s">
        <v>41</v>
      </c>
      <c r="F45" s="94">
        <v>0.4337349397590361</v>
      </c>
      <c r="G45" s="95">
        <f>F45*D$31</f>
        <v>14.746987951807228</v>
      </c>
      <c r="H45" s="96">
        <f>G45/$C$8</f>
        <v>4.0402706717280072E-2</v>
      </c>
      <c r="I45" s="97">
        <f>G45*N45</f>
        <v>49.850246168674694</v>
      </c>
      <c r="J45" s="94">
        <v>0.4337349397590361</v>
      </c>
      <c r="K45" s="98">
        <v>2.995031</v>
      </c>
      <c r="L45" s="98">
        <v>0.38144</v>
      </c>
      <c r="M45" s="98">
        <v>3.8969999999999999E-3</v>
      </c>
      <c r="N45" s="98">
        <f>SUM(K45:M45)</f>
        <v>3.3803679999999998</v>
      </c>
      <c r="O45" s="99">
        <f>F45*N45</f>
        <v>1.4661837108433733</v>
      </c>
    </row>
    <row r="46" spans="2:15" x14ac:dyDescent="0.4">
      <c r="B46" s="92">
        <v>2</v>
      </c>
      <c r="C46" s="93" t="s">
        <v>23</v>
      </c>
      <c r="D46" s="92" t="s">
        <v>42</v>
      </c>
      <c r="E46" s="92" t="s">
        <v>41</v>
      </c>
      <c r="F46" s="100">
        <v>1.2048192771084336E-2</v>
      </c>
      <c r="G46" s="95">
        <f t="shared" ref="G46:G47" si="1">F46*D$31</f>
        <v>0.40963855421686746</v>
      </c>
      <c r="H46" s="96">
        <f t="shared" ref="H46:H88" si="2">G46/$C$8</f>
        <v>1.1222974088133356E-3</v>
      </c>
      <c r="I46" s="97">
        <f t="shared" ref="I46:I91" si="3">G46*N46</f>
        <v>1.5414784819277108</v>
      </c>
      <c r="J46" s="100">
        <v>1.2048192771084336E-2</v>
      </c>
      <c r="K46" s="98">
        <v>2.9989279999999998</v>
      </c>
      <c r="L46" s="98">
        <v>0.76137900000000003</v>
      </c>
      <c r="M46" s="98">
        <v>2.7139999999999998E-3</v>
      </c>
      <c r="N46" s="98">
        <f t="shared" ref="N46:N91" si="4">SUM(K46:M46)</f>
        <v>3.7630210000000002</v>
      </c>
      <c r="O46" s="99">
        <f t="shared" ref="O46:O91" si="5">F46*N46</f>
        <v>4.533760240963855E-2</v>
      </c>
    </row>
    <row r="47" spans="2:15" x14ac:dyDescent="0.4">
      <c r="B47" s="92">
        <v>3</v>
      </c>
      <c r="C47" s="93" t="s">
        <v>23</v>
      </c>
      <c r="D47" s="92" t="s">
        <v>42</v>
      </c>
      <c r="E47" s="92" t="s">
        <v>43</v>
      </c>
      <c r="F47" s="100">
        <v>0.55421686746987953</v>
      </c>
      <c r="G47" s="95">
        <f t="shared" si="1"/>
        <v>18.843373493975903</v>
      </c>
      <c r="H47" s="96">
        <f t="shared" si="2"/>
        <v>5.1625680805413438E-2</v>
      </c>
      <c r="I47" s="97">
        <f t="shared" si="3"/>
        <v>68.450061686746992</v>
      </c>
      <c r="J47" s="100">
        <v>0.55421686746987953</v>
      </c>
      <c r="K47" s="98">
        <v>2.5277020000000001</v>
      </c>
      <c r="L47" s="98">
        <v>0.68049199999999999</v>
      </c>
      <c r="M47" s="98">
        <v>0.42438599999999999</v>
      </c>
      <c r="N47" s="98">
        <f t="shared" si="4"/>
        <v>3.6325800000000004</v>
      </c>
      <c r="O47" s="99">
        <f t="shared" si="5"/>
        <v>2.013237108433735</v>
      </c>
    </row>
    <row r="48" spans="2:15" ht="13.15" hidden="1" customHeight="1" x14ac:dyDescent="0.4">
      <c r="B48" s="101">
        <v>4</v>
      </c>
      <c r="C48" s="102" t="s">
        <v>24</v>
      </c>
      <c r="D48" s="101" t="s">
        <v>40</v>
      </c>
      <c r="E48" s="102" t="s">
        <v>41</v>
      </c>
      <c r="F48" s="103">
        <v>0.36170212765957449</v>
      </c>
      <c r="G48" s="104">
        <f>F48*D$32</f>
        <v>0.72340425531914898</v>
      </c>
      <c r="H48" s="105">
        <f t="shared" si="2"/>
        <v>1.9819294666278053E-3</v>
      </c>
      <c r="I48" s="106">
        <f t="shared" si="3"/>
        <v>2.9964793191489369</v>
      </c>
      <c r="J48" s="103">
        <v>0.36170212765957449</v>
      </c>
      <c r="K48" s="107">
        <v>3.812459</v>
      </c>
      <c r="L48" s="107">
        <v>0.32567699999999999</v>
      </c>
      <c r="M48" s="107">
        <v>4.0559999999999997E-3</v>
      </c>
      <c r="N48" s="107">
        <f t="shared" si="4"/>
        <v>4.1421920000000005</v>
      </c>
      <c r="O48" s="108">
        <f t="shared" si="5"/>
        <v>1.4982396595744685</v>
      </c>
    </row>
    <row r="49" spans="2:15" ht="13.15" hidden="1" customHeight="1" x14ac:dyDescent="0.4">
      <c r="B49" s="101">
        <v>5</v>
      </c>
      <c r="C49" s="102" t="s">
        <v>24</v>
      </c>
      <c r="D49" s="101" t="s">
        <v>42</v>
      </c>
      <c r="E49" s="102" t="s">
        <v>41</v>
      </c>
      <c r="F49" s="103">
        <v>0.63829787234042556</v>
      </c>
      <c r="G49" s="104">
        <f>F49*D$32</f>
        <v>1.2765957446808511</v>
      </c>
      <c r="H49" s="105">
        <f t="shared" si="2"/>
        <v>3.4975225881667153E-3</v>
      </c>
      <c r="I49" s="106">
        <f t="shared" si="3"/>
        <v>5.426002978723405</v>
      </c>
      <c r="J49" s="103">
        <v>0.63829787234042556</v>
      </c>
      <c r="K49" s="107">
        <v>3.812459</v>
      </c>
      <c r="L49" s="107">
        <v>0.43385400000000002</v>
      </c>
      <c r="M49" s="107">
        <v>4.0559999999999997E-3</v>
      </c>
      <c r="N49" s="107">
        <f t="shared" si="4"/>
        <v>4.2503690000000001</v>
      </c>
      <c r="O49" s="108">
        <f t="shared" si="5"/>
        <v>2.7130014893617025</v>
      </c>
    </row>
    <row r="50" spans="2:15" ht="13.15" hidden="1" customHeight="1" x14ac:dyDescent="0.4">
      <c r="B50" s="92">
        <v>6</v>
      </c>
      <c r="C50" s="93" t="s">
        <v>21</v>
      </c>
      <c r="D50" s="92" t="s">
        <v>44</v>
      </c>
      <c r="E50" s="92" t="s">
        <v>45</v>
      </c>
      <c r="F50" s="100">
        <v>0.3</v>
      </c>
      <c r="G50" s="109">
        <f>F50*D$29</f>
        <v>0.6</v>
      </c>
      <c r="H50" s="96">
        <f t="shared" si="2"/>
        <v>1.643835616438356E-3</v>
      </c>
      <c r="I50" s="97">
        <f t="shared" si="3"/>
        <v>12.732062399999998</v>
      </c>
      <c r="J50" s="100">
        <v>0.3</v>
      </c>
      <c r="K50" s="98">
        <v>13.19894</v>
      </c>
      <c r="L50" s="98">
        <v>0.90092099999999997</v>
      </c>
      <c r="M50" s="98">
        <v>7.1202430000000003</v>
      </c>
      <c r="N50" s="98">
        <f t="shared" si="4"/>
        <v>21.220103999999999</v>
      </c>
      <c r="O50" s="99">
        <f t="shared" si="5"/>
        <v>6.3660311999999992</v>
      </c>
    </row>
    <row r="51" spans="2:15" ht="13.15" hidden="1" customHeight="1" x14ac:dyDescent="0.4">
      <c r="B51" s="92">
        <v>7</v>
      </c>
      <c r="C51" s="93" t="s">
        <v>21</v>
      </c>
      <c r="D51" s="92" t="s">
        <v>42</v>
      </c>
      <c r="E51" s="92" t="s">
        <v>45</v>
      </c>
      <c r="F51" s="100">
        <v>0.7</v>
      </c>
      <c r="G51" s="109">
        <f>F51*D$29</f>
        <v>1.4</v>
      </c>
      <c r="H51" s="96">
        <f t="shared" si="2"/>
        <v>3.8356164383561643E-3</v>
      </c>
      <c r="I51" s="97">
        <f t="shared" si="3"/>
        <v>20.080145399999999</v>
      </c>
      <c r="J51" s="100">
        <v>0.7</v>
      </c>
      <c r="K51" s="98">
        <v>13.19894</v>
      </c>
      <c r="L51" s="98">
        <v>0.96768900000000002</v>
      </c>
      <c r="M51" s="98">
        <v>0.17633199999999999</v>
      </c>
      <c r="N51" s="98">
        <f t="shared" si="4"/>
        <v>14.342961000000001</v>
      </c>
      <c r="O51" s="99">
        <f t="shared" si="5"/>
        <v>10.0400727</v>
      </c>
    </row>
    <row r="52" spans="2:15" x14ac:dyDescent="0.4">
      <c r="B52" s="101">
        <v>8</v>
      </c>
      <c r="C52" s="102" t="s">
        <v>22</v>
      </c>
      <c r="D52" s="101" t="s">
        <v>40</v>
      </c>
      <c r="E52" s="102" t="s">
        <v>46</v>
      </c>
      <c r="F52" s="103">
        <v>0.20987654320987653</v>
      </c>
      <c r="G52" s="104">
        <f>F52*D$30</f>
        <v>4.617283950617284</v>
      </c>
      <c r="H52" s="105">
        <f t="shared" si="2"/>
        <v>1.2650093015389819E-2</v>
      </c>
      <c r="I52" s="106">
        <f t="shared" si="3"/>
        <v>41.598714693827162</v>
      </c>
      <c r="J52" s="103">
        <v>0.20987654320987653</v>
      </c>
      <c r="K52" s="107">
        <v>7.22039819</v>
      </c>
      <c r="L52" s="107">
        <v>1.7484542000000001</v>
      </c>
      <c r="M52" s="107">
        <v>4.0494910000000002E-2</v>
      </c>
      <c r="N52" s="107">
        <f t="shared" si="4"/>
        <v>9.0093472999999999</v>
      </c>
      <c r="O52" s="108">
        <f t="shared" si="5"/>
        <v>1.8908506679012345</v>
      </c>
    </row>
    <row r="53" spans="2:15" x14ac:dyDescent="0.4">
      <c r="B53" s="101">
        <v>9</v>
      </c>
      <c r="C53" s="102" t="s">
        <v>22</v>
      </c>
      <c r="D53" s="101" t="s">
        <v>44</v>
      </c>
      <c r="E53" s="101" t="s">
        <v>43</v>
      </c>
      <c r="F53" s="110">
        <v>0.12345679012345678</v>
      </c>
      <c r="G53" s="104">
        <f t="shared" ref="G53:G58" si="6">F53*D$30</f>
        <v>2.716049382716049</v>
      </c>
      <c r="H53" s="105">
        <f t="shared" si="2"/>
        <v>7.4412311855234217E-3</v>
      </c>
      <c r="I53" s="106">
        <f t="shared" si="3"/>
        <v>73.262804999999986</v>
      </c>
      <c r="J53" s="110">
        <v>0.12345679012345678</v>
      </c>
      <c r="K53" s="107">
        <v>7.2956225999999997</v>
      </c>
      <c r="L53" s="107">
        <v>0.81951735000000003</v>
      </c>
      <c r="M53" s="107">
        <v>18.8588928</v>
      </c>
      <c r="N53" s="107">
        <f t="shared" si="4"/>
        <v>26.974032749999999</v>
      </c>
      <c r="O53" s="108">
        <f t="shared" si="5"/>
        <v>3.3301274999999997</v>
      </c>
    </row>
    <row r="54" spans="2:15" x14ac:dyDescent="0.4">
      <c r="B54" s="101">
        <v>10</v>
      </c>
      <c r="C54" s="102" t="s">
        <v>22</v>
      </c>
      <c r="D54" s="101" t="s">
        <v>44</v>
      </c>
      <c r="E54" s="101" t="s">
        <v>45</v>
      </c>
      <c r="F54" s="110">
        <v>4.9382716049382713E-2</v>
      </c>
      <c r="G54" s="104">
        <f t="shared" si="6"/>
        <v>1.0864197530864197</v>
      </c>
      <c r="H54" s="105">
        <f t="shared" si="2"/>
        <v>2.9764924742093691E-3</v>
      </c>
      <c r="I54" s="106">
        <f t="shared" si="3"/>
        <v>19.913945550617285</v>
      </c>
      <c r="J54" s="110">
        <v>4.9382716049382713E-2</v>
      </c>
      <c r="K54" s="107">
        <v>7.1395445799999999</v>
      </c>
      <c r="L54" s="107">
        <v>4.0700936900000002</v>
      </c>
      <c r="M54" s="107">
        <v>7.1202434300000004</v>
      </c>
      <c r="N54" s="107">
        <f t="shared" si="4"/>
        <v>18.329881700000001</v>
      </c>
      <c r="O54" s="108">
        <f t="shared" si="5"/>
        <v>0.90517934320987659</v>
      </c>
    </row>
    <row r="55" spans="2:15" x14ac:dyDescent="0.4">
      <c r="B55" s="101">
        <v>11</v>
      </c>
      <c r="C55" s="102" t="s">
        <v>22</v>
      </c>
      <c r="D55" s="101" t="s">
        <v>42</v>
      </c>
      <c r="E55" s="101" t="s">
        <v>43</v>
      </c>
      <c r="F55" s="110">
        <v>0.29629629629629628</v>
      </c>
      <c r="G55" s="104">
        <f t="shared" si="6"/>
        <v>6.5185185185185182</v>
      </c>
      <c r="H55" s="105">
        <f t="shared" si="2"/>
        <v>1.7858954845256216E-2</v>
      </c>
      <c r="I55" s="106">
        <f t="shared" si="3"/>
        <v>55.837654074074074</v>
      </c>
      <c r="J55" s="110">
        <v>0.29629629629629628</v>
      </c>
      <c r="K55" s="107">
        <v>7.2956225999999997</v>
      </c>
      <c r="L55" s="107">
        <v>0.84836555000000002</v>
      </c>
      <c r="M55" s="107">
        <v>0.42201559999999999</v>
      </c>
      <c r="N55" s="107">
        <f t="shared" si="4"/>
        <v>8.5660037500000001</v>
      </c>
      <c r="O55" s="108">
        <f t="shared" si="5"/>
        <v>2.538075185185185</v>
      </c>
    </row>
    <row r="56" spans="2:15" x14ac:dyDescent="0.4">
      <c r="B56" s="101">
        <v>12</v>
      </c>
      <c r="C56" s="102" t="s">
        <v>22</v>
      </c>
      <c r="D56" s="101" t="s">
        <v>42</v>
      </c>
      <c r="E56" s="101" t="s">
        <v>45</v>
      </c>
      <c r="F56" s="110">
        <v>9.8765432098765427E-2</v>
      </c>
      <c r="G56" s="104">
        <f t="shared" si="6"/>
        <v>2.1728395061728394</v>
      </c>
      <c r="H56" s="105">
        <f t="shared" si="2"/>
        <v>5.9529849484187382E-3</v>
      </c>
      <c r="I56" s="106">
        <f t="shared" si="3"/>
        <v>24.950074257777775</v>
      </c>
      <c r="J56" s="110">
        <v>9.8765432098765427E-2</v>
      </c>
      <c r="K56" s="107">
        <v>7.1395445799999999</v>
      </c>
      <c r="L56" s="107">
        <v>4.1668280099999997</v>
      </c>
      <c r="M56" s="107">
        <v>0.17633204</v>
      </c>
      <c r="N56" s="107">
        <f t="shared" si="4"/>
        <v>11.482704629999999</v>
      </c>
      <c r="O56" s="108">
        <f t="shared" si="5"/>
        <v>1.1340942844444444</v>
      </c>
    </row>
    <row r="57" spans="2:15" x14ac:dyDescent="0.4">
      <c r="B57" s="101">
        <v>13</v>
      </c>
      <c r="C57" s="102" t="s">
        <v>22</v>
      </c>
      <c r="D57" s="101" t="s">
        <v>42</v>
      </c>
      <c r="E57" s="101" t="s">
        <v>47</v>
      </c>
      <c r="F57" s="110">
        <v>0.14814814814814814</v>
      </c>
      <c r="G57" s="104">
        <f t="shared" si="6"/>
        <v>3.2592592592592591</v>
      </c>
      <c r="H57" s="105">
        <f t="shared" si="2"/>
        <v>8.9294774226281078E-3</v>
      </c>
      <c r="I57" s="106">
        <f t="shared" si="3"/>
        <v>31.976668044444438</v>
      </c>
      <c r="J57" s="110">
        <v>0.14814814814814814</v>
      </c>
      <c r="K57" s="107">
        <v>7.0857764300000001</v>
      </c>
      <c r="L57" s="107">
        <v>2.3632220799999999</v>
      </c>
      <c r="M57" s="107">
        <v>0.36202464000000001</v>
      </c>
      <c r="N57" s="107">
        <f t="shared" si="4"/>
        <v>9.8110231499999987</v>
      </c>
      <c r="O57" s="108">
        <f t="shared" si="5"/>
        <v>1.4534849111111108</v>
      </c>
    </row>
    <row r="58" spans="2:15" x14ac:dyDescent="0.4">
      <c r="B58" s="101">
        <v>14</v>
      </c>
      <c r="C58" s="102" t="s">
        <v>22</v>
      </c>
      <c r="D58" s="101" t="s">
        <v>42</v>
      </c>
      <c r="E58" s="101" t="s">
        <v>48</v>
      </c>
      <c r="F58" s="110">
        <v>7.407407407407407E-2</v>
      </c>
      <c r="G58" s="104">
        <f t="shared" si="6"/>
        <v>1.6296296296296295</v>
      </c>
      <c r="H58" s="105">
        <f t="shared" si="2"/>
        <v>4.4647387113140539E-3</v>
      </c>
      <c r="I58" s="106">
        <f t="shared" si="3"/>
        <v>15.258803657777776</v>
      </c>
      <c r="J58" s="110">
        <v>7.407407407407407E-2</v>
      </c>
      <c r="K58" s="107">
        <v>7.2956225999999997</v>
      </c>
      <c r="L58" s="107">
        <v>1.77765705</v>
      </c>
      <c r="M58" s="107">
        <v>0.29007714000000001</v>
      </c>
      <c r="N58" s="107">
        <f t="shared" si="4"/>
        <v>9.3633567899999992</v>
      </c>
      <c r="O58" s="108">
        <f t="shared" si="5"/>
        <v>0.6935819844444443</v>
      </c>
    </row>
    <row r="59" spans="2:15" x14ac:dyDescent="0.4">
      <c r="B59" s="92">
        <v>15</v>
      </c>
      <c r="C59" s="93" t="s">
        <v>20</v>
      </c>
      <c r="D59" s="92" t="s">
        <v>44</v>
      </c>
      <c r="E59" s="92" t="s">
        <v>43</v>
      </c>
      <c r="F59" s="100">
        <v>0.17582417582417581</v>
      </c>
      <c r="G59" s="109">
        <f>F59*D$28</f>
        <v>0.52747252747252737</v>
      </c>
      <c r="H59" s="96">
        <f t="shared" si="2"/>
        <v>1.4451302122534997E-3</v>
      </c>
      <c r="I59" s="97">
        <f t="shared" si="3"/>
        <v>20.248207120879115</v>
      </c>
      <c r="J59" s="100">
        <v>0.17582417582417581</v>
      </c>
      <c r="K59" s="98">
        <v>18.833870000000001</v>
      </c>
      <c r="L59" s="98">
        <v>0.69446600000000003</v>
      </c>
      <c r="M59" s="98">
        <v>18.858889999999999</v>
      </c>
      <c r="N59" s="98">
        <f t="shared" si="4"/>
        <v>38.387225999999998</v>
      </c>
      <c r="O59" s="99">
        <f t="shared" si="5"/>
        <v>6.7494023736263724</v>
      </c>
    </row>
    <row r="60" spans="2:15" x14ac:dyDescent="0.4">
      <c r="B60" s="92">
        <v>16</v>
      </c>
      <c r="C60" s="93" t="s">
        <v>20</v>
      </c>
      <c r="D60" s="92" t="s">
        <v>44</v>
      </c>
      <c r="E60" s="92" t="s">
        <v>45</v>
      </c>
      <c r="F60" s="100">
        <v>8.7912087912087905E-2</v>
      </c>
      <c r="G60" s="109">
        <f t="shared" ref="G60:G63" si="7">F60*D$28</f>
        <v>0.26373626373626369</v>
      </c>
      <c r="H60" s="96">
        <f t="shared" si="2"/>
        <v>7.2256510612674985E-4</v>
      </c>
      <c r="I60" s="97">
        <f t="shared" si="3"/>
        <v>7.2519072527472508</v>
      </c>
      <c r="J60" s="100">
        <v>8.7912087912087905E-2</v>
      </c>
      <c r="K60" s="98">
        <v>18.857240000000001</v>
      </c>
      <c r="L60" s="98">
        <v>1.5193319999999999</v>
      </c>
      <c r="M60" s="98">
        <v>7.1202430000000003</v>
      </c>
      <c r="N60" s="98">
        <f t="shared" si="4"/>
        <v>27.496814999999998</v>
      </c>
      <c r="O60" s="99">
        <f t="shared" si="5"/>
        <v>2.4173024175824174</v>
      </c>
    </row>
    <row r="61" spans="2:15" x14ac:dyDescent="0.4">
      <c r="B61" s="92">
        <v>17</v>
      </c>
      <c r="C61" s="93" t="s">
        <v>20</v>
      </c>
      <c r="D61" s="92" t="s">
        <v>44</v>
      </c>
      <c r="E61" s="92" t="s">
        <v>49</v>
      </c>
      <c r="F61" s="100">
        <v>3.2967032967032968E-2</v>
      </c>
      <c r="G61" s="109">
        <f t="shared" si="7"/>
        <v>9.8901098901098883E-2</v>
      </c>
      <c r="H61" s="96">
        <f t="shared" si="2"/>
        <v>2.7096191479753119E-4</v>
      </c>
      <c r="I61" s="97">
        <f t="shared" si="3"/>
        <v>2.8968907252747247</v>
      </c>
      <c r="J61" s="100">
        <v>3.2967032967032968E-2</v>
      </c>
      <c r="K61" s="98">
        <v>18.760680000000001</v>
      </c>
      <c r="L61" s="98">
        <v>0.63292700000000002</v>
      </c>
      <c r="M61" s="98">
        <v>9.8971769999999992</v>
      </c>
      <c r="N61" s="98">
        <f t="shared" si="4"/>
        <v>29.290783999999999</v>
      </c>
      <c r="O61" s="99">
        <f t="shared" si="5"/>
        <v>0.96563024175824175</v>
      </c>
    </row>
    <row r="62" spans="2:15" x14ac:dyDescent="0.4">
      <c r="B62" s="92">
        <v>18</v>
      </c>
      <c r="C62" s="93" t="s">
        <v>20</v>
      </c>
      <c r="D62" s="92" t="s">
        <v>42</v>
      </c>
      <c r="E62" s="92" t="s">
        <v>43</v>
      </c>
      <c r="F62" s="100">
        <v>0.39560439560439559</v>
      </c>
      <c r="G62" s="109">
        <f t="shared" si="7"/>
        <v>1.1868131868131866</v>
      </c>
      <c r="H62" s="96">
        <f t="shared" si="2"/>
        <v>3.2515429775703741E-3</v>
      </c>
      <c r="I62" s="97">
        <f t="shared" si="3"/>
        <v>23.700534725274721</v>
      </c>
      <c r="J62" s="100">
        <v>0.39560439560439559</v>
      </c>
      <c r="K62" s="98">
        <v>18.833870000000001</v>
      </c>
      <c r="L62" s="98">
        <v>0.714009</v>
      </c>
      <c r="M62" s="98">
        <v>0.422016</v>
      </c>
      <c r="N62" s="98">
        <f t="shared" si="4"/>
        <v>19.969895000000001</v>
      </c>
      <c r="O62" s="99">
        <f t="shared" si="5"/>
        <v>7.9001782417582422</v>
      </c>
    </row>
    <row r="63" spans="2:15" x14ac:dyDescent="0.4">
      <c r="B63" s="92">
        <v>19</v>
      </c>
      <c r="C63" s="93" t="s">
        <v>20</v>
      </c>
      <c r="D63" s="92" t="s">
        <v>42</v>
      </c>
      <c r="E63" s="92" t="s">
        <v>45</v>
      </c>
      <c r="F63" s="100">
        <v>0.21978021978021978</v>
      </c>
      <c r="G63" s="109">
        <f t="shared" si="7"/>
        <v>0.65934065934065922</v>
      </c>
      <c r="H63" s="96">
        <f t="shared" si="2"/>
        <v>1.8064127653168746E-3</v>
      </c>
      <c r="I63" s="97">
        <f t="shared" si="3"/>
        <v>13.595388131868129</v>
      </c>
      <c r="J63" s="100">
        <v>0.21978021978021978</v>
      </c>
      <c r="K63" s="98">
        <v>18.857240000000001</v>
      </c>
      <c r="L63" s="98">
        <v>1.5861000000000001</v>
      </c>
      <c r="M63" s="98">
        <v>0.17633199999999999</v>
      </c>
      <c r="N63" s="98">
        <f t="shared" si="4"/>
        <v>20.619671999999998</v>
      </c>
      <c r="O63" s="99">
        <f t="shared" si="5"/>
        <v>4.5317960439560432</v>
      </c>
    </row>
    <row r="64" spans="2:15" x14ac:dyDescent="0.4">
      <c r="B64" s="92">
        <v>20</v>
      </c>
      <c r="C64" s="93" t="s">
        <v>20</v>
      </c>
      <c r="D64" s="92" t="s">
        <v>42</v>
      </c>
      <c r="E64" s="92" t="s">
        <v>49</v>
      </c>
      <c r="F64" s="100">
        <v>8.7912087912087905E-2</v>
      </c>
      <c r="G64" s="109">
        <f>F64*D$28</f>
        <v>0.26373626373626369</v>
      </c>
      <c r="H64" s="96">
        <f t="shared" si="2"/>
        <v>7.2256510612674985E-4</v>
      </c>
      <c r="I64" s="97">
        <f t="shared" si="3"/>
        <v>5.1810166153846149</v>
      </c>
      <c r="J64" s="100">
        <v>8.7912087912087905E-2</v>
      </c>
      <c r="K64" s="98">
        <v>18.760680000000001</v>
      </c>
      <c r="L64" s="98">
        <v>0.64853400000000005</v>
      </c>
      <c r="M64" s="98">
        <v>0.23547399999999999</v>
      </c>
      <c r="N64" s="98">
        <f t="shared" si="4"/>
        <v>19.644688000000002</v>
      </c>
      <c r="O64" s="99">
        <f t="shared" si="5"/>
        <v>1.7270055384615386</v>
      </c>
    </row>
    <row r="65" spans="2:15" x14ac:dyDescent="0.4">
      <c r="B65" s="101">
        <v>21</v>
      </c>
      <c r="C65" s="102" t="s">
        <v>25</v>
      </c>
      <c r="D65" s="101" t="s">
        <v>40</v>
      </c>
      <c r="E65" s="101" t="s">
        <v>41</v>
      </c>
      <c r="F65" s="110">
        <v>0.81</v>
      </c>
      <c r="G65" s="111">
        <f>F65*D$33</f>
        <v>17.82</v>
      </c>
      <c r="H65" s="105">
        <f t="shared" si="2"/>
        <v>4.8821917808219178E-2</v>
      </c>
      <c r="I65" s="106">
        <f t="shared" si="3"/>
        <v>55.393291799999993</v>
      </c>
      <c r="J65" s="110">
        <v>0.81</v>
      </c>
      <c r="K65" s="107">
        <v>3.0457689999999999</v>
      </c>
      <c r="L65" s="107">
        <v>5.5363000000000002E-2</v>
      </c>
      <c r="M65" s="107">
        <v>7.358E-3</v>
      </c>
      <c r="N65" s="107">
        <f t="shared" si="4"/>
        <v>3.1084899999999998</v>
      </c>
      <c r="O65" s="108">
        <f t="shared" si="5"/>
        <v>2.5178769000000001</v>
      </c>
    </row>
    <row r="66" spans="2:15" s="62" customFormat="1" x14ac:dyDescent="0.4">
      <c r="B66" s="101">
        <v>22</v>
      </c>
      <c r="C66" s="102" t="s">
        <v>25</v>
      </c>
      <c r="D66" s="101" t="s">
        <v>40</v>
      </c>
      <c r="E66" s="101" t="s">
        <v>50</v>
      </c>
      <c r="F66" s="110">
        <v>0.19</v>
      </c>
      <c r="G66" s="111">
        <f>F66*D$33</f>
        <v>4.18</v>
      </c>
      <c r="H66" s="105">
        <f t="shared" si="2"/>
        <v>1.1452054794520548E-2</v>
      </c>
      <c r="I66" s="106">
        <f t="shared" si="3"/>
        <v>12.354671339999999</v>
      </c>
      <c r="J66" s="110">
        <v>0.19</v>
      </c>
      <c r="K66" s="107">
        <v>2.924229</v>
      </c>
      <c r="L66" s="107">
        <v>3.1273000000000002E-2</v>
      </c>
      <c r="M66" s="107">
        <v>1.6100000000000001E-4</v>
      </c>
      <c r="N66" s="107">
        <f t="shared" si="4"/>
        <v>2.9556629999999999</v>
      </c>
      <c r="O66" s="108">
        <f t="shared" si="5"/>
        <v>0.56157597000000004</v>
      </c>
    </row>
    <row r="67" spans="2:15" x14ac:dyDescent="0.4">
      <c r="B67" s="92">
        <v>23</v>
      </c>
      <c r="C67" s="93" t="s">
        <v>28</v>
      </c>
      <c r="D67" s="92" t="s">
        <v>51</v>
      </c>
      <c r="E67" s="92" t="s">
        <v>41</v>
      </c>
      <c r="F67" s="100">
        <v>9.0308370044052858E-2</v>
      </c>
      <c r="G67" s="109">
        <f>F67*D$36</f>
        <v>6.5022026431718061</v>
      </c>
      <c r="H67" s="96">
        <f t="shared" si="2"/>
        <v>1.7814253816909056E-2</v>
      </c>
      <c r="I67" s="97">
        <f t="shared" si="3"/>
        <v>2.4878402643171809</v>
      </c>
      <c r="J67" s="100">
        <v>9.0308370044052858E-2</v>
      </c>
      <c r="K67" s="98">
        <v>0.19164700000000001</v>
      </c>
      <c r="L67" s="98">
        <v>0.10198699999999999</v>
      </c>
      <c r="M67" s="98">
        <v>8.8981000000000005E-2</v>
      </c>
      <c r="N67" s="98">
        <f t="shared" si="4"/>
        <v>0.38261500000000004</v>
      </c>
      <c r="O67" s="99">
        <f t="shared" si="5"/>
        <v>3.4553337004405285E-2</v>
      </c>
    </row>
    <row r="68" spans="2:15" x14ac:dyDescent="0.4">
      <c r="B68" s="92">
        <v>24</v>
      </c>
      <c r="C68" s="93" t="s">
        <v>28</v>
      </c>
      <c r="D68" s="92" t="s">
        <v>51</v>
      </c>
      <c r="E68" s="92" t="s">
        <v>52</v>
      </c>
      <c r="F68" s="100">
        <v>9.2511013215859028E-2</v>
      </c>
      <c r="G68" s="109">
        <f t="shared" ref="G68:G75" si="8">F68*D$36</f>
        <v>6.6607929515418505</v>
      </c>
      <c r="H68" s="96">
        <f t="shared" si="2"/>
        <v>1.8248747812443424E-2</v>
      </c>
      <c r="I68" s="97">
        <f t="shared" si="3"/>
        <v>2.6038305198237888</v>
      </c>
      <c r="J68" s="100">
        <v>9.2511013215859028E-2</v>
      </c>
      <c r="K68" s="98">
        <v>0.199766</v>
      </c>
      <c r="L68" s="98">
        <v>0.10198699999999999</v>
      </c>
      <c r="M68" s="98">
        <v>8.9165999999999995E-2</v>
      </c>
      <c r="N68" s="98">
        <f t="shared" si="4"/>
        <v>0.39091900000000002</v>
      </c>
      <c r="O68" s="99">
        <f t="shared" si="5"/>
        <v>3.6164312775330394E-2</v>
      </c>
    </row>
    <row r="69" spans="2:15" x14ac:dyDescent="0.4">
      <c r="B69" s="92">
        <v>25</v>
      </c>
      <c r="C69" s="93" t="s">
        <v>28</v>
      </c>
      <c r="D69" s="92" t="s">
        <v>53</v>
      </c>
      <c r="E69" s="92" t="s">
        <v>41</v>
      </c>
      <c r="F69" s="100">
        <v>0.21806167400881057</v>
      </c>
      <c r="G69" s="109">
        <f t="shared" si="8"/>
        <v>15.700440528634362</v>
      </c>
      <c r="H69" s="96">
        <f t="shared" si="2"/>
        <v>4.3014905557902362E-2</v>
      </c>
      <c r="I69" s="97">
        <f t="shared" si="3"/>
        <v>4.9987376563876653</v>
      </c>
      <c r="J69" s="100">
        <v>0.21806167400881057</v>
      </c>
      <c r="K69" s="98">
        <v>0.127414</v>
      </c>
      <c r="L69" s="98">
        <v>0.10198699999999999</v>
      </c>
      <c r="M69" s="98">
        <v>8.8981000000000005E-2</v>
      </c>
      <c r="N69" s="98">
        <f t="shared" si="4"/>
        <v>0.318382</v>
      </c>
      <c r="O69" s="99">
        <f t="shared" si="5"/>
        <v>6.9426911894273122E-2</v>
      </c>
    </row>
    <row r="70" spans="2:15" x14ac:dyDescent="0.4">
      <c r="B70" s="92">
        <v>26</v>
      </c>
      <c r="C70" s="93" t="s">
        <v>28</v>
      </c>
      <c r="D70" s="92" t="s">
        <v>54</v>
      </c>
      <c r="E70" s="92" t="s">
        <v>41</v>
      </c>
      <c r="F70" s="100">
        <v>0.21365638766519823</v>
      </c>
      <c r="G70" s="109">
        <f t="shared" si="8"/>
        <v>15.383259911894273</v>
      </c>
      <c r="H70" s="96">
        <f t="shared" si="2"/>
        <v>4.2145917566833627E-2</v>
      </c>
      <c r="I70" s="97">
        <f t="shared" si="3"/>
        <v>5.1542842995594711</v>
      </c>
      <c r="J70" s="100">
        <v>0.21365638766519823</v>
      </c>
      <c r="K70" s="98">
        <v>0.14409</v>
      </c>
      <c r="L70" s="98">
        <v>0.10198699999999999</v>
      </c>
      <c r="M70" s="98">
        <v>8.8981000000000005E-2</v>
      </c>
      <c r="N70" s="98">
        <f t="shared" si="4"/>
        <v>0.33505799999999997</v>
      </c>
      <c r="O70" s="99">
        <f t="shared" si="5"/>
        <v>7.1587281938325989E-2</v>
      </c>
    </row>
    <row r="71" spans="2:15" x14ac:dyDescent="0.4">
      <c r="B71" s="92">
        <v>27</v>
      </c>
      <c r="C71" s="93" t="s">
        <v>28</v>
      </c>
      <c r="D71" s="92" t="s">
        <v>55</v>
      </c>
      <c r="E71" s="92" t="s">
        <v>41</v>
      </c>
      <c r="F71" s="100">
        <v>0.18502202643171806</v>
      </c>
      <c r="G71" s="109">
        <f t="shared" si="8"/>
        <v>13.321585903083701</v>
      </c>
      <c r="H71" s="96">
        <f t="shared" si="2"/>
        <v>3.6497495624886848E-2</v>
      </c>
      <c r="I71" s="97">
        <f t="shared" si="3"/>
        <v>3.7843961233480177</v>
      </c>
      <c r="J71" s="100">
        <v>0.18502202643171806</v>
      </c>
      <c r="K71" s="98">
        <v>9.3112E-2</v>
      </c>
      <c r="L71" s="98">
        <v>0.10198699999999999</v>
      </c>
      <c r="M71" s="98">
        <v>8.8981000000000005E-2</v>
      </c>
      <c r="N71" s="98">
        <f t="shared" si="4"/>
        <v>0.28408</v>
      </c>
      <c r="O71" s="99">
        <f t="shared" si="5"/>
        <v>5.2561057268722462E-2</v>
      </c>
    </row>
    <row r="72" spans="2:15" x14ac:dyDescent="0.4">
      <c r="B72" s="92">
        <v>28</v>
      </c>
      <c r="C72" s="93" t="s">
        <v>28</v>
      </c>
      <c r="D72" s="92" t="s">
        <v>56</v>
      </c>
      <c r="E72" s="92" t="s">
        <v>45</v>
      </c>
      <c r="F72" s="100">
        <v>5.2863436123348012E-2</v>
      </c>
      <c r="G72" s="109">
        <f t="shared" si="8"/>
        <v>3.8061674008810567</v>
      </c>
      <c r="H72" s="96">
        <f t="shared" si="2"/>
        <v>1.0427855892824812E-2</v>
      </c>
      <c r="I72" s="97">
        <f t="shared" si="3"/>
        <v>1.9041494273127753</v>
      </c>
      <c r="J72" s="100">
        <v>5.2863436123348012E-2</v>
      </c>
      <c r="K72" s="98">
        <v>0.19825000000000001</v>
      </c>
      <c r="L72" s="98">
        <v>9.6673999999999996E-2</v>
      </c>
      <c r="M72" s="98">
        <v>0.20535600000000001</v>
      </c>
      <c r="N72" s="98">
        <f t="shared" si="4"/>
        <v>0.50028000000000006</v>
      </c>
      <c r="O72" s="99">
        <f t="shared" si="5"/>
        <v>2.6446519823788546E-2</v>
      </c>
    </row>
    <row r="73" spans="2:15" x14ac:dyDescent="0.4">
      <c r="B73" s="92">
        <v>29</v>
      </c>
      <c r="C73" s="93" t="s">
        <v>28</v>
      </c>
      <c r="D73" s="92" t="s">
        <v>56</v>
      </c>
      <c r="E73" s="92" t="s">
        <v>57</v>
      </c>
      <c r="F73" s="100">
        <v>6.8281938325991193E-2</v>
      </c>
      <c r="G73" s="109">
        <f t="shared" si="8"/>
        <v>4.9162995594713657</v>
      </c>
      <c r="H73" s="96">
        <f t="shared" si="2"/>
        <v>1.3469313861565385E-2</v>
      </c>
      <c r="I73" s="97">
        <f t="shared" si="3"/>
        <v>4.9008918766519827</v>
      </c>
      <c r="J73" s="100">
        <v>6.8281938325991193E-2</v>
      </c>
      <c r="K73" s="98">
        <v>0.156613</v>
      </c>
      <c r="L73" s="98">
        <v>9.6673999999999996E-2</v>
      </c>
      <c r="M73" s="98">
        <v>0.74357899999999999</v>
      </c>
      <c r="N73" s="98">
        <f t="shared" si="4"/>
        <v>0.99686600000000003</v>
      </c>
      <c r="O73" s="99">
        <f t="shared" si="5"/>
        <v>6.8067942731277545E-2</v>
      </c>
    </row>
    <row r="74" spans="2:15" x14ac:dyDescent="0.4">
      <c r="B74" s="92">
        <v>30</v>
      </c>
      <c r="C74" s="93" t="s">
        <v>28</v>
      </c>
      <c r="D74" s="92" t="s">
        <v>56</v>
      </c>
      <c r="E74" s="92" t="s">
        <v>58</v>
      </c>
      <c r="F74" s="100">
        <v>4.405286343612335E-2</v>
      </c>
      <c r="G74" s="109">
        <f t="shared" si="8"/>
        <v>3.1718061674008813</v>
      </c>
      <c r="H74" s="96">
        <f t="shared" si="2"/>
        <v>8.689879910687346E-3</v>
      </c>
      <c r="I74" s="97">
        <f t="shared" si="3"/>
        <v>1.8836151541850221</v>
      </c>
      <c r="J74" s="100">
        <v>4.405286343612335E-2</v>
      </c>
      <c r="K74" s="98">
        <v>0.196074</v>
      </c>
      <c r="L74" s="98">
        <v>0.10198699999999999</v>
      </c>
      <c r="M74" s="98">
        <v>0.29580099999999998</v>
      </c>
      <c r="N74" s="98">
        <f t="shared" si="4"/>
        <v>0.593862</v>
      </c>
      <c r="O74" s="99">
        <f t="shared" si="5"/>
        <v>2.6161321585903084E-2</v>
      </c>
    </row>
    <row r="75" spans="2:15" x14ac:dyDescent="0.4">
      <c r="B75" s="92">
        <v>31</v>
      </c>
      <c r="C75" s="93" t="s">
        <v>28</v>
      </c>
      <c r="D75" s="92" t="s">
        <v>56</v>
      </c>
      <c r="E75" s="92" t="s">
        <v>59</v>
      </c>
      <c r="F75" s="100">
        <v>3.5242290748898682E-2</v>
      </c>
      <c r="G75" s="109">
        <f t="shared" si="8"/>
        <v>2.537444933920705</v>
      </c>
      <c r="H75" s="96">
        <f t="shared" si="2"/>
        <v>6.9519039285498765E-3</v>
      </c>
      <c r="I75" s="97">
        <f t="shared" si="3"/>
        <v>1.4368840176211455</v>
      </c>
      <c r="J75" s="100">
        <v>3.5242290748898682E-2</v>
      </c>
      <c r="K75" s="98">
        <v>0.18069099999999999</v>
      </c>
      <c r="L75" s="98">
        <v>0.10312</v>
      </c>
      <c r="M75" s="98">
        <v>0.28246100000000002</v>
      </c>
      <c r="N75" s="98">
        <f t="shared" si="4"/>
        <v>0.566272</v>
      </c>
      <c r="O75" s="99">
        <f t="shared" si="5"/>
        <v>1.9956722466960355E-2</v>
      </c>
    </row>
    <row r="76" spans="2:15" x14ac:dyDescent="0.4">
      <c r="B76" s="101">
        <v>32</v>
      </c>
      <c r="C76" s="102" t="s">
        <v>30</v>
      </c>
      <c r="D76" s="101" t="s">
        <v>119</v>
      </c>
      <c r="E76" s="101" t="s">
        <v>153</v>
      </c>
      <c r="F76" s="110">
        <v>0.97</v>
      </c>
      <c r="G76" s="111">
        <f>F76*D$38</f>
        <v>77.599999999999994</v>
      </c>
      <c r="H76" s="105">
        <f t="shared" si="2"/>
        <v>0.21260273972602739</v>
      </c>
      <c r="I76" s="106">
        <f t="shared" si="3"/>
        <v>64.935504106666656</v>
      </c>
      <c r="J76" s="110">
        <v>0.97</v>
      </c>
      <c r="K76" s="107">
        <v>0.50836139999999996</v>
      </c>
      <c r="L76" s="107">
        <v>0.1616524</v>
      </c>
      <c r="M76" s="107">
        <v>0.16678393333333333</v>
      </c>
      <c r="N76" s="107">
        <f t="shared" si="4"/>
        <v>0.83679773333333329</v>
      </c>
      <c r="O76" s="108">
        <f t="shared" si="5"/>
        <v>0.81169380133333324</v>
      </c>
    </row>
    <row r="77" spans="2:15" x14ac:dyDescent="0.4">
      <c r="B77" s="101">
        <v>33</v>
      </c>
      <c r="C77" s="102" t="s">
        <v>30</v>
      </c>
      <c r="D77" s="101" t="s">
        <v>119</v>
      </c>
      <c r="E77" s="101" t="s">
        <v>50</v>
      </c>
      <c r="F77" s="110">
        <v>0.03</v>
      </c>
      <c r="G77" s="111">
        <f>F77*D$38</f>
        <v>2.4</v>
      </c>
      <c r="H77" s="105">
        <f t="shared" si="2"/>
        <v>6.5753424657534242E-3</v>
      </c>
      <c r="I77" s="106">
        <f t="shared" si="3"/>
        <v>0.58971599999999991</v>
      </c>
      <c r="J77" s="110">
        <v>0.03</v>
      </c>
      <c r="K77" s="107">
        <v>4.8299000000000002E-2</v>
      </c>
      <c r="L77" s="107">
        <v>0.18532499999999999</v>
      </c>
      <c r="M77" s="107">
        <v>1.2090999999999999E-2</v>
      </c>
      <c r="N77" s="107">
        <f t="shared" si="4"/>
        <v>0.24571499999999999</v>
      </c>
      <c r="O77" s="108">
        <f t="shared" si="5"/>
        <v>7.371449999999999E-3</v>
      </c>
    </row>
    <row r="78" spans="2:15" x14ac:dyDescent="0.4">
      <c r="B78" s="92">
        <v>48</v>
      </c>
      <c r="C78" s="93" t="s">
        <v>32</v>
      </c>
      <c r="D78" s="92" t="s">
        <v>32</v>
      </c>
      <c r="E78" s="92" t="s">
        <v>45</v>
      </c>
      <c r="F78" s="100">
        <v>0.63829787234042556</v>
      </c>
      <c r="G78" s="109">
        <f>F78*D$40</f>
        <v>29.361702127659576</v>
      </c>
      <c r="H78" s="96">
        <f t="shared" si="2"/>
        <v>8.0443019527834461E-2</v>
      </c>
      <c r="I78" s="97">
        <f t="shared" si="3"/>
        <v>17.882539148936171</v>
      </c>
      <c r="J78" s="100">
        <v>0.63829787234042556</v>
      </c>
      <c r="K78" s="98">
        <v>0.44561099999999998</v>
      </c>
      <c r="L78" s="98">
        <v>3.3017999999999999E-2</v>
      </c>
      <c r="M78" s="98">
        <v>0.130414</v>
      </c>
      <c r="N78" s="98">
        <f t="shared" si="4"/>
        <v>0.609043</v>
      </c>
      <c r="O78" s="99">
        <f t="shared" si="5"/>
        <v>0.38875085106382978</v>
      </c>
    </row>
    <row r="79" spans="2:15" x14ac:dyDescent="0.4">
      <c r="B79" s="92">
        <v>49</v>
      </c>
      <c r="C79" s="93" t="s">
        <v>32</v>
      </c>
      <c r="D79" s="92" t="s">
        <v>32</v>
      </c>
      <c r="E79" s="92" t="s">
        <v>57</v>
      </c>
      <c r="F79" s="100">
        <v>0.36170212765957449</v>
      </c>
      <c r="G79" s="109">
        <f>F79*D$40</f>
        <v>16.638297872340427</v>
      </c>
      <c r="H79" s="96">
        <f t="shared" si="2"/>
        <v>4.5584377732439528E-2</v>
      </c>
      <c r="I79" s="97">
        <f t="shared" si="3"/>
        <v>15.36002736170213</v>
      </c>
      <c r="J79" s="100">
        <v>0.36170212765957449</v>
      </c>
      <c r="K79" s="98">
        <v>0.49074200000000001</v>
      </c>
      <c r="L79" s="98">
        <v>3.2978E-2</v>
      </c>
      <c r="M79" s="98">
        <v>0.399453</v>
      </c>
      <c r="N79" s="98">
        <f t="shared" si="4"/>
        <v>0.92317300000000002</v>
      </c>
      <c r="O79" s="99">
        <f t="shared" si="5"/>
        <v>0.33391363829787235</v>
      </c>
    </row>
    <row r="80" spans="2:15" x14ac:dyDescent="0.4">
      <c r="B80" s="101">
        <v>50</v>
      </c>
      <c r="C80" s="102" t="s">
        <v>31</v>
      </c>
      <c r="D80" s="101" t="s">
        <v>31</v>
      </c>
      <c r="E80" s="101" t="s">
        <v>70</v>
      </c>
      <c r="F80" s="110">
        <v>0.43478260869565222</v>
      </c>
      <c r="G80" s="111">
        <f>F80*D$39</f>
        <v>19.565217391304351</v>
      </c>
      <c r="H80" s="105">
        <f t="shared" si="2"/>
        <v>5.3603335318642059E-2</v>
      </c>
      <c r="I80" s="106">
        <f t="shared" si="3"/>
        <v>49.565386956521749</v>
      </c>
      <c r="J80" s="110">
        <v>0.43478260869565222</v>
      </c>
      <c r="K80" s="107">
        <v>2.6889720000000001</v>
      </c>
      <c r="L80" s="107">
        <v>-0.18823500000000001</v>
      </c>
      <c r="M80" s="107">
        <v>3.2605000000000002E-2</v>
      </c>
      <c r="N80" s="107">
        <f t="shared" si="4"/>
        <v>2.5333420000000002</v>
      </c>
      <c r="O80" s="108">
        <f t="shared" si="5"/>
        <v>1.101453043478261</v>
      </c>
    </row>
    <row r="81" spans="2:15" x14ac:dyDescent="0.4">
      <c r="B81" s="101">
        <v>51</v>
      </c>
      <c r="C81" s="102" t="s">
        <v>31</v>
      </c>
      <c r="D81" s="101" t="s">
        <v>31</v>
      </c>
      <c r="E81" s="101" t="s">
        <v>66</v>
      </c>
      <c r="F81" s="110">
        <v>0.31521739130434784</v>
      </c>
      <c r="G81" s="111">
        <f>F81*D$39</f>
        <v>14.184782608695652</v>
      </c>
      <c r="H81" s="105">
        <f t="shared" si="2"/>
        <v>3.8862418106015484E-2</v>
      </c>
      <c r="I81" s="106">
        <f t="shared" si="3"/>
        <v>37.89660423913044</v>
      </c>
      <c r="J81" s="110">
        <v>0.31521739130434784</v>
      </c>
      <c r="K81" s="107">
        <v>2.9543300000000001</v>
      </c>
      <c r="L81" s="107">
        <v>-0.33082</v>
      </c>
      <c r="M81" s="107">
        <v>4.8127999999999997E-2</v>
      </c>
      <c r="N81" s="107">
        <f t="shared" si="4"/>
        <v>2.6716380000000002</v>
      </c>
      <c r="O81" s="108">
        <f t="shared" si="5"/>
        <v>0.8421467608695653</v>
      </c>
    </row>
    <row r="82" spans="2:15" x14ac:dyDescent="0.4">
      <c r="B82" s="101">
        <v>52</v>
      </c>
      <c r="C82" s="102" t="s">
        <v>31</v>
      </c>
      <c r="D82" s="101" t="s">
        <v>31</v>
      </c>
      <c r="E82" s="101" t="s">
        <v>71</v>
      </c>
      <c r="F82" s="110">
        <v>0.25000000000000006</v>
      </c>
      <c r="G82" s="111">
        <f>F82*D$39</f>
        <v>11.250000000000002</v>
      </c>
      <c r="H82" s="105">
        <f t="shared" si="2"/>
        <v>3.0821917808219183E-2</v>
      </c>
      <c r="I82" s="106">
        <f t="shared" si="3"/>
        <v>28.332945000000002</v>
      </c>
      <c r="J82" s="110">
        <v>0.25000000000000006</v>
      </c>
      <c r="K82" s="107">
        <v>2.6889720000000001</v>
      </c>
      <c r="L82" s="107">
        <v>-0.221641</v>
      </c>
      <c r="M82" s="107">
        <v>5.1152999999999997E-2</v>
      </c>
      <c r="N82" s="107">
        <f t="shared" si="4"/>
        <v>2.5184839999999999</v>
      </c>
      <c r="O82" s="108">
        <f t="shared" si="5"/>
        <v>0.6296210000000001</v>
      </c>
    </row>
    <row r="83" spans="2:15" x14ac:dyDescent="0.4">
      <c r="B83" s="92">
        <v>53</v>
      </c>
      <c r="C83" s="93" t="s">
        <v>125</v>
      </c>
      <c r="D83" s="92" t="s">
        <v>119</v>
      </c>
      <c r="E83" s="92" t="s">
        <v>153</v>
      </c>
      <c r="F83" s="100">
        <v>0.87</v>
      </c>
      <c r="G83" s="109">
        <f>F83*D$37</f>
        <v>13.92</v>
      </c>
      <c r="H83" s="96">
        <f t="shared" si="2"/>
        <v>3.8136986301369864E-2</v>
      </c>
      <c r="I83" s="97">
        <f t="shared" si="3"/>
        <v>5.7098587200000006</v>
      </c>
      <c r="J83" s="100">
        <v>0.87</v>
      </c>
      <c r="K83" s="98">
        <v>0.23339199999999999</v>
      </c>
      <c r="L83" s="98">
        <v>0.10185740000000001</v>
      </c>
      <c r="M83" s="112">
        <v>7.4941599999999997E-2</v>
      </c>
      <c r="N83" s="98">
        <f t="shared" si="4"/>
        <v>0.41019100000000003</v>
      </c>
      <c r="O83" s="99">
        <f t="shared" si="5"/>
        <v>0.35686617000000004</v>
      </c>
    </row>
    <row r="84" spans="2:15" s="62" customFormat="1" x14ac:dyDescent="0.4">
      <c r="B84" s="92">
        <v>55</v>
      </c>
      <c r="C84" s="93" t="s">
        <v>125</v>
      </c>
      <c r="D84" s="92" t="s">
        <v>119</v>
      </c>
      <c r="E84" s="92" t="s">
        <v>50</v>
      </c>
      <c r="F84" s="100">
        <v>0.13</v>
      </c>
      <c r="G84" s="109">
        <f>F84*D$37</f>
        <v>2.08</v>
      </c>
      <c r="H84" s="96">
        <f t="shared" si="2"/>
        <v>5.6986301369863013E-3</v>
      </c>
      <c r="I84" s="97">
        <f t="shared" si="3"/>
        <v>1.0867292799999999</v>
      </c>
      <c r="J84" s="100">
        <v>0.13</v>
      </c>
      <c r="K84" s="98">
        <v>0.41837200000000002</v>
      </c>
      <c r="L84" s="98">
        <v>0.10102999999999999</v>
      </c>
      <c r="M84" s="98">
        <v>3.0640000000000003E-3</v>
      </c>
      <c r="N84" s="98">
        <f t="shared" si="4"/>
        <v>0.52246599999999999</v>
      </c>
      <c r="O84" s="99">
        <f t="shared" si="5"/>
        <v>6.7920579999999994E-2</v>
      </c>
    </row>
    <row r="85" spans="2:15" x14ac:dyDescent="0.4">
      <c r="B85" s="101">
        <v>64</v>
      </c>
      <c r="C85" s="102" t="s">
        <v>26</v>
      </c>
      <c r="D85" s="101" t="s">
        <v>119</v>
      </c>
      <c r="E85" s="101" t="s">
        <v>153</v>
      </c>
      <c r="F85" s="110">
        <v>0.95</v>
      </c>
      <c r="G85" s="111">
        <f>F85*D$34</f>
        <v>14.25</v>
      </c>
      <c r="H85" s="105">
        <f t="shared" si="2"/>
        <v>3.9041095890410958E-2</v>
      </c>
      <c r="I85" s="106">
        <f t="shared" si="3"/>
        <v>79.842788678571424</v>
      </c>
      <c r="J85" s="110">
        <v>0.95</v>
      </c>
      <c r="K85" s="107">
        <v>3.0364174285714287</v>
      </c>
      <c r="L85" s="107">
        <v>0.69458014285714287</v>
      </c>
      <c r="M85" s="107">
        <v>1.8720051428571429</v>
      </c>
      <c r="N85" s="107">
        <f t="shared" si="4"/>
        <v>5.6030027142857142</v>
      </c>
      <c r="O85" s="108">
        <f t="shared" si="5"/>
        <v>5.3228525785714282</v>
      </c>
    </row>
    <row r="86" spans="2:15" s="62" customFormat="1" x14ac:dyDescent="0.4">
      <c r="B86" s="101">
        <v>72</v>
      </c>
      <c r="C86" s="102" t="s">
        <v>26</v>
      </c>
      <c r="D86" s="101" t="s">
        <v>119</v>
      </c>
      <c r="E86" s="101" t="s">
        <v>50</v>
      </c>
      <c r="F86" s="110">
        <v>0.05</v>
      </c>
      <c r="G86" s="111">
        <f>F86*D$34</f>
        <v>0.75</v>
      </c>
      <c r="H86" s="105">
        <f t="shared" si="2"/>
        <v>2.054794520547945E-3</v>
      </c>
      <c r="I86" s="106">
        <f t="shared" si="3"/>
        <v>2.9973498749999998</v>
      </c>
      <c r="J86" s="110">
        <v>0.05</v>
      </c>
      <c r="K86" s="107">
        <v>3.1400224999999997</v>
      </c>
      <c r="L86" s="107">
        <v>0.84133849999999999</v>
      </c>
      <c r="M86" s="107">
        <v>1.5105500000000001E-2</v>
      </c>
      <c r="N86" s="107">
        <f t="shared" si="4"/>
        <v>3.9964664999999999</v>
      </c>
      <c r="O86" s="108">
        <f t="shared" si="5"/>
        <v>0.199823325</v>
      </c>
    </row>
    <row r="87" spans="2:15" x14ac:dyDescent="0.4">
      <c r="B87" s="92">
        <v>73</v>
      </c>
      <c r="C87" s="93" t="s">
        <v>27</v>
      </c>
      <c r="D87" s="92" t="s">
        <v>119</v>
      </c>
      <c r="E87" s="92" t="s">
        <v>153</v>
      </c>
      <c r="F87" s="100">
        <v>0.98</v>
      </c>
      <c r="G87" s="109">
        <f>F87*D$35</f>
        <v>5.879999999999999</v>
      </c>
      <c r="H87" s="96">
        <f t="shared" si="2"/>
        <v>1.6109589041095888E-2</v>
      </c>
      <c r="I87" s="97">
        <f t="shared" si="3"/>
        <v>30.949749782174994</v>
      </c>
      <c r="J87" s="100">
        <v>0.98</v>
      </c>
      <c r="K87" s="98">
        <v>4.2625649156249992</v>
      </c>
      <c r="L87" s="98">
        <v>0.84579806062499996</v>
      </c>
      <c r="M87" s="98">
        <v>0.15519991187499996</v>
      </c>
      <c r="N87" s="98">
        <f t="shared" si="4"/>
        <v>5.2635628881249996</v>
      </c>
      <c r="O87" s="99">
        <f t="shared" si="5"/>
        <v>5.1582916303624993</v>
      </c>
    </row>
    <row r="88" spans="2:15" s="62" customFormat="1" x14ac:dyDescent="0.4">
      <c r="B88" s="92">
        <v>77</v>
      </c>
      <c r="C88" s="93" t="s">
        <v>27</v>
      </c>
      <c r="D88" s="92" t="s">
        <v>119</v>
      </c>
      <c r="E88" s="92" t="s">
        <v>50</v>
      </c>
      <c r="F88" s="100">
        <v>0.02</v>
      </c>
      <c r="G88" s="109">
        <f>F88*D$35</f>
        <v>0.11999999999999998</v>
      </c>
      <c r="H88" s="96">
        <f t="shared" si="2"/>
        <v>3.2876712328767119E-4</v>
      </c>
      <c r="I88" s="97">
        <f t="shared" si="3"/>
        <v>0.61663493039999995</v>
      </c>
      <c r="J88" s="100">
        <v>0.02</v>
      </c>
      <c r="K88" s="98">
        <v>4.5079172600000001</v>
      </c>
      <c r="L88" s="98">
        <v>0.61092601000000002</v>
      </c>
      <c r="M88" s="98">
        <v>1.9781150000000001E-2</v>
      </c>
      <c r="N88" s="98">
        <f t="shared" si="4"/>
        <v>5.1386244200000002</v>
      </c>
      <c r="O88" s="99">
        <f t="shared" si="5"/>
        <v>0.1027724884</v>
      </c>
    </row>
    <row r="89" spans="2:15" x14ac:dyDescent="0.4">
      <c r="B89" s="113">
        <v>78</v>
      </c>
      <c r="C89" s="113" t="s">
        <v>154</v>
      </c>
      <c r="D89" s="113" t="s">
        <v>119</v>
      </c>
      <c r="E89" s="113" t="s">
        <v>50</v>
      </c>
      <c r="F89" s="114">
        <v>1</v>
      </c>
      <c r="G89" s="113"/>
      <c r="H89" s="105"/>
      <c r="I89" s="106">
        <f t="shared" si="3"/>
        <v>0</v>
      </c>
      <c r="J89" s="114">
        <v>1</v>
      </c>
      <c r="K89" s="113">
        <v>1.9</v>
      </c>
      <c r="L89" s="113">
        <v>1.6</v>
      </c>
      <c r="M89" s="113">
        <v>0.02</v>
      </c>
      <c r="N89" s="107">
        <f t="shared" si="4"/>
        <v>3.52</v>
      </c>
      <c r="O89" s="108">
        <f t="shared" si="5"/>
        <v>3.52</v>
      </c>
    </row>
    <row r="90" spans="2:15" x14ac:dyDescent="0.4">
      <c r="B90" s="115">
        <v>79</v>
      </c>
      <c r="C90" s="115" t="s">
        <v>155</v>
      </c>
      <c r="D90" s="115" t="s">
        <v>119</v>
      </c>
      <c r="E90" s="115" t="s">
        <v>50</v>
      </c>
      <c r="F90" s="116">
        <v>1</v>
      </c>
      <c r="G90" s="115"/>
      <c r="H90" s="96"/>
      <c r="I90" s="97">
        <f t="shared" si="3"/>
        <v>0</v>
      </c>
      <c r="J90" s="116">
        <v>1</v>
      </c>
      <c r="K90" s="115">
        <v>7.5</v>
      </c>
      <c r="L90" s="115">
        <v>1.6</v>
      </c>
      <c r="M90" s="115">
        <v>0.02</v>
      </c>
      <c r="N90" s="98">
        <f t="shared" si="4"/>
        <v>9.1199999999999992</v>
      </c>
      <c r="O90" s="99">
        <f t="shared" si="5"/>
        <v>9.1199999999999992</v>
      </c>
    </row>
    <row r="91" spans="2:15" x14ac:dyDescent="0.4">
      <c r="B91" s="113">
        <v>80</v>
      </c>
      <c r="C91" s="113" t="s">
        <v>156</v>
      </c>
      <c r="D91" s="113" t="s">
        <v>119</v>
      </c>
      <c r="E91" s="113" t="s">
        <v>50</v>
      </c>
      <c r="F91" s="114">
        <v>1</v>
      </c>
      <c r="G91" s="113"/>
      <c r="H91" s="105"/>
      <c r="I91" s="106">
        <f t="shared" si="3"/>
        <v>0</v>
      </c>
      <c r="J91" s="114">
        <v>1</v>
      </c>
      <c r="K91" s="113">
        <v>7.0000000000000007E-2</v>
      </c>
      <c r="L91" s="113">
        <v>1.6</v>
      </c>
      <c r="M91" s="113">
        <v>3.0000000000000001E-3</v>
      </c>
      <c r="N91" s="107">
        <f t="shared" si="4"/>
        <v>1.673</v>
      </c>
      <c r="O91" s="108">
        <f t="shared" si="5"/>
        <v>1.673</v>
      </c>
    </row>
  </sheetData>
  <mergeCells count="1">
    <mergeCell ref="N28:N40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FF319-3AF9-47BD-A0FB-8491E7351F16}">
  <dimension ref="A1:AC65"/>
  <sheetViews>
    <sheetView showGridLines="0" topLeftCell="L1" zoomScale="55" zoomScaleNormal="55" workbookViewId="0">
      <selection activeCell="T23" sqref="T23"/>
    </sheetView>
  </sheetViews>
  <sheetFormatPr defaultColWidth="20.86328125" defaultRowHeight="20.100000000000001" customHeight="1" x14ac:dyDescent="0.45"/>
  <cols>
    <col min="9" max="9" width="24.1328125" bestFit="1" customWidth="1"/>
    <col min="14" max="14" width="25.1328125" bestFit="1" customWidth="1"/>
    <col min="15" max="15" width="26.1328125" bestFit="1" customWidth="1"/>
    <col min="20" max="20" width="24.1328125" bestFit="1" customWidth="1"/>
    <col min="23" max="23" width="36.265625" bestFit="1" customWidth="1"/>
  </cols>
  <sheetData>
    <row r="1" spans="1:29" ht="36.75" x14ac:dyDescent="0.65">
      <c r="A1" s="135"/>
      <c r="B1" s="227" t="s">
        <v>221</v>
      </c>
      <c r="C1" s="228"/>
      <c r="D1" s="228"/>
      <c r="E1" s="228"/>
      <c r="F1" s="228"/>
      <c r="G1" s="228"/>
      <c r="H1" s="229"/>
      <c r="I1" s="136"/>
      <c r="J1" s="136"/>
      <c r="K1" s="4"/>
      <c r="L1" s="135"/>
      <c r="M1" s="227" t="s">
        <v>221</v>
      </c>
      <c r="N1" s="228"/>
      <c r="O1" s="228"/>
      <c r="P1" s="228"/>
      <c r="Q1" s="228"/>
      <c r="R1" s="228"/>
      <c r="S1" s="229"/>
      <c r="T1" s="136"/>
      <c r="U1" s="136"/>
      <c r="W1" s="137" t="s">
        <v>222</v>
      </c>
      <c r="X1" s="138">
        <v>1</v>
      </c>
      <c r="Y1" s="138">
        <v>0.8</v>
      </c>
      <c r="Z1" s="138">
        <v>0.6</v>
      </c>
      <c r="AA1" s="138">
        <v>0.4</v>
      </c>
      <c r="AB1" s="138">
        <v>0.19999999999999996</v>
      </c>
      <c r="AC1" s="138">
        <v>0</v>
      </c>
    </row>
    <row r="2" spans="1:29" ht="20.100000000000001" customHeight="1" x14ac:dyDescent="0.65">
      <c r="A2" s="135"/>
      <c r="B2" s="139"/>
      <c r="C2" s="226" t="s">
        <v>223</v>
      </c>
      <c r="D2" s="226"/>
      <c r="E2" s="226"/>
      <c r="F2" s="226"/>
      <c r="G2" s="226"/>
      <c r="H2" s="226"/>
      <c r="I2" s="140"/>
      <c r="J2" s="136"/>
      <c r="K2" s="4"/>
      <c r="L2" s="135"/>
      <c r="M2" s="139"/>
      <c r="N2" s="226" t="s">
        <v>223</v>
      </c>
      <c r="O2" s="226"/>
      <c r="P2" s="226"/>
      <c r="Q2" s="226"/>
      <c r="R2" s="226"/>
      <c r="S2" s="226"/>
      <c r="T2" s="140"/>
      <c r="U2" s="136"/>
      <c r="W2" s="138" t="s">
        <v>224</v>
      </c>
      <c r="X2" s="141">
        <v>931.85803025031021</v>
      </c>
      <c r="Y2" s="141">
        <v>931.33758010101099</v>
      </c>
      <c r="Z2" s="141">
        <v>930.81494545077078</v>
      </c>
      <c r="AA2" s="141">
        <v>930.2923108005308</v>
      </c>
      <c r="AB2" s="141">
        <v>929.76967615029082</v>
      </c>
      <c r="AC2" s="141">
        <v>929.24704150005084</v>
      </c>
    </row>
    <row r="3" spans="1:29" ht="20.100000000000001" customHeight="1" x14ac:dyDescent="0.45">
      <c r="A3" s="135"/>
      <c r="B3" s="142" t="s">
        <v>225</v>
      </c>
      <c r="C3" s="138">
        <f>1-B4</f>
        <v>1</v>
      </c>
      <c r="D3" s="138">
        <f>1-B6</f>
        <v>0.8</v>
      </c>
      <c r="E3" s="138">
        <f>1-B8</f>
        <v>0.6</v>
      </c>
      <c r="F3" s="138">
        <f>1-B10</f>
        <v>0.4</v>
      </c>
      <c r="G3" s="138">
        <f>1-B12</f>
        <v>0.19999999999999996</v>
      </c>
      <c r="H3" s="138">
        <f>1-B14</f>
        <v>0</v>
      </c>
      <c r="I3" s="143" t="s">
        <v>226</v>
      </c>
      <c r="J3" s="144">
        <v>8.7900000000000006E-2</v>
      </c>
      <c r="K3" s="4"/>
      <c r="L3" s="135"/>
      <c r="M3" s="142" t="s">
        <v>225</v>
      </c>
      <c r="N3" s="138">
        <f>1-M4</f>
        <v>1</v>
      </c>
      <c r="O3" s="138">
        <f>1-M6</f>
        <v>0.8</v>
      </c>
      <c r="P3" s="138">
        <f>1-M8</f>
        <v>0.6</v>
      </c>
      <c r="Q3" s="138">
        <f>1-M10</f>
        <v>0.4</v>
      </c>
      <c r="R3" s="138">
        <f>1-M12</f>
        <v>0.19999999999999996</v>
      </c>
      <c r="S3" s="138">
        <f>1-M14</f>
        <v>0</v>
      </c>
      <c r="T3" s="143" t="s">
        <v>226</v>
      </c>
      <c r="U3" s="144">
        <v>8.7900000000000006E-2</v>
      </c>
      <c r="W3" s="143" t="s">
        <v>227</v>
      </c>
      <c r="X3" s="141">
        <v>924.52892384025097</v>
      </c>
      <c r="Y3" s="145">
        <v>924.40223455443095</v>
      </c>
      <c r="Z3" s="141">
        <v>924.36004020231087</v>
      </c>
      <c r="AA3" s="141">
        <v>924.31784585019079</v>
      </c>
      <c r="AB3" s="141">
        <v>924.27565149807094</v>
      </c>
      <c r="AC3" s="145">
        <v>924.23345714595087</v>
      </c>
    </row>
    <row r="4" spans="1:29" ht="20.100000000000001" customHeight="1" x14ac:dyDescent="0.65">
      <c r="A4" s="223" t="s">
        <v>228</v>
      </c>
      <c r="B4" s="221">
        <v>0</v>
      </c>
      <c r="C4" s="146">
        <f>B4*J3+J4</f>
        <v>3.3000000000000002E-2</v>
      </c>
      <c r="D4" s="147"/>
      <c r="E4" s="148"/>
      <c r="F4" s="149"/>
      <c r="G4" s="149"/>
      <c r="H4" s="149"/>
      <c r="I4" s="150" t="s">
        <v>229</v>
      </c>
      <c r="J4" s="151">
        <v>3.3000000000000002E-2</v>
      </c>
      <c r="L4" s="223" t="s">
        <v>228</v>
      </c>
      <c r="M4" s="221">
        <v>0</v>
      </c>
      <c r="N4" s="152">
        <v>2.8968907252747247</v>
      </c>
      <c r="O4" s="153"/>
      <c r="P4" s="153"/>
      <c r="Q4" s="154"/>
      <c r="R4" s="154"/>
      <c r="S4" s="154"/>
      <c r="T4" s="150" t="s">
        <v>229</v>
      </c>
      <c r="U4" s="151">
        <v>3.3000000000000002E-2</v>
      </c>
      <c r="W4" s="143" t="s">
        <v>230</v>
      </c>
      <c r="X4" s="141">
        <v>929.41751284347936</v>
      </c>
      <c r="Y4" s="141">
        <v>929.41751284347936</v>
      </c>
      <c r="Z4" s="141">
        <v>929.41751284347936</v>
      </c>
      <c r="AA4" s="141">
        <v>929.41751284347936</v>
      </c>
      <c r="AB4" s="141">
        <v>929.41751284347936</v>
      </c>
      <c r="AC4" s="141">
        <v>929.41751284347936</v>
      </c>
    </row>
    <row r="5" spans="1:29" ht="20.100000000000001" customHeight="1" x14ac:dyDescent="0.65">
      <c r="A5" s="224"/>
      <c r="B5" s="222"/>
      <c r="C5" s="155">
        <f>C3*J3+J5</f>
        <v>0.26370000000000005</v>
      </c>
      <c r="D5" s="149"/>
      <c r="E5" s="148"/>
      <c r="F5" s="149"/>
      <c r="G5" s="149"/>
      <c r="H5" s="149"/>
      <c r="I5" s="156" t="s">
        <v>231</v>
      </c>
      <c r="J5" s="157">
        <v>0.17580000000000001</v>
      </c>
      <c r="L5" s="224"/>
      <c r="M5" s="222"/>
      <c r="N5" s="158">
        <v>30.368134488599999</v>
      </c>
      <c r="O5" s="154"/>
      <c r="P5" s="153"/>
      <c r="Q5" s="154"/>
      <c r="R5" s="154"/>
      <c r="S5" s="154"/>
      <c r="T5" s="156" t="s">
        <v>231</v>
      </c>
      <c r="U5" s="157">
        <v>0.17580000000000001</v>
      </c>
      <c r="W5" s="159"/>
      <c r="X5" s="160"/>
      <c r="Y5" s="160"/>
      <c r="Z5" s="160"/>
      <c r="AA5" s="160"/>
      <c r="AB5" s="160"/>
      <c r="AC5" s="161"/>
    </row>
    <row r="6" spans="1:29" ht="20.100000000000001" customHeight="1" x14ac:dyDescent="0.65">
      <c r="A6" s="224"/>
      <c r="B6" s="221">
        <v>0.2</v>
      </c>
      <c r="C6" s="149"/>
      <c r="D6" s="162">
        <f>B6*J3+J4</f>
        <v>5.058E-2</v>
      </c>
      <c r="E6" s="148"/>
      <c r="F6" s="149"/>
      <c r="G6" s="149"/>
      <c r="H6" s="149"/>
      <c r="I6" s="163"/>
      <c r="J6" s="136"/>
      <c r="L6" s="224"/>
      <c r="M6" s="221">
        <v>0.2</v>
      </c>
      <c r="N6" s="154"/>
      <c r="O6" s="164">
        <v>4.4445835641599993</v>
      </c>
      <c r="P6" s="153"/>
      <c r="Q6" s="154"/>
      <c r="R6" s="154"/>
      <c r="S6" s="154"/>
      <c r="T6" s="163"/>
      <c r="U6" s="136"/>
      <c r="W6" s="140"/>
      <c r="X6" s="165"/>
      <c r="Y6" s="165"/>
      <c r="Z6" s="165"/>
      <c r="AA6" s="165"/>
      <c r="AB6" s="165"/>
      <c r="AC6" s="166"/>
    </row>
    <row r="7" spans="1:29" ht="20.100000000000001" customHeight="1" x14ac:dyDescent="0.65">
      <c r="A7" s="224"/>
      <c r="B7" s="222"/>
      <c r="C7" s="149"/>
      <c r="D7" s="155">
        <f>D3*J3+J5</f>
        <v>0.24612000000000001</v>
      </c>
      <c r="E7" s="148"/>
      <c r="F7" s="149"/>
      <c r="G7" s="149"/>
      <c r="H7" s="149"/>
      <c r="I7" s="163"/>
      <c r="J7" s="136"/>
      <c r="L7" s="224"/>
      <c r="M7" s="222"/>
      <c r="N7" s="154"/>
      <c r="O7" s="167">
        <v>28.343592189359995</v>
      </c>
      <c r="P7" s="153"/>
      <c r="Q7" s="154"/>
      <c r="R7" s="154"/>
      <c r="S7" s="154"/>
      <c r="T7" s="163"/>
      <c r="U7" s="136"/>
    </row>
    <row r="8" spans="1:29" ht="20.100000000000001" customHeight="1" x14ac:dyDescent="0.65">
      <c r="A8" s="224"/>
      <c r="B8" s="221">
        <v>0.4</v>
      </c>
      <c r="C8" s="149"/>
      <c r="D8" s="149"/>
      <c r="E8" s="168">
        <f>B8*J3+J4</f>
        <v>6.8159999999999998E-2</v>
      </c>
      <c r="F8" s="149"/>
      <c r="G8" s="149"/>
      <c r="H8" s="149"/>
      <c r="I8" s="163"/>
      <c r="J8" s="136"/>
      <c r="L8" s="224"/>
      <c r="M8" s="221">
        <v>0.4</v>
      </c>
      <c r="N8" s="154"/>
      <c r="O8" s="154"/>
      <c r="P8" s="152">
        <v>5.9893795123199984</v>
      </c>
      <c r="Q8" s="154"/>
      <c r="R8" s="154"/>
      <c r="S8" s="154"/>
      <c r="T8" s="163"/>
      <c r="U8" s="136"/>
    </row>
    <row r="9" spans="1:29" ht="20.100000000000001" customHeight="1" x14ac:dyDescent="0.65">
      <c r="A9" s="224"/>
      <c r="B9" s="222"/>
      <c r="C9" s="149"/>
      <c r="D9" s="149"/>
      <c r="E9" s="157">
        <f>E3*J3+J5</f>
        <v>0.22854000000000002</v>
      </c>
      <c r="F9" s="149"/>
      <c r="G9" s="149"/>
      <c r="H9" s="149"/>
      <c r="I9" s="163"/>
      <c r="J9" s="136"/>
      <c r="L9" s="224"/>
      <c r="M9" s="222"/>
      <c r="N9" s="154"/>
      <c r="O9" s="154"/>
      <c r="P9" s="169">
        <v>26.319049890119999</v>
      </c>
      <c r="Q9" s="154"/>
      <c r="R9" s="154"/>
      <c r="S9" s="154"/>
      <c r="T9" s="163"/>
      <c r="U9" s="136"/>
    </row>
    <row r="10" spans="1:29" ht="20.100000000000001" customHeight="1" x14ac:dyDescent="0.65">
      <c r="A10" s="224"/>
      <c r="B10" s="221">
        <v>0.6</v>
      </c>
      <c r="C10" s="149"/>
      <c r="D10" s="149"/>
      <c r="E10" s="170"/>
      <c r="F10" s="171">
        <f>B10*J3+J4</f>
        <v>8.5740000000000011E-2</v>
      </c>
      <c r="G10" s="149"/>
      <c r="H10" s="149"/>
      <c r="I10" s="163"/>
      <c r="J10" s="136"/>
      <c r="L10" s="224"/>
      <c r="M10" s="221">
        <v>0.6</v>
      </c>
      <c r="N10" s="154"/>
      <c r="O10" s="154"/>
      <c r="P10" s="172"/>
      <c r="Q10" s="173">
        <v>7.5341754604800002</v>
      </c>
      <c r="R10" s="154"/>
      <c r="S10" s="154"/>
      <c r="T10" s="163"/>
      <c r="U10" s="136"/>
    </row>
    <row r="11" spans="1:29" ht="20.100000000000001" customHeight="1" x14ac:dyDescent="0.65">
      <c r="A11" s="224"/>
      <c r="B11" s="222"/>
      <c r="C11" s="170"/>
      <c r="D11" s="170"/>
      <c r="E11" s="170"/>
      <c r="F11" s="174">
        <f>F3*J3+J5</f>
        <v>0.21096000000000001</v>
      </c>
      <c r="G11" s="175"/>
      <c r="H11" s="149"/>
      <c r="I11" s="163"/>
      <c r="J11" s="136"/>
      <c r="L11" s="224"/>
      <c r="M11" s="222"/>
      <c r="N11" s="172"/>
      <c r="O11" s="172"/>
      <c r="P11" s="172"/>
      <c r="Q11" s="176">
        <v>24.294507590879995</v>
      </c>
      <c r="R11" s="153"/>
      <c r="S11" s="154"/>
      <c r="T11" s="163"/>
      <c r="U11" s="136"/>
    </row>
    <row r="12" spans="1:29" ht="20.100000000000001" customHeight="1" x14ac:dyDescent="0.65">
      <c r="A12" s="224"/>
      <c r="B12" s="221">
        <v>0.8</v>
      </c>
      <c r="C12" s="175"/>
      <c r="D12" s="175"/>
      <c r="E12" s="175"/>
      <c r="F12" s="175"/>
      <c r="G12" s="162">
        <f>B12*J3+J4</f>
        <v>0.10332000000000001</v>
      </c>
      <c r="H12" s="149"/>
      <c r="I12" s="163"/>
      <c r="J12" s="136"/>
      <c r="L12" s="224"/>
      <c r="M12" s="221">
        <v>0.8</v>
      </c>
      <c r="N12" s="153"/>
      <c r="O12" s="153"/>
      <c r="P12" s="153"/>
      <c r="Q12" s="153"/>
      <c r="R12" s="164">
        <v>9.0789714086399975</v>
      </c>
      <c r="S12" s="154"/>
      <c r="T12" s="163"/>
      <c r="U12" s="136"/>
    </row>
    <row r="13" spans="1:29" ht="20.100000000000001" customHeight="1" x14ac:dyDescent="0.65">
      <c r="A13" s="224"/>
      <c r="B13" s="222"/>
      <c r="C13" s="175"/>
      <c r="D13" s="175"/>
      <c r="E13" s="149"/>
      <c r="F13" s="175"/>
      <c r="G13" s="155">
        <f>G3*J3+J5</f>
        <v>0.19338</v>
      </c>
      <c r="H13" s="149"/>
      <c r="I13" s="163"/>
      <c r="J13" s="136"/>
      <c r="L13" s="224"/>
      <c r="M13" s="222"/>
      <c r="N13" s="153"/>
      <c r="O13" s="153"/>
      <c r="P13" s="154"/>
      <c r="Q13" s="153"/>
      <c r="R13" s="167">
        <v>22.269965291639995</v>
      </c>
      <c r="S13" s="154"/>
      <c r="T13" s="163"/>
      <c r="U13" s="136"/>
    </row>
    <row r="14" spans="1:29" ht="20.100000000000001" customHeight="1" x14ac:dyDescent="0.65">
      <c r="A14" s="224"/>
      <c r="B14" s="221">
        <v>1</v>
      </c>
      <c r="C14" s="149"/>
      <c r="D14" s="177"/>
      <c r="E14" s="149"/>
      <c r="F14" s="149"/>
      <c r="G14" s="149"/>
      <c r="H14" s="162">
        <f>B14*J3+J4</f>
        <v>0.12090000000000001</v>
      </c>
      <c r="I14" s="163"/>
      <c r="J14" s="136"/>
      <c r="L14" s="224"/>
      <c r="M14" s="221">
        <v>1</v>
      </c>
      <c r="N14" s="154"/>
      <c r="O14" s="178"/>
      <c r="P14" s="154"/>
      <c r="Q14" s="154"/>
      <c r="R14" s="154"/>
      <c r="S14" s="164">
        <v>10.623767356799998</v>
      </c>
      <c r="T14" s="163"/>
      <c r="U14" s="136"/>
    </row>
    <row r="15" spans="1:29" ht="20.100000000000001" customHeight="1" x14ac:dyDescent="0.65">
      <c r="A15" s="225"/>
      <c r="B15" s="222"/>
      <c r="C15" s="149"/>
      <c r="D15" s="177"/>
      <c r="E15" s="177"/>
      <c r="F15" s="149"/>
      <c r="G15" s="149"/>
      <c r="H15" s="155">
        <f>H3*J3+J5</f>
        <v>0.17580000000000001</v>
      </c>
      <c r="I15" s="163"/>
      <c r="J15" s="136"/>
      <c r="L15" s="225"/>
      <c r="M15" s="222"/>
      <c r="N15" s="154"/>
      <c r="O15" s="178"/>
      <c r="P15" s="178"/>
      <c r="Q15" s="154"/>
      <c r="R15" s="154"/>
      <c r="S15" s="167">
        <v>20.245422992399998</v>
      </c>
      <c r="T15" s="163"/>
      <c r="U15" s="136"/>
    </row>
    <row r="16" spans="1:29" ht="20.100000000000001" customHeight="1" x14ac:dyDescent="0.45">
      <c r="A16" s="179"/>
      <c r="B16" s="180" t="s">
        <v>232</v>
      </c>
      <c r="C16" s="226" t="s">
        <v>223</v>
      </c>
      <c r="D16" s="226"/>
      <c r="E16" s="226"/>
      <c r="F16" s="226"/>
      <c r="G16" s="226"/>
      <c r="H16" s="226"/>
      <c r="I16" s="143" t="s">
        <v>226</v>
      </c>
      <c r="J16" s="181">
        <v>0.2198</v>
      </c>
      <c r="L16" s="179"/>
      <c r="M16" s="180" t="s">
        <v>232</v>
      </c>
      <c r="N16" s="226" t="s">
        <v>223</v>
      </c>
      <c r="O16" s="226"/>
      <c r="P16" s="226"/>
      <c r="Q16" s="226"/>
      <c r="R16" s="226"/>
      <c r="S16" s="226"/>
      <c r="T16" s="143" t="s">
        <v>226</v>
      </c>
      <c r="U16" s="181">
        <v>0.2198</v>
      </c>
    </row>
    <row r="17" spans="1:21" ht="20.100000000000001" customHeight="1" x14ac:dyDescent="0.65">
      <c r="A17" s="223" t="s">
        <v>228</v>
      </c>
      <c r="B17" s="221">
        <v>0</v>
      </c>
      <c r="C17" s="146">
        <f>J17</f>
        <v>8.7900000000000006E-2</v>
      </c>
      <c r="D17" s="175"/>
      <c r="E17" s="175"/>
      <c r="F17" s="149"/>
      <c r="G17" s="149"/>
      <c r="H17" s="149"/>
      <c r="I17" s="150" t="s">
        <v>229</v>
      </c>
      <c r="J17" s="151">
        <v>8.7900000000000006E-2</v>
      </c>
      <c r="L17" s="223" t="s">
        <v>228</v>
      </c>
      <c r="M17" s="221">
        <v>0</v>
      </c>
      <c r="N17" s="182">
        <v>5.1810166153846149</v>
      </c>
      <c r="O17" s="183"/>
      <c r="P17" s="183"/>
      <c r="Q17" s="184"/>
      <c r="R17" s="184"/>
      <c r="S17" s="184"/>
      <c r="T17" s="150" t="s">
        <v>229</v>
      </c>
      <c r="U17" s="151">
        <v>8.7900000000000006E-2</v>
      </c>
    </row>
    <row r="18" spans="1:21" ht="20.100000000000001" customHeight="1" x14ac:dyDescent="0.65">
      <c r="A18" s="224"/>
      <c r="B18" s="222"/>
      <c r="C18" s="155">
        <f>J16+J18</f>
        <v>0.61539999999999995</v>
      </c>
      <c r="D18" s="149"/>
      <c r="E18" s="175"/>
      <c r="F18" s="149"/>
      <c r="G18" s="149"/>
      <c r="H18" s="149"/>
      <c r="I18" s="156" t="s">
        <v>231</v>
      </c>
      <c r="J18" s="157">
        <v>0.39560000000000001</v>
      </c>
      <c r="L18" s="224"/>
      <c r="M18" s="222"/>
      <c r="N18" s="185">
        <v>36.868420148999995</v>
      </c>
      <c r="O18" s="184"/>
      <c r="P18" s="183"/>
      <c r="Q18" s="184"/>
      <c r="R18" s="184"/>
      <c r="S18" s="184"/>
      <c r="T18" s="156" t="s">
        <v>231</v>
      </c>
      <c r="U18" s="157">
        <v>0.39560000000000001</v>
      </c>
    </row>
    <row r="19" spans="1:21" ht="20.100000000000001" customHeight="1" x14ac:dyDescent="0.65">
      <c r="A19" s="224"/>
      <c r="B19" s="221">
        <v>0.2</v>
      </c>
      <c r="C19" s="149"/>
      <c r="D19" s="162">
        <f>B19*J16+J17</f>
        <v>0.13186</v>
      </c>
      <c r="E19" s="175"/>
      <c r="F19" s="149"/>
      <c r="G19" s="149"/>
      <c r="H19" s="149"/>
      <c r="I19" s="163"/>
      <c r="J19" s="136"/>
      <c r="L19" s="224"/>
      <c r="M19" s="221">
        <v>0.2</v>
      </c>
      <c r="N19" s="184"/>
      <c r="O19" s="186">
        <v>7.7710456790399993</v>
      </c>
      <c r="P19" s="183"/>
      <c r="Q19" s="184"/>
      <c r="R19" s="184"/>
      <c r="S19" s="184"/>
      <c r="T19" s="163"/>
      <c r="U19" s="136"/>
    </row>
    <row r="20" spans="1:21" ht="20.100000000000001" customHeight="1" x14ac:dyDescent="0.65">
      <c r="A20" s="224"/>
      <c r="B20" s="222"/>
      <c r="C20" s="149"/>
      <c r="D20" s="155">
        <f>D3*J16+J18</f>
        <v>0.57143999999999995</v>
      </c>
      <c r="E20" s="175"/>
      <c r="F20" s="149"/>
      <c r="G20" s="149"/>
      <c r="H20" s="149"/>
      <c r="I20" s="163"/>
      <c r="J20" s="136"/>
      <c r="L20" s="224"/>
      <c r="M20" s="222"/>
      <c r="N20" s="184"/>
      <c r="O20" s="185">
        <v>34.234790396399994</v>
      </c>
      <c r="P20" s="183"/>
      <c r="Q20" s="184"/>
      <c r="R20" s="184"/>
      <c r="S20" s="184"/>
      <c r="T20" s="163"/>
      <c r="U20" s="136"/>
    </row>
    <row r="21" spans="1:21" ht="20.100000000000001" customHeight="1" x14ac:dyDescent="0.65">
      <c r="A21" s="224"/>
      <c r="B21" s="221">
        <v>0.4</v>
      </c>
      <c r="C21" s="149"/>
      <c r="D21" s="149"/>
      <c r="E21" s="146">
        <f>B21*J16+J17</f>
        <v>0.17582</v>
      </c>
      <c r="F21" s="149"/>
      <c r="G21" s="149"/>
      <c r="H21" s="149"/>
      <c r="I21" s="163"/>
      <c r="J21" s="136"/>
      <c r="L21" s="224"/>
      <c r="M21" s="221">
        <v>0.4</v>
      </c>
      <c r="N21" s="184"/>
      <c r="O21" s="184"/>
      <c r="P21" s="182">
        <v>10.36178713248</v>
      </c>
      <c r="Q21" s="184"/>
      <c r="R21" s="184"/>
      <c r="S21" s="184"/>
      <c r="T21" s="163"/>
      <c r="U21" s="136"/>
    </row>
    <row r="22" spans="1:21" ht="20.100000000000001" customHeight="1" x14ac:dyDescent="0.65">
      <c r="A22" s="224"/>
      <c r="B22" s="222"/>
      <c r="C22" s="149"/>
      <c r="D22" s="149"/>
      <c r="E22" s="157">
        <f>E3*J16+J18</f>
        <v>0.52747999999999995</v>
      </c>
      <c r="F22" s="149"/>
      <c r="G22" s="149"/>
      <c r="H22" s="149"/>
      <c r="I22" s="163"/>
      <c r="J22" s="136"/>
      <c r="L22" s="224"/>
      <c r="M22" s="222"/>
      <c r="N22" s="184"/>
      <c r="O22" s="184"/>
      <c r="P22" s="187">
        <v>31.601160643799993</v>
      </c>
      <c r="Q22" s="184"/>
      <c r="R22" s="184"/>
      <c r="S22" s="184"/>
      <c r="T22" s="163"/>
      <c r="U22" s="136"/>
    </row>
    <row r="23" spans="1:21" ht="20.100000000000001" customHeight="1" x14ac:dyDescent="0.65">
      <c r="A23" s="224"/>
      <c r="B23" s="221">
        <v>0.6</v>
      </c>
      <c r="C23" s="149"/>
      <c r="D23" s="149"/>
      <c r="E23" s="170"/>
      <c r="F23" s="162">
        <f>B23*J16+J17</f>
        <v>0.21978</v>
      </c>
      <c r="G23" s="149"/>
      <c r="H23" s="149"/>
      <c r="I23" s="163"/>
      <c r="J23" s="136"/>
      <c r="L23" s="224"/>
      <c r="M23" s="221">
        <v>0.6</v>
      </c>
      <c r="N23" s="184"/>
      <c r="O23" s="184"/>
      <c r="P23" s="188"/>
      <c r="Q23" s="186">
        <v>12.95252858592</v>
      </c>
      <c r="R23" s="184"/>
      <c r="S23" s="184"/>
      <c r="T23" s="163"/>
      <c r="U23" s="136"/>
    </row>
    <row r="24" spans="1:21" ht="20.100000000000001" customHeight="1" x14ac:dyDescent="0.65">
      <c r="A24" s="224"/>
      <c r="B24" s="222"/>
      <c r="C24" s="170"/>
      <c r="D24" s="170"/>
      <c r="E24" s="170"/>
      <c r="F24" s="157">
        <f>F3*J16+J18</f>
        <v>0.48352000000000001</v>
      </c>
      <c r="G24" s="175"/>
      <c r="H24" s="149"/>
      <c r="I24" s="163"/>
      <c r="J24" s="136"/>
      <c r="L24" s="224"/>
      <c r="M24" s="222"/>
      <c r="N24" s="188"/>
      <c r="O24" s="188"/>
      <c r="P24" s="188"/>
      <c r="Q24" s="187">
        <v>28.967530891199999</v>
      </c>
      <c r="R24" s="183"/>
      <c r="S24" s="184"/>
      <c r="T24" s="163"/>
      <c r="U24" s="136"/>
    </row>
    <row r="25" spans="1:21" ht="20.100000000000001" customHeight="1" x14ac:dyDescent="0.65">
      <c r="A25" s="224"/>
      <c r="B25" s="221">
        <v>0.8</v>
      </c>
      <c r="C25" s="175"/>
      <c r="D25" s="175"/>
      <c r="E25" s="175"/>
      <c r="F25" s="175"/>
      <c r="G25" s="162">
        <f>B25*J16+J17</f>
        <v>0.26373999999999997</v>
      </c>
      <c r="H25" s="149"/>
      <c r="I25" s="163"/>
      <c r="J25" s="136"/>
      <c r="L25" s="224"/>
      <c r="M25" s="221">
        <v>0.8</v>
      </c>
      <c r="N25" s="183"/>
      <c r="O25" s="183"/>
      <c r="P25" s="183"/>
      <c r="Q25" s="183"/>
      <c r="R25" s="186">
        <v>15.543270039359998</v>
      </c>
      <c r="S25" s="184"/>
      <c r="T25" s="163"/>
      <c r="U25" s="136"/>
    </row>
    <row r="26" spans="1:21" ht="20.100000000000001" customHeight="1" x14ac:dyDescent="0.65">
      <c r="A26" s="224"/>
      <c r="B26" s="222"/>
      <c r="C26" s="175"/>
      <c r="D26" s="175"/>
      <c r="E26" s="149"/>
      <c r="F26" s="175"/>
      <c r="G26" s="155">
        <f>G3*J16+J18</f>
        <v>0.43956000000000001</v>
      </c>
      <c r="H26" s="149"/>
      <c r="I26" s="163"/>
      <c r="J26" s="136"/>
      <c r="L26" s="224"/>
      <c r="M26" s="222"/>
      <c r="N26" s="183"/>
      <c r="O26" s="183"/>
      <c r="P26" s="184"/>
      <c r="Q26" s="183"/>
      <c r="R26" s="185">
        <v>26.333901138599998</v>
      </c>
      <c r="S26" s="184"/>
      <c r="T26" s="163"/>
      <c r="U26" s="136"/>
    </row>
    <row r="27" spans="1:21" ht="20.100000000000001" customHeight="1" x14ac:dyDescent="0.65">
      <c r="A27" s="224"/>
      <c r="B27" s="221">
        <v>1</v>
      </c>
      <c r="C27" s="189"/>
      <c r="D27" s="190"/>
      <c r="E27" s="189"/>
      <c r="F27" s="149"/>
      <c r="G27" s="149"/>
      <c r="H27" s="162">
        <f>B27*J16+J17</f>
        <v>0.30769999999999997</v>
      </c>
      <c r="I27" s="163"/>
      <c r="J27" s="136"/>
      <c r="L27" s="224"/>
      <c r="M27" s="221">
        <v>1</v>
      </c>
      <c r="N27" s="184"/>
      <c r="O27" s="191"/>
      <c r="P27" s="184"/>
      <c r="Q27" s="184"/>
      <c r="R27" s="184"/>
      <c r="S27" s="186">
        <v>18.134011492799999</v>
      </c>
      <c r="T27" s="163"/>
      <c r="U27" s="136"/>
    </row>
    <row r="28" spans="1:21" ht="20.100000000000001" customHeight="1" x14ac:dyDescent="0.65">
      <c r="A28" s="224"/>
      <c r="B28" s="222"/>
      <c r="C28" s="189"/>
      <c r="D28" s="190"/>
      <c r="E28" s="190"/>
      <c r="F28" s="149"/>
      <c r="G28" s="149"/>
      <c r="H28" s="155">
        <f>J18</f>
        <v>0.39560000000000001</v>
      </c>
      <c r="I28" s="163"/>
      <c r="J28" s="136"/>
      <c r="L28" s="224"/>
      <c r="M28" s="222"/>
      <c r="N28" s="184"/>
      <c r="O28" s="191"/>
      <c r="P28" s="191"/>
      <c r="Q28" s="184"/>
      <c r="R28" s="184"/>
      <c r="S28" s="185">
        <v>23.700271385999997</v>
      </c>
      <c r="T28" s="163"/>
      <c r="U28" s="136"/>
    </row>
    <row r="29" spans="1:21" ht="20.100000000000001" customHeight="1" x14ac:dyDescent="0.65">
      <c r="A29" s="225"/>
      <c r="B29" s="139" t="s">
        <v>233</v>
      </c>
      <c r="C29" s="192">
        <f>SUM(C4:C28)</f>
        <v>1</v>
      </c>
      <c r="D29" s="192">
        <f t="shared" ref="D29:H29" si="0">SUM(D4:D28)</f>
        <v>1</v>
      </c>
      <c r="E29" s="192">
        <f t="shared" si="0"/>
        <v>1</v>
      </c>
      <c r="F29" s="192">
        <f t="shared" si="0"/>
        <v>1</v>
      </c>
      <c r="G29" s="192">
        <f t="shared" si="0"/>
        <v>1</v>
      </c>
      <c r="H29" s="192">
        <f t="shared" si="0"/>
        <v>1</v>
      </c>
      <c r="I29" s="136"/>
      <c r="J29" s="136"/>
      <c r="L29" s="225"/>
      <c r="M29" s="139" t="s">
        <v>234</v>
      </c>
      <c r="N29" s="193">
        <f t="shared" ref="N29:S29" si="1">SUM(N4:N28)</f>
        <v>75.314461978259331</v>
      </c>
      <c r="O29" s="193">
        <f t="shared" si="1"/>
        <v>74.794011828959981</v>
      </c>
      <c r="P29" s="193">
        <f t="shared" si="1"/>
        <v>74.271377178720002</v>
      </c>
      <c r="Q29" s="193">
        <f t="shared" si="1"/>
        <v>73.748742528479994</v>
      </c>
      <c r="R29" s="193">
        <f t="shared" si="1"/>
        <v>73.226107878239986</v>
      </c>
      <c r="S29" s="194">
        <f t="shared" si="1"/>
        <v>72.703473227999993</v>
      </c>
      <c r="T29" s="136"/>
      <c r="U29" s="136"/>
    </row>
    <row r="30" spans="1:21" ht="20.100000000000001" customHeight="1" x14ac:dyDescent="0.45">
      <c r="A30" s="195"/>
      <c r="B30" s="196" t="s">
        <v>235</v>
      </c>
      <c r="C30" s="197">
        <v>931.85803025031021</v>
      </c>
      <c r="D30" s="197">
        <v>931.33758010101099</v>
      </c>
      <c r="E30" s="197">
        <v>930.81494545077078</v>
      </c>
      <c r="F30" s="197">
        <v>930.2923108005308</v>
      </c>
      <c r="G30" s="197">
        <v>929.76967615029082</v>
      </c>
      <c r="H30" s="197">
        <v>929.24704150005084</v>
      </c>
      <c r="I30" s="139" t="s">
        <v>236</v>
      </c>
      <c r="J30" s="198">
        <f>'[1]Optimal Diet + 30 by 30'!C3</f>
        <v>929.41751284347936</v>
      </c>
      <c r="L30" s="199"/>
      <c r="M30" s="150" t="s">
        <v>229</v>
      </c>
      <c r="N30" s="200">
        <f>SUM(N4+N17)</f>
        <v>8.0779073406593405</v>
      </c>
      <c r="O30" s="200">
        <f>SUM(O6+O19)</f>
        <v>12.215629243199999</v>
      </c>
      <c r="P30" s="200">
        <f>P8+P21</f>
        <v>16.351166644799999</v>
      </c>
      <c r="Q30" s="200">
        <f>Q10+Q23</f>
        <v>20.4867040464</v>
      </c>
      <c r="R30" s="200">
        <f>R12+R25</f>
        <v>24.622241447999997</v>
      </c>
      <c r="S30" s="200">
        <f>S14+S27</f>
        <v>28.757778849599998</v>
      </c>
      <c r="T30" s="201"/>
      <c r="U30" s="165"/>
    </row>
    <row r="31" spans="1:21" ht="20.100000000000001" customHeight="1" x14ac:dyDescent="0.65">
      <c r="A31" s="195"/>
      <c r="B31" s="196" t="s">
        <v>237</v>
      </c>
      <c r="C31" s="197">
        <f>C30-J30</f>
        <v>2.4405174068308497</v>
      </c>
      <c r="D31" s="197">
        <f>D30-J30</f>
        <v>1.9200672575316275</v>
      </c>
      <c r="E31" s="197">
        <f>E30-J30</f>
        <v>1.3974326072914209</v>
      </c>
      <c r="F31" s="197">
        <f>F30-J30</f>
        <v>0.8747979570514417</v>
      </c>
      <c r="G31" s="197">
        <f>G30-J30</f>
        <v>0.35216330681146246</v>
      </c>
      <c r="H31" s="202">
        <f>H30-J30</f>
        <v>-0.17047134342851678</v>
      </c>
      <c r="I31" s="140"/>
      <c r="J31" s="136"/>
      <c r="L31" s="203"/>
      <c r="M31" s="204" t="s">
        <v>226</v>
      </c>
      <c r="N31" s="200">
        <f>SUM(N5+N18)</f>
        <v>67.236554637599994</v>
      </c>
      <c r="O31" s="205">
        <f>SUM(O7+O20)</f>
        <v>62.578382585759989</v>
      </c>
      <c r="P31" s="200">
        <f>P9+P22</f>
        <v>57.920210533919992</v>
      </c>
      <c r="Q31" s="200">
        <f>Q11+Q24</f>
        <v>53.262038482079994</v>
      </c>
      <c r="R31" s="200">
        <f>R13+R26</f>
        <v>48.603866430239989</v>
      </c>
      <c r="S31" s="205">
        <f>S15+S28</f>
        <v>43.945694378399992</v>
      </c>
      <c r="T31" s="140"/>
      <c r="U31" s="136"/>
    </row>
    <row r="32" spans="1:21" ht="20.100000000000001" customHeight="1" x14ac:dyDescent="0.65">
      <c r="A32" s="206"/>
      <c r="B32" s="140"/>
      <c r="C32" s="165"/>
      <c r="D32" s="165"/>
      <c r="E32" s="165"/>
      <c r="F32" s="165"/>
      <c r="G32" s="165"/>
      <c r="H32" s="166"/>
      <c r="I32" s="140"/>
      <c r="J32" s="136"/>
      <c r="L32" s="206"/>
      <c r="M32" s="140"/>
      <c r="N32" s="207"/>
      <c r="O32" s="208"/>
      <c r="P32" s="207"/>
      <c r="Q32" s="207"/>
      <c r="R32" s="207"/>
      <c r="S32" s="208"/>
      <c r="T32" s="140"/>
      <c r="U32" s="136"/>
    </row>
    <row r="33" spans="1:21" ht="20.100000000000001" customHeight="1" x14ac:dyDescent="0.65">
      <c r="A33" s="206"/>
      <c r="B33" s="140"/>
      <c r="C33" s="165"/>
      <c r="D33" s="165"/>
      <c r="E33" s="165"/>
      <c r="F33" s="165"/>
      <c r="G33" s="165"/>
      <c r="H33" s="166"/>
      <c r="I33" s="140"/>
      <c r="J33" s="136"/>
      <c r="L33" s="206"/>
      <c r="M33" s="140"/>
      <c r="N33" s="207"/>
      <c r="O33" s="208"/>
      <c r="P33" s="207"/>
      <c r="Q33" s="207"/>
      <c r="R33" s="207"/>
      <c r="S33" s="208"/>
      <c r="T33" s="140"/>
      <c r="U33" s="136"/>
    </row>
    <row r="35" spans="1:21" ht="54" customHeight="1" x14ac:dyDescent="0.65">
      <c r="A35" s="135"/>
      <c r="B35" s="227" t="s">
        <v>238</v>
      </c>
      <c r="C35" s="228"/>
      <c r="D35" s="228"/>
      <c r="E35" s="228"/>
      <c r="F35" s="228"/>
      <c r="G35" s="228"/>
      <c r="H35" s="229"/>
      <c r="I35" s="136"/>
      <c r="J35" s="136"/>
      <c r="K35" s="4"/>
      <c r="L35" s="135"/>
      <c r="M35" s="227" t="s">
        <v>238</v>
      </c>
      <c r="N35" s="228"/>
      <c r="O35" s="228"/>
      <c r="P35" s="228"/>
      <c r="Q35" s="228"/>
      <c r="R35" s="228"/>
      <c r="S35" s="229"/>
      <c r="T35" s="136"/>
    </row>
    <row r="36" spans="1:21" ht="20.100000000000001" customHeight="1" x14ac:dyDescent="0.65">
      <c r="A36" s="135"/>
      <c r="B36" s="139"/>
      <c r="C36" s="226" t="s">
        <v>239</v>
      </c>
      <c r="D36" s="226"/>
      <c r="E36" s="226"/>
      <c r="F36" s="226"/>
      <c r="G36" s="226"/>
      <c r="H36" s="226"/>
      <c r="I36" s="140"/>
      <c r="J36" s="136"/>
      <c r="K36" s="4"/>
      <c r="L36" s="135"/>
      <c r="M36" s="139"/>
      <c r="N36" s="226" t="s">
        <v>239</v>
      </c>
      <c r="O36" s="226"/>
      <c r="P36" s="226"/>
      <c r="Q36" s="226"/>
      <c r="R36" s="226"/>
      <c r="S36" s="226"/>
      <c r="T36" s="140"/>
    </row>
    <row r="37" spans="1:21" ht="20.100000000000001" customHeight="1" x14ac:dyDescent="0.45">
      <c r="A37" s="135"/>
      <c r="B37" s="142" t="s">
        <v>225</v>
      </c>
      <c r="C37" s="138">
        <f>1-B38</f>
        <v>1</v>
      </c>
      <c r="D37" s="138">
        <f>1-B40</f>
        <v>0.8</v>
      </c>
      <c r="E37" s="138">
        <f>1-B42</f>
        <v>0.6</v>
      </c>
      <c r="F37" s="138">
        <f>1-B44</f>
        <v>0.4</v>
      </c>
      <c r="G37" s="138">
        <f>1-B46</f>
        <v>0.19999999999999996</v>
      </c>
      <c r="H37" s="138">
        <f>1-B48</f>
        <v>0</v>
      </c>
      <c r="I37" s="138" t="s">
        <v>231</v>
      </c>
      <c r="J37" s="144">
        <v>0.17580000000000001</v>
      </c>
      <c r="K37" s="4"/>
      <c r="L37" s="135"/>
      <c r="M37" s="142" t="s">
        <v>225</v>
      </c>
      <c r="N37" s="138">
        <f>1-M38</f>
        <v>1</v>
      </c>
      <c r="O37" s="138">
        <f>1-M40</f>
        <v>0.8</v>
      </c>
      <c r="P37" s="138">
        <f>1-M42</f>
        <v>0.6</v>
      </c>
      <c r="Q37" s="138">
        <f>1-M44</f>
        <v>0.4</v>
      </c>
      <c r="R37" s="138">
        <f>1-M46</f>
        <v>0.19999999999999996</v>
      </c>
      <c r="S37" s="138">
        <f>1-M48</f>
        <v>0</v>
      </c>
      <c r="T37" s="138" t="s">
        <v>231</v>
      </c>
    </row>
    <row r="38" spans="1:21" ht="20.100000000000001" customHeight="1" x14ac:dyDescent="0.65">
      <c r="A38" s="223" t="s">
        <v>228</v>
      </c>
      <c r="B38" s="221">
        <v>0</v>
      </c>
      <c r="C38" s="146">
        <f>J37+J39</f>
        <v>0.26370000000000005</v>
      </c>
      <c r="D38" s="147"/>
      <c r="E38" s="148"/>
      <c r="F38" s="149"/>
      <c r="G38" s="149"/>
      <c r="H38" s="149"/>
      <c r="I38" s="150" t="s">
        <v>229</v>
      </c>
      <c r="J38" s="151">
        <v>3.3000000000000002E-2</v>
      </c>
      <c r="L38" s="223" t="s">
        <v>228</v>
      </c>
      <c r="M38" s="221">
        <v>0</v>
      </c>
      <c r="N38" s="152">
        <v>23.171939222399999</v>
      </c>
      <c r="O38" s="153"/>
      <c r="P38" s="153"/>
      <c r="Q38" s="154"/>
      <c r="R38" s="154"/>
      <c r="S38" s="154"/>
      <c r="T38" s="150" t="s">
        <v>229</v>
      </c>
    </row>
    <row r="39" spans="1:21" ht="20.100000000000001" customHeight="1" x14ac:dyDescent="0.65">
      <c r="A39" s="224"/>
      <c r="B39" s="222"/>
      <c r="C39" s="155">
        <f>J38</f>
        <v>3.3000000000000002E-2</v>
      </c>
      <c r="D39" s="149"/>
      <c r="E39" s="148"/>
      <c r="F39" s="149"/>
      <c r="G39" s="149"/>
      <c r="H39" s="149"/>
      <c r="I39" s="204" t="s">
        <v>226</v>
      </c>
      <c r="J39" s="157">
        <v>8.7900000000000006E-2</v>
      </c>
      <c r="L39" s="224"/>
      <c r="M39" s="222"/>
      <c r="N39" s="158">
        <v>2.7221846849999998</v>
      </c>
      <c r="O39" s="154"/>
      <c r="P39" s="153"/>
      <c r="Q39" s="154"/>
      <c r="R39" s="154"/>
      <c r="S39" s="154"/>
      <c r="T39" s="204" t="s">
        <v>226</v>
      </c>
    </row>
    <row r="40" spans="1:21" ht="20.100000000000001" customHeight="1" x14ac:dyDescent="0.65">
      <c r="A40" s="224"/>
      <c r="B40" s="221">
        <v>0.2</v>
      </c>
      <c r="C40" s="149"/>
      <c r="D40" s="162">
        <f>B40*J37+J38</f>
        <v>6.8159999999999998E-2</v>
      </c>
      <c r="E40" s="148"/>
      <c r="F40" s="149"/>
      <c r="G40" s="149"/>
      <c r="H40" s="149"/>
      <c r="I40" s="209"/>
      <c r="J40" s="210"/>
      <c r="L40" s="224"/>
      <c r="M40" s="221">
        <v>0.2</v>
      </c>
      <c r="N40" s="154"/>
      <c r="O40" s="164">
        <v>5.9893795123199984</v>
      </c>
      <c r="P40" s="153"/>
      <c r="Q40" s="154"/>
      <c r="R40" s="154"/>
      <c r="S40" s="154"/>
      <c r="T40" s="209"/>
    </row>
    <row r="41" spans="1:21" ht="20.100000000000001" customHeight="1" x14ac:dyDescent="0.65">
      <c r="A41" s="224"/>
      <c r="B41" s="222"/>
      <c r="C41" s="149"/>
      <c r="D41" s="155">
        <f>D37*J37+J39</f>
        <v>0.22854000000000002</v>
      </c>
      <c r="E41" s="148"/>
      <c r="F41" s="149"/>
      <c r="G41" s="149"/>
      <c r="H41" s="149"/>
      <c r="I41" s="163"/>
      <c r="J41" s="211"/>
      <c r="L41" s="224"/>
      <c r="M41" s="222"/>
      <c r="N41" s="154"/>
      <c r="O41" s="167">
        <v>18.852366300299998</v>
      </c>
      <c r="P41" s="153"/>
      <c r="Q41" s="154"/>
      <c r="R41" s="154"/>
      <c r="S41" s="154"/>
      <c r="T41" s="163"/>
    </row>
    <row r="42" spans="1:21" ht="20.100000000000001" customHeight="1" x14ac:dyDescent="0.65">
      <c r="A42" s="224"/>
      <c r="B42" s="221">
        <v>0.4</v>
      </c>
      <c r="C42" s="149"/>
      <c r="D42" s="149"/>
      <c r="E42" s="168">
        <f>B42*J37+J38</f>
        <v>0.10332000000000001</v>
      </c>
      <c r="F42" s="149"/>
      <c r="G42" s="149"/>
      <c r="H42" s="149"/>
      <c r="I42" s="163"/>
      <c r="J42" s="210"/>
      <c r="L42" s="224"/>
      <c r="M42" s="221">
        <v>0.4</v>
      </c>
      <c r="N42" s="154"/>
      <c r="O42" s="154"/>
      <c r="P42" s="152">
        <v>9.0789714086399975</v>
      </c>
      <c r="Q42" s="154"/>
      <c r="R42" s="154"/>
      <c r="S42" s="154"/>
      <c r="T42" s="163"/>
    </row>
    <row r="43" spans="1:21" ht="20.100000000000001" customHeight="1" x14ac:dyDescent="0.65">
      <c r="A43" s="224"/>
      <c r="B43" s="222"/>
      <c r="C43" s="149"/>
      <c r="D43" s="149"/>
      <c r="E43" s="157">
        <f>E37*J37+J39</f>
        <v>0.19338</v>
      </c>
      <c r="F43" s="149"/>
      <c r="G43" s="149"/>
      <c r="H43" s="149"/>
      <c r="I43" s="163"/>
      <c r="J43" s="136"/>
      <c r="L43" s="224"/>
      <c r="M43" s="222"/>
      <c r="N43" s="154"/>
      <c r="O43" s="154"/>
      <c r="P43" s="169">
        <v>15.952002254099995</v>
      </c>
      <c r="Q43" s="154"/>
      <c r="R43" s="154"/>
      <c r="S43" s="154"/>
      <c r="T43" s="163"/>
    </row>
    <row r="44" spans="1:21" ht="20.100000000000001" customHeight="1" x14ac:dyDescent="0.65">
      <c r="A44" s="224"/>
      <c r="B44" s="221">
        <v>0.6</v>
      </c>
      <c r="C44" s="149"/>
      <c r="D44" s="149"/>
      <c r="E44" s="170"/>
      <c r="F44" s="171">
        <f>B44*J37+J38</f>
        <v>0.13847999999999999</v>
      </c>
      <c r="G44" s="149"/>
      <c r="H44" s="149"/>
      <c r="I44" s="163"/>
      <c r="J44" s="136"/>
      <c r="L44" s="224"/>
      <c r="M44" s="221">
        <v>0.6</v>
      </c>
      <c r="N44" s="154"/>
      <c r="O44" s="154"/>
      <c r="P44" s="172"/>
      <c r="Q44" s="173">
        <v>12.168563304959997</v>
      </c>
      <c r="R44" s="154"/>
      <c r="S44" s="154"/>
      <c r="T44" s="163"/>
    </row>
    <row r="45" spans="1:21" ht="20.100000000000001" customHeight="1" x14ac:dyDescent="0.65">
      <c r="A45" s="224"/>
      <c r="B45" s="222"/>
      <c r="C45" s="170"/>
      <c r="D45" s="170"/>
      <c r="E45" s="170"/>
      <c r="F45" s="174">
        <f>F37*J37+J39</f>
        <v>0.15822000000000003</v>
      </c>
      <c r="G45" s="175"/>
      <c r="H45" s="149"/>
      <c r="I45" s="163"/>
      <c r="J45" s="136"/>
      <c r="L45" s="224"/>
      <c r="M45" s="222"/>
      <c r="N45" s="172"/>
      <c r="O45" s="172"/>
      <c r="P45" s="172"/>
      <c r="Q45" s="176">
        <v>13.0516382079</v>
      </c>
      <c r="R45" s="153"/>
      <c r="S45" s="154"/>
      <c r="T45" s="163"/>
    </row>
    <row r="46" spans="1:21" ht="20.100000000000001" customHeight="1" x14ac:dyDescent="0.65">
      <c r="A46" s="224"/>
      <c r="B46" s="221">
        <v>0.8</v>
      </c>
      <c r="C46" s="175"/>
      <c r="D46" s="175"/>
      <c r="E46" s="175"/>
      <c r="F46" s="175"/>
      <c r="G46" s="162">
        <f>B46*J37+J38</f>
        <v>0.17364000000000002</v>
      </c>
      <c r="H46" s="149"/>
      <c r="I46" s="163"/>
      <c r="J46" s="136"/>
      <c r="L46" s="224"/>
      <c r="M46" s="221">
        <v>0.8</v>
      </c>
      <c r="N46" s="153"/>
      <c r="O46" s="153"/>
      <c r="P46" s="153"/>
      <c r="Q46" s="153"/>
      <c r="R46" s="164">
        <v>15.258155201279997</v>
      </c>
      <c r="S46" s="154"/>
      <c r="T46" s="163"/>
    </row>
    <row r="47" spans="1:21" ht="20.100000000000001" customHeight="1" x14ac:dyDescent="0.65">
      <c r="A47" s="224"/>
      <c r="B47" s="222"/>
      <c r="C47" s="175"/>
      <c r="D47" s="175"/>
      <c r="E47" s="149"/>
      <c r="F47" s="175"/>
      <c r="G47" s="155">
        <f>G37*J37+J39</f>
        <v>0.12306</v>
      </c>
      <c r="H47" s="149"/>
      <c r="I47" s="163"/>
      <c r="J47" s="136"/>
      <c r="L47" s="224"/>
      <c r="M47" s="222"/>
      <c r="N47" s="153"/>
      <c r="O47" s="153"/>
      <c r="P47" s="154"/>
      <c r="Q47" s="153"/>
      <c r="R47" s="167">
        <v>10.151274161699998</v>
      </c>
      <c r="S47" s="154"/>
      <c r="T47" s="163"/>
    </row>
    <row r="48" spans="1:21" ht="20.100000000000001" customHeight="1" x14ac:dyDescent="0.65">
      <c r="A48" s="224"/>
      <c r="B48" s="221">
        <v>1</v>
      </c>
      <c r="C48" s="149"/>
      <c r="D48" s="177"/>
      <c r="E48" s="149"/>
      <c r="F48" s="149"/>
      <c r="G48" s="149"/>
      <c r="H48" s="162">
        <f>J38+J37</f>
        <v>0.20880000000000001</v>
      </c>
      <c r="I48" s="163"/>
      <c r="J48" s="136"/>
      <c r="L48" s="224"/>
      <c r="M48" s="221">
        <v>1</v>
      </c>
      <c r="N48" s="154"/>
      <c r="O48" s="178"/>
      <c r="P48" s="154"/>
      <c r="Q48" s="154"/>
      <c r="R48" s="154"/>
      <c r="S48" s="164">
        <v>18.347747097599999</v>
      </c>
      <c r="T48" s="163"/>
    </row>
    <row r="49" spans="1:20" ht="20.100000000000001" customHeight="1" x14ac:dyDescent="0.65">
      <c r="A49" s="225"/>
      <c r="B49" s="222"/>
      <c r="C49" s="149"/>
      <c r="D49" s="177"/>
      <c r="E49" s="177"/>
      <c r="F49" s="149"/>
      <c r="G49" s="149"/>
      <c r="H49" s="155">
        <f>J39</f>
        <v>8.7900000000000006E-2</v>
      </c>
      <c r="I49" s="163"/>
      <c r="J49" s="136"/>
      <c r="L49" s="225"/>
      <c r="M49" s="222"/>
      <c r="N49" s="154"/>
      <c r="O49" s="178"/>
      <c r="P49" s="178"/>
      <c r="Q49" s="154"/>
      <c r="R49" s="154"/>
      <c r="S49" s="167">
        <v>7.2509101154999991</v>
      </c>
      <c r="T49" s="163"/>
    </row>
    <row r="50" spans="1:20" ht="20.100000000000001" customHeight="1" x14ac:dyDescent="0.45">
      <c r="A50" s="179"/>
      <c r="B50" s="180" t="s">
        <v>232</v>
      </c>
      <c r="C50" s="226" t="s">
        <v>239</v>
      </c>
      <c r="D50" s="226"/>
      <c r="E50" s="226"/>
      <c r="F50" s="226"/>
      <c r="G50" s="226"/>
      <c r="H50" s="226"/>
      <c r="I50" s="138" t="s">
        <v>231</v>
      </c>
      <c r="J50" s="144">
        <v>0.39560000000000001</v>
      </c>
      <c r="L50" s="179"/>
      <c r="M50" s="180" t="s">
        <v>232</v>
      </c>
      <c r="N50" s="226" t="s">
        <v>223</v>
      </c>
      <c r="O50" s="226"/>
      <c r="P50" s="226"/>
      <c r="Q50" s="226"/>
      <c r="R50" s="226"/>
      <c r="S50" s="226"/>
      <c r="T50" s="138" t="s">
        <v>231</v>
      </c>
    </row>
    <row r="51" spans="1:20" ht="20.100000000000001" customHeight="1" x14ac:dyDescent="0.65">
      <c r="A51" s="223" t="s">
        <v>228</v>
      </c>
      <c r="B51" s="221">
        <v>0</v>
      </c>
      <c r="C51" s="146">
        <f>J50+J51</f>
        <v>0.48350000000000004</v>
      </c>
      <c r="D51" s="175"/>
      <c r="E51" s="175"/>
      <c r="F51" s="149"/>
      <c r="G51" s="149"/>
      <c r="H51" s="149"/>
      <c r="I51" s="150" t="s">
        <v>229</v>
      </c>
      <c r="J51" s="151">
        <v>8.7900000000000006E-2</v>
      </c>
      <c r="L51" s="223" t="s">
        <v>228</v>
      </c>
      <c r="M51" s="221">
        <v>0</v>
      </c>
      <c r="N51" s="182">
        <v>28.494619944</v>
      </c>
      <c r="O51" s="183"/>
      <c r="P51" s="183"/>
      <c r="Q51" s="184"/>
      <c r="R51" s="184"/>
      <c r="S51" s="184"/>
      <c r="T51" s="150" t="s">
        <v>229</v>
      </c>
    </row>
    <row r="52" spans="1:20" ht="20.100000000000001" customHeight="1" x14ac:dyDescent="0.65">
      <c r="A52" s="224"/>
      <c r="B52" s="222"/>
      <c r="C52" s="155">
        <f>J52</f>
        <v>0.2198</v>
      </c>
      <c r="D52" s="149"/>
      <c r="E52" s="175"/>
      <c r="F52" s="149"/>
      <c r="G52" s="149"/>
      <c r="H52" s="149"/>
      <c r="I52" s="204" t="s">
        <v>226</v>
      </c>
      <c r="J52" s="157">
        <f>J16</f>
        <v>0.2198</v>
      </c>
      <c r="L52" s="224"/>
      <c r="M52" s="222"/>
      <c r="N52" s="185">
        <v>13.596611716799996</v>
      </c>
      <c r="O52" s="184"/>
      <c r="P52" s="183"/>
      <c r="Q52" s="184"/>
      <c r="R52" s="184"/>
      <c r="S52" s="184"/>
      <c r="T52" s="204" t="s">
        <v>226</v>
      </c>
    </row>
    <row r="53" spans="1:20" ht="20.100000000000001" customHeight="1" x14ac:dyDescent="0.65">
      <c r="A53" s="224"/>
      <c r="B53" s="221">
        <v>0.2</v>
      </c>
      <c r="C53" s="149"/>
      <c r="D53" s="162">
        <f>B53*J50+J51</f>
        <v>0.16702</v>
      </c>
      <c r="E53" s="175"/>
      <c r="F53" s="149"/>
      <c r="G53" s="149"/>
      <c r="H53" s="149"/>
      <c r="I53" s="163"/>
      <c r="J53" s="136"/>
      <c r="L53" s="224"/>
      <c r="M53" s="221">
        <v>0.2</v>
      </c>
      <c r="N53" s="184"/>
      <c r="O53" s="186">
        <v>9.8431673692799997</v>
      </c>
      <c r="P53" s="183"/>
      <c r="Q53" s="184"/>
      <c r="R53" s="184"/>
      <c r="S53" s="184"/>
      <c r="T53" s="163"/>
    </row>
    <row r="54" spans="1:20" ht="20.100000000000001" customHeight="1" x14ac:dyDescent="0.65">
      <c r="A54" s="224"/>
      <c r="B54" s="222"/>
      <c r="C54" s="149"/>
      <c r="D54" s="155">
        <f>D37*J50+J52</f>
        <v>0.53628000000000009</v>
      </c>
      <c r="E54" s="175"/>
      <c r="F54" s="149"/>
      <c r="G54" s="149"/>
      <c r="H54" s="149"/>
      <c r="I54" s="163"/>
      <c r="J54" s="136"/>
      <c r="L54" s="224"/>
      <c r="M54" s="222"/>
      <c r="N54" s="184"/>
      <c r="O54" s="185">
        <v>33.173753100479999</v>
      </c>
      <c r="P54" s="183"/>
      <c r="Q54" s="184"/>
      <c r="R54" s="184"/>
      <c r="S54" s="184"/>
      <c r="T54" s="163"/>
    </row>
    <row r="55" spans="1:20" ht="20.100000000000001" customHeight="1" x14ac:dyDescent="0.65">
      <c r="A55" s="224"/>
      <c r="B55" s="221">
        <v>0.4</v>
      </c>
      <c r="C55" s="149"/>
      <c r="D55" s="149"/>
      <c r="E55" s="146">
        <f>B55*J50+J51</f>
        <v>0.24614000000000003</v>
      </c>
      <c r="F55" s="149"/>
      <c r="G55" s="149"/>
      <c r="H55" s="149"/>
      <c r="I55" s="163"/>
      <c r="J55" s="136"/>
      <c r="L55" s="224"/>
      <c r="M55" s="221">
        <v>0.4</v>
      </c>
      <c r="N55" s="184"/>
      <c r="O55" s="184"/>
      <c r="P55" s="182">
        <v>14.506030512960001</v>
      </c>
      <c r="Q55" s="184"/>
      <c r="R55" s="184"/>
      <c r="S55" s="184"/>
      <c r="T55" s="163"/>
    </row>
    <row r="56" spans="1:20" ht="20.100000000000001" customHeight="1" x14ac:dyDescent="0.65">
      <c r="A56" s="224"/>
      <c r="B56" s="222"/>
      <c r="C56" s="149"/>
      <c r="D56" s="149"/>
      <c r="E56" s="157">
        <f>E37*J50+J52</f>
        <v>0.45716000000000001</v>
      </c>
      <c r="F56" s="149"/>
      <c r="G56" s="149"/>
      <c r="H56" s="149"/>
      <c r="I56" s="163"/>
      <c r="J56" s="136"/>
      <c r="L56" s="224"/>
      <c r="M56" s="222"/>
      <c r="N56" s="184"/>
      <c r="O56" s="184"/>
      <c r="P56" s="187">
        <v>28.279467754559992</v>
      </c>
      <c r="Q56" s="184"/>
      <c r="R56" s="184"/>
      <c r="S56" s="184"/>
      <c r="T56" s="163"/>
    </row>
    <row r="57" spans="1:20" ht="20.100000000000001" customHeight="1" x14ac:dyDescent="0.65">
      <c r="A57" s="224"/>
      <c r="B57" s="221">
        <v>0.6</v>
      </c>
      <c r="C57" s="149"/>
      <c r="D57" s="149"/>
      <c r="E57" s="170"/>
      <c r="F57" s="162">
        <f>B57*J50+J51</f>
        <v>0.32525999999999999</v>
      </c>
      <c r="G57" s="149"/>
      <c r="H57" s="149"/>
      <c r="I57" s="163"/>
      <c r="J57" s="136"/>
      <c r="L57" s="224"/>
      <c r="M57" s="221">
        <v>0.6</v>
      </c>
      <c r="N57" s="184"/>
      <c r="O57" s="184"/>
      <c r="P57" s="188"/>
      <c r="Q57" s="186">
        <v>19.168893656639998</v>
      </c>
      <c r="R57" s="184"/>
      <c r="S57" s="184"/>
      <c r="T57" s="163"/>
    </row>
    <row r="58" spans="1:20" ht="20.100000000000001" customHeight="1" x14ac:dyDescent="0.65">
      <c r="A58" s="224"/>
      <c r="B58" s="222"/>
      <c r="C58" s="170"/>
      <c r="D58" s="170"/>
      <c r="E58" s="170"/>
      <c r="F58" s="157">
        <f>F37*J50+J52</f>
        <v>0.37804000000000004</v>
      </c>
      <c r="G58" s="175"/>
      <c r="H58" s="149"/>
      <c r="I58" s="163"/>
      <c r="J58" s="136"/>
      <c r="L58" s="224"/>
      <c r="M58" s="222"/>
      <c r="N58" s="188"/>
      <c r="O58" s="188"/>
      <c r="P58" s="188"/>
      <c r="Q58" s="187">
        <v>23.385182408639999</v>
      </c>
      <c r="R58" s="183"/>
      <c r="S58" s="184"/>
      <c r="T58" s="163"/>
    </row>
    <row r="59" spans="1:20" ht="20.100000000000001" customHeight="1" x14ac:dyDescent="0.65">
      <c r="A59" s="224"/>
      <c r="B59" s="221">
        <v>0.8</v>
      </c>
      <c r="C59" s="175"/>
      <c r="D59" s="175"/>
      <c r="E59" s="175"/>
      <c r="F59" s="175"/>
      <c r="G59" s="162">
        <f>B59*J50+J51</f>
        <v>0.40438000000000007</v>
      </c>
      <c r="H59" s="149"/>
      <c r="I59" s="163"/>
      <c r="J59" s="136"/>
      <c r="L59" s="224"/>
      <c r="M59" s="221">
        <v>0.8</v>
      </c>
      <c r="N59" s="183"/>
      <c r="O59" s="183"/>
      <c r="P59" s="183"/>
      <c r="Q59" s="183"/>
      <c r="R59" s="186">
        <v>23.831756800320004</v>
      </c>
      <c r="S59" s="184"/>
      <c r="T59" s="163"/>
    </row>
    <row r="60" spans="1:20" ht="20.100000000000001" customHeight="1" x14ac:dyDescent="0.65">
      <c r="A60" s="224"/>
      <c r="B60" s="222"/>
      <c r="C60" s="175"/>
      <c r="D60" s="175"/>
      <c r="E60" s="149"/>
      <c r="F60" s="175"/>
      <c r="G60" s="155">
        <f>G37*J50+J52</f>
        <v>0.29891999999999996</v>
      </c>
      <c r="H60" s="149"/>
      <c r="I60" s="163"/>
      <c r="J60" s="136"/>
      <c r="L60" s="224"/>
      <c r="M60" s="222"/>
      <c r="N60" s="183"/>
      <c r="O60" s="183"/>
      <c r="P60" s="184"/>
      <c r="Q60" s="183"/>
      <c r="R60" s="185">
        <v>18.490897062719995</v>
      </c>
      <c r="S60" s="184"/>
      <c r="T60" s="163"/>
    </row>
    <row r="61" spans="1:20" ht="20.100000000000001" customHeight="1" x14ac:dyDescent="0.65">
      <c r="A61" s="224"/>
      <c r="B61" s="221">
        <v>1</v>
      </c>
      <c r="C61" s="189"/>
      <c r="D61" s="190"/>
      <c r="E61" s="189"/>
      <c r="F61" s="149"/>
      <c r="G61" s="149"/>
      <c r="H61" s="162">
        <f>J50+J51</f>
        <v>0.48350000000000004</v>
      </c>
      <c r="I61" s="163"/>
      <c r="J61" s="136"/>
      <c r="L61" s="224"/>
      <c r="M61" s="221">
        <v>1</v>
      </c>
      <c r="N61" s="184"/>
      <c r="O61" s="191"/>
      <c r="P61" s="184"/>
      <c r="Q61" s="184"/>
      <c r="R61" s="184"/>
      <c r="S61" s="186">
        <v>28.494619944</v>
      </c>
      <c r="T61" s="163"/>
    </row>
    <row r="62" spans="1:20" ht="20.100000000000001" customHeight="1" x14ac:dyDescent="0.65">
      <c r="A62" s="224"/>
      <c r="B62" s="222"/>
      <c r="C62" s="189"/>
      <c r="D62" s="190"/>
      <c r="E62" s="190"/>
      <c r="F62" s="149"/>
      <c r="G62" s="149"/>
      <c r="H62" s="155">
        <f>J52</f>
        <v>0.2198</v>
      </c>
      <c r="I62" s="163"/>
      <c r="J62" s="136"/>
      <c r="L62" s="224"/>
      <c r="M62" s="222"/>
      <c r="N62" s="184"/>
      <c r="O62" s="191"/>
      <c r="P62" s="191"/>
      <c r="Q62" s="184"/>
      <c r="R62" s="184"/>
      <c r="S62" s="185">
        <v>13.596611716799996</v>
      </c>
      <c r="T62" s="163"/>
    </row>
    <row r="63" spans="1:20" ht="20.100000000000001" customHeight="1" x14ac:dyDescent="0.65">
      <c r="A63" s="225"/>
      <c r="B63" s="139" t="s">
        <v>233</v>
      </c>
      <c r="C63" s="192">
        <f>SUM(C38:C62)</f>
        <v>1</v>
      </c>
      <c r="D63" s="192">
        <f t="shared" ref="D63:H63" si="2">SUM(D38:D62)</f>
        <v>1</v>
      </c>
      <c r="E63" s="192">
        <f t="shared" si="2"/>
        <v>1</v>
      </c>
      <c r="F63" s="192">
        <f t="shared" si="2"/>
        <v>1</v>
      </c>
      <c r="G63" s="192">
        <f t="shared" si="2"/>
        <v>1</v>
      </c>
      <c r="H63" s="192">
        <f t="shared" si="2"/>
        <v>1</v>
      </c>
      <c r="I63" s="136"/>
      <c r="J63" s="136"/>
      <c r="L63" s="225"/>
      <c r="M63" s="139" t="s">
        <v>234</v>
      </c>
      <c r="N63" s="193">
        <f t="shared" ref="N63:S63" si="3">SUM(N38:N62)</f>
        <v>67.985355568199992</v>
      </c>
      <c r="O63" s="193">
        <f t="shared" si="3"/>
        <v>67.85866628238</v>
      </c>
      <c r="P63" s="193">
        <f t="shared" si="3"/>
        <v>67.816471930259979</v>
      </c>
      <c r="Q63" s="193">
        <f t="shared" si="3"/>
        <v>67.774277578139987</v>
      </c>
      <c r="R63" s="193">
        <f t="shared" si="3"/>
        <v>67.732083226019995</v>
      </c>
      <c r="S63" s="194">
        <f t="shared" si="3"/>
        <v>67.689888873899989</v>
      </c>
      <c r="T63" s="136"/>
    </row>
    <row r="64" spans="1:20" ht="20.100000000000001" customHeight="1" x14ac:dyDescent="0.45">
      <c r="A64" s="195"/>
      <c r="B64" s="196" t="s">
        <v>235</v>
      </c>
      <c r="C64" s="197">
        <v>924.52892384025097</v>
      </c>
      <c r="D64" s="197">
        <v>924.40223455443095</v>
      </c>
      <c r="E64" s="197">
        <v>924.36004020231087</v>
      </c>
      <c r="F64" s="197">
        <v>924.31784585019079</v>
      </c>
      <c r="G64" s="197">
        <v>924.27565149807094</v>
      </c>
      <c r="H64" s="197">
        <v>924.23345714595087</v>
      </c>
      <c r="I64" s="139" t="s">
        <v>236</v>
      </c>
      <c r="J64" s="198">
        <f>J30</f>
        <v>929.41751284347936</v>
      </c>
      <c r="L64" s="199"/>
      <c r="M64" s="150" t="s">
        <v>229</v>
      </c>
      <c r="N64" s="200">
        <f>SUM(N38+N51)</f>
        <v>51.666559166399999</v>
      </c>
      <c r="O64" s="200">
        <f>SUM(O40+O53)</f>
        <v>15.832546881599999</v>
      </c>
      <c r="P64" s="200">
        <f>P42+P55</f>
        <v>23.585001921599996</v>
      </c>
      <c r="Q64" s="200">
        <f>Q44+Q57</f>
        <v>31.337456961599997</v>
      </c>
      <c r="R64" s="200">
        <f>R46+R59</f>
        <v>39.089912001599998</v>
      </c>
      <c r="S64" s="200">
        <f>S48+S61</f>
        <v>46.842367041599999</v>
      </c>
      <c r="T64" s="201"/>
    </row>
    <row r="65" spans="1:20" ht="20.100000000000001" customHeight="1" x14ac:dyDescent="0.65">
      <c r="A65" s="195"/>
      <c r="B65" s="196" t="s">
        <v>237</v>
      </c>
      <c r="C65" s="197">
        <f>C64-J64</f>
        <v>-4.8885890032283896</v>
      </c>
      <c r="D65" s="197">
        <f>D64-J64</f>
        <v>-5.0152782890484104</v>
      </c>
      <c r="E65" s="197">
        <f>E64-J64</f>
        <v>-5.0574726411684878</v>
      </c>
      <c r="F65" s="197">
        <f>F64-J64</f>
        <v>-5.0996669932885652</v>
      </c>
      <c r="G65" s="197">
        <f>G64-J64</f>
        <v>-5.1418613454084152</v>
      </c>
      <c r="H65" s="202">
        <f>H64-J64</f>
        <v>-5.1840556975284926</v>
      </c>
      <c r="I65" s="140"/>
      <c r="J65" s="136"/>
      <c r="L65" s="203"/>
      <c r="M65" s="204" t="s">
        <v>226</v>
      </c>
      <c r="N65" s="200">
        <f>SUM(N39+N52)</f>
        <v>16.318796401799997</v>
      </c>
      <c r="O65" s="205">
        <f>SUM(O41+O54)</f>
        <v>52.026119400779997</v>
      </c>
      <c r="P65" s="200">
        <f>P43+P56</f>
        <v>44.231470008659983</v>
      </c>
      <c r="Q65" s="200">
        <f>Q45+Q58</f>
        <v>36.436820616539997</v>
      </c>
      <c r="R65" s="200">
        <f>R47+R60</f>
        <v>28.642171224419993</v>
      </c>
      <c r="S65" s="205">
        <f>S49+S62</f>
        <v>20.847521832299996</v>
      </c>
      <c r="T65" s="140"/>
    </row>
  </sheetData>
  <mergeCells count="68">
    <mergeCell ref="B1:H1"/>
    <mergeCell ref="M1:S1"/>
    <mergeCell ref="C2:H2"/>
    <mergeCell ref="N2:S2"/>
    <mergeCell ref="A4:A15"/>
    <mergeCell ref="B4:B5"/>
    <mergeCell ref="L4:L15"/>
    <mergeCell ref="M4:M5"/>
    <mergeCell ref="B6:B7"/>
    <mergeCell ref="M6:M7"/>
    <mergeCell ref="B8:B9"/>
    <mergeCell ref="M8:M9"/>
    <mergeCell ref="B10:B11"/>
    <mergeCell ref="M10:M11"/>
    <mergeCell ref="B12:B13"/>
    <mergeCell ref="M12:M13"/>
    <mergeCell ref="B14:B15"/>
    <mergeCell ref="M14:M15"/>
    <mergeCell ref="C16:H16"/>
    <mergeCell ref="N16:S16"/>
    <mergeCell ref="A17:A29"/>
    <mergeCell ref="B17:B18"/>
    <mergeCell ref="L17:L29"/>
    <mergeCell ref="M17:M18"/>
    <mergeCell ref="B19:B20"/>
    <mergeCell ref="M19:M20"/>
    <mergeCell ref="B21:B22"/>
    <mergeCell ref="M21:M22"/>
    <mergeCell ref="B23:B24"/>
    <mergeCell ref="M23:M24"/>
    <mergeCell ref="B25:B26"/>
    <mergeCell ref="M25:M26"/>
    <mergeCell ref="B27:B28"/>
    <mergeCell ref="M27:M28"/>
    <mergeCell ref="B35:H35"/>
    <mergeCell ref="M35:S35"/>
    <mergeCell ref="C36:H36"/>
    <mergeCell ref="N36:S36"/>
    <mergeCell ref="N50:S50"/>
    <mergeCell ref="A38:A49"/>
    <mergeCell ref="B38:B39"/>
    <mergeCell ref="L38:L49"/>
    <mergeCell ref="M38:M39"/>
    <mergeCell ref="B40:B41"/>
    <mergeCell ref="M40:M41"/>
    <mergeCell ref="B42:B43"/>
    <mergeCell ref="M42:M43"/>
    <mergeCell ref="B44:B45"/>
    <mergeCell ref="M44:M45"/>
    <mergeCell ref="B46:B47"/>
    <mergeCell ref="M46:M47"/>
    <mergeCell ref="B48:B49"/>
    <mergeCell ref="M48:M49"/>
    <mergeCell ref="C50:H50"/>
    <mergeCell ref="B59:B60"/>
    <mergeCell ref="M59:M60"/>
    <mergeCell ref="B61:B62"/>
    <mergeCell ref="M61:M62"/>
    <mergeCell ref="A51:A63"/>
    <mergeCell ref="B51:B52"/>
    <mergeCell ref="L51:L63"/>
    <mergeCell ref="M51:M52"/>
    <mergeCell ref="B53:B54"/>
    <mergeCell ref="M53:M54"/>
    <mergeCell ref="B55:B56"/>
    <mergeCell ref="M55:M56"/>
    <mergeCell ref="B57:B58"/>
    <mergeCell ref="M57:M58"/>
  </mergeCells>
  <conditionalFormatting sqref="C31:H33">
    <cfRule type="top10" dxfId="17" priority="16" rank="1"/>
    <cfRule type="top10" dxfId="16" priority="18" rank="1"/>
  </conditionalFormatting>
  <conditionalFormatting sqref="C30:H30">
    <cfRule type="top10" dxfId="15" priority="15" bottom="1" rank="1"/>
    <cfRule type="top10" dxfId="14" priority="17" rank="1"/>
  </conditionalFormatting>
  <conditionalFormatting sqref="N29:S29">
    <cfRule type="top10" dxfId="13" priority="14" rank="1"/>
  </conditionalFormatting>
  <conditionalFormatting sqref="C65:H65">
    <cfRule type="top10" dxfId="12" priority="11" rank="1"/>
    <cfRule type="top10" dxfId="11" priority="13" rank="1"/>
  </conditionalFormatting>
  <conditionalFormatting sqref="C64:H64">
    <cfRule type="top10" dxfId="10" priority="10" bottom="1" rank="1"/>
    <cfRule type="top10" dxfId="9" priority="12" rank="1"/>
  </conditionalFormatting>
  <conditionalFormatting sqref="N63:S63">
    <cfRule type="top10" dxfId="8" priority="7" bottom="1" rank="1"/>
    <cfRule type="top10" dxfId="7" priority="9" rank="1"/>
  </conditionalFormatting>
  <conditionalFormatting sqref="M63:S63">
    <cfRule type="top10" dxfId="6" priority="8" rank="1"/>
  </conditionalFormatting>
  <conditionalFormatting sqref="Y6:AC6">
    <cfRule type="top10" dxfId="5" priority="4" rank="1"/>
    <cfRule type="top10" dxfId="4" priority="6" rank="1"/>
  </conditionalFormatting>
  <conditionalFormatting sqref="X5:AC5">
    <cfRule type="top10" dxfId="3" priority="3" bottom="1" rank="1"/>
    <cfRule type="top10" dxfId="2" priority="5" rank="1"/>
  </conditionalFormatting>
  <conditionalFormatting sqref="Y5:AC5">
    <cfRule type="top10" dxfId="1" priority="1" rank="1"/>
    <cfRule type="top10" dxfId="0" priority="2" rank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DD4A5-F601-45C7-99CF-BFCA37D7F0D7}">
  <sheetPr codeName="Sheet2"/>
  <dimension ref="B1:I38"/>
  <sheetViews>
    <sheetView workbookViewId="0">
      <selection activeCell="E19" sqref="E19"/>
    </sheetView>
  </sheetViews>
  <sheetFormatPr defaultColWidth="8.73046875" defaultRowHeight="13.15" x14ac:dyDescent="0.4"/>
  <cols>
    <col min="1" max="1" width="2.3984375" style="5" customWidth="1"/>
    <col min="2" max="4" width="28.86328125" style="5" customWidth="1"/>
    <col min="5" max="5" width="37.1328125" style="5" bestFit="1" customWidth="1"/>
    <col min="6" max="6" width="30.73046875" style="5" bestFit="1" customWidth="1"/>
    <col min="7" max="7" width="15.3984375" style="5" customWidth="1"/>
    <col min="8" max="8" width="14.3984375" style="5" customWidth="1"/>
    <col min="9" max="16384" width="8.73046875" style="5"/>
  </cols>
  <sheetData>
    <row r="1" spans="2:7" x14ac:dyDescent="0.4">
      <c r="B1" s="22" t="s">
        <v>0</v>
      </c>
    </row>
    <row r="2" spans="2:7" x14ac:dyDescent="0.4">
      <c r="B2" s="22"/>
      <c r="C2" s="21">
        <v>2018</v>
      </c>
      <c r="D2" s="21">
        <v>2030</v>
      </c>
    </row>
    <row r="3" spans="2:7" ht="26.25" x14ac:dyDescent="0.4">
      <c r="B3" s="33" t="s">
        <v>1</v>
      </c>
      <c r="C3" s="50">
        <v>963.18</v>
      </c>
      <c r="D3" s="51" t="e">
        <f>SUM(F23:F35)</f>
        <v>#REF!</v>
      </c>
    </row>
    <row r="4" spans="2:7" ht="26.25" x14ac:dyDescent="0.4">
      <c r="B4" s="33" t="s">
        <v>2</v>
      </c>
      <c r="C4" s="35">
        <f>'2018 (food consumption)'!$B$15</f>
        <v>365</v>
      </c>
      <c r="D4" s="29">
        <f>C4</f>
        <v>365</v>
      </c>
      <c r="E4" s="32"/>
    </row>
    <row r="7" spans="2:7" x14ac:dyDescent="0.4">
      <c r="B7" s="22" t="s">
        <v>3</v>
      </c>
      <c r="E7" s="31"/>
      <c r="F7" s="34"/>
      <c r="G7" s="28"/>
    </row>
    <row r="8" spans="2:7" x14ac:dyDescent="0.4">
      <c r="B8" s="22"/>
      <c r="E8" s="31"/>
      <c r="F8" s="34"/>
      <c r="G8" s="28"/>
    </row>
    <row r="9" spans="2:7" x14ac:dyDescent="0.4">
      <c r="B9" s="16" t="s">
        <v>4</v>
      </c>
      <c r="C9" s="17">
        <v>2018</v>
      </c>
      <c r="D9" s="17" t="s">
        <v>5</v>
      </c>
      <c r="E9" s="31"/>
      <c r="F9" s="34"/>
      <c r="G9" s="28"/>
    </row>
    <row r="10" spans="2:7" x14ac:dyDescent="0.4">
      <c r="B10" s="23" t="s">
        <v>6</v>
      </c>
      <c r="C10" s="30">
        <f>C23+C24+C25+C26+C27+C28+C29+C30</f>
        <v>0.29041095890410956</v>
      </c>
      <c r="D10" s="15">
        <v>0.25</v>
      </c>
      <c r="E10" s="31"/>
      <c r="F10" s="34"/>
      <c r="G10" s="28"/>
    </row>
    <row r="11" spans="2:7" x14ac:dyDescent="0.4">
      <c r="B11" s="23" t="s">
        <v>7</v>
      </c>
      <c r="C11" s="30">
        <f>C34+C35</f>
        <v>0.24931506849315069</v>
      </c>
      <c r="D11" s="15">
        <v>0.25</v>
      </c>
      <c r="E11" s="31"/>
      <c r="F11" s="34"/>
      <c r="G11" s="28"/>
    </row>
    <row r="12" spans="2:7" x14ac:dyDescent="0.4">
      <c r="B12" s="23" t="s">
        <v>8</v>
      </c>
      <c r="C12" s="30">
        <f>C31+C32+C33</f>
        <v>0.46027397260273972</v>
      </c>
      <c r="D12" s="15">
        <v>0.5</v>
      </c>
      <c r="E12" s="31"/>
      <c r="F12" s="34"/>
      <c r="G12" s="28"/>
    </row>
    <row r="13" spans="2:7" x14ac:dyDescent="0.4">
      <c r="E13" s="31"/>
      <c r="F13" s="34"/>
      <c r="G13" s="28"/>
    </row>
    <row r="14" spans="2:7" x14ac:dyDescent="0.4">
      <c r="B14" s="16" t="s">
        <v>9</v>
      </c>
      <c r="C14" s="17">
        <v>2018</v>
      </c>
      <c r="D14" s="17" t="s">
        <v>10</v>
      </c>
      <c r="E14" s="31"/>
      <c r="F14" s="34"/>
      <c r="G14" s="28"/>
    </row>
    <row r="15" spans="2:7" x14ac:dyDescent="0.4">
      <c r="B15" s="18" t="s">
        <v>11</v>
      </c>
      <c r="C15" s="15">
        <v>0.1</v>
      </c>
      <c r="D15" s="19">
        <v>0.3</v>
      </c>
      <c r="E15" s="31"/>
      <c r="F15" s="34"/>
      <c r="G15" s="28"/>
    </row>
    <row r="16" spans="2:7" x14ac:dyDescent="0.4">
      <c r="B16" s="18" t="s">
        <v>12</v>
      </c>
      <c r="C16" s="15">
        <v>0.9</v>
      </c>
      <c r="D16" s="19">
        <v>0.7</v>
      </c>
      <c r="E16" s="31"/>
      <c r="F16" s="34"/>
      <c r="G16" s="28"/>
    </row>
    <row r="17" spans="2:9" x14ac:dyDescent="0.4">
      <c r="B17" s="22"/>
      <c r="E17" s="31"/>
      <c r="F17" s="34"/>
      <c r="G17" s="28"/>
    </row>
    <row r="18" spans="2:9" x14ac:dyDescent="0.4">
      <c r="B18" s="36"/>
      <c r="C18" s="37"/>
      <c r="G18" s="38"/>
    </row>
    <row r="19" spans="2:9" x14ac:dyDescent="0.4">
      <c r="B19" s="22" t="s">
        <v>13</v>
      </c>
      <c r="C19" s="37"/>
      <c r="G19" s="38"/>
    </row>
    <row r="20" spans="2:9" x14ac:dyDescent="0.4">
      <c r="B20" s="36"/>
      <c r="C20" s="37"/>
      <c r="G20" s="38"/>
    </row>
    <row r="21" spans="2:9" x14ac:dyDescent="0.4">
      <c r="B21" s="39" t="s">
        <v>14</v>
      </c>
    </row>
    <row r="22" spans="2:9" ht="26.25" x14ac:dyDescent="0.4">
      <c r="B22" s="21" t="s">
        <v>15</v>
      </c>
      <c r="C22" s="26" t="s">
        <v>16</v>
      </c>
      <c r="D22" s="26" t="s">
        <v>17</v>
      </c>
      <c r="E22" s="26" t="s">
        <v>18</v>
      </c>
      <c r="F22" s="26" t="s">
        <v>19</v>
      </c>
    </row>
    <row r="23" spans="2:9" ht="14.25" x14ac:dyDescent="0.4">
      <c r="B23" s="20" t="s">
        <v>20</v>
      </c>
      <c r="C23" s="27">
        <f>VLOOKUP(B23,'2018 (food consumption)'!$A$2:$C$14,3,FALSE)</f>
        <v>8.21917808219178E-3</v>
      </c>
      <c r="D23" s="24">
        <f>C23*$D$4</f>
        <v>2.9999999999999996</v>
      </c>
      <c r="E23" s="49" t="e">
        <f>AVERAGE(#REF!)</f>
        <v>#REF!</v>
      </c>
      <c r="F23" s="49" t="e">
        <f>D23*E23</f>
        <v>#REF!</v>
      </c>
      <c r="H23" s="3"/>
      <c r="I23" s="4"/>
    </row>
    <row r="24" spans="2:9" ht="14.25" x14ac:dyDescent="0.4">
      <c r="B24" s="20" t="s">
        <v>21</v>
      </c>
      <c r="C24" s="27">
        <f>VLOOKUP(B24,'2018 (food consumption)'!$A$2:$C$14,3,FALSE)</f>
        <v>5.4794520547945206E-3</v>
      </c>
      <c r="D24" s="24">
        <f t="shared" ref="D24:D35" si="0">C24*$D$4</f>
        <v>2</v>
      </c>
      <c r="E24" s="49" t="e">
        <f>AVERAGE(#REF!)</f>
        <v>#REF!</v>
      </c>
      <c r="F24" s="49" t="e">
        <f t="shared" ref="F24:F35" si="1">D24*E24</f>
        <v>#REF!</v>
      </c>
      <c r="H24" s="3"/>
      <c r="I24" s="4"/>
    </row>
    <row r="25" spans="2:9" ht="14.25" x14ac:dyDescent="0.4">
      <c r="B25" s="20" t="s">
        <v>22</v>
      </c>
      <c r="C25" s="27">
        <f>VLOOKUP(B25,'2018 (food consumption)'!$A$2:$C$14,3,FALSE)</f>
        <v>6.0273972602739728E-2</v>
      </c>
      <c r="D25" s="24">
        <f t="shared" si="0"/>
        <v>22</v>
      </c>
      <c r="E25" s="49" t="e">
        <f>AVERAGE(#REF!)</f>
        <v>#REF!</v>
      </c>
      <c r="F25" s="49" t="e">
        <f t="shared" si="1"/>
        <v>#REF!</v>
      </c>
      <c r="H25" s="3"/>
      <c r="I25" s="4"/>
    </row>
    <row r="26" spans="2:9" ht="14.25" x14ac:dyDescent="0.4">
      <c r="B26" s="20" t="s">
        <v>23</v>
      </c>
      <c r="C26" s="27">
        <f>VLOOKUP(B26,'2018 (food consumption)'!$A$2:$C$14,3,FALSE)</f>
        <v>9.3150684931506855E-2</v>
      </c>
      <c r="D26" s="24">
        <f t="shared" si="0"/>
        <v>34</v>
      </c>
      <c r="E26" s="49" t="e">
        <f>AVERAGE(#REF!)</f>
        <v>#REF!</v>
      </c>
      <c r="F26" s="49" t="e">
        <f t="shared" si="1"/>
        <v>#REF!</v>
      </c>
      <c r="H26" s="3"/>
      <c r="I26" s="4"/>
    </row>
    <row r="27" spans="2:9" ht="14.25" x14ac:dyDescent="0.4">
      <c r="B27" s="20" t="s">
        <v>24</v>
      </c>
      <c r="C27" s="27">
        <f>VLOOKUP(B27,'2018 (food consumption)'!$A$2:$C$14,3,FALSE)</f>
        <v>5.4794520547945206E-3</v>
      </c>
      <c r="D27" s="24">
        <f t="shared" si="0"/>
        <v>2</v>
      </c>
      <c r="E27" s="49" t="e">
        <f>AVERAGE(#REF!)</f>
        <v>#REF!</v>
      </c>
      <c r="F27" s="49" t="e">
        <f t="shared" si="1"/>
        <v>#REF!</v>
      </c>
      <c r="H27" s="3"/>
      <c r="I27" s="4"/>
    </row>
    <row r="28" spans="2:9" ht="14.25" x14ac:dyDescent="0.4">
      <c r="B28" s="20" t="s">
        <v>25</v>
      </c>
      <c r="C28" s="27">
        <f>VLOOKUP(B28,'2018 (food consumption)'!$A$2:$C$14,3,FALSE)</f>
        <v>6.0273972602739728E-2</v>
      </c>
      <c r="D28" s="24">
        <f t="shared" si="0"/>
        <v>22</v>
      </c>
      <c r="E28" s="49" t="e">
        <f>AVERAGE(#REF!)</f>
        <v>#REF!</v>
      </c>
      <c r="F28" s="49" t="e">
        <f t="shared" si="1"/>
        <v>#REF!</v>
      </c>
      <c r="H28" s="3"/>
      <c r="I28" s="4"/>
    </row>
    <row r="29" spans="2:9" ht="14.25" x14ac:dyDescent="0.4">
      <c r="B29" s="20" t="s">
        <v>26</v>
      </c>
      <c r="C29" s="27">
        <f>VLOOKUP(B29,'2018 (food consumption)'!$A$2:$C$14,3,FALSE)</f>
        <v>4.1095890410958902E-2</v>
      </c>
      <c r="D29" s="24">
        <f t="shared" si="0"/>
        <v>15</v>
      </c>
      <c r="E29" s="49" t="e">
        <f>AVERAGE(#REF!)</f>
        <v>#REF!</v>
      </c>
      <c r="F29" s="49" t="e">
        <f t="shared" si="1"/>
        <v>#REF!</v>
      </c>
      <c r="H29" s="3"/>
      <c r="I29" s="4"/>
    </row>
    <row r="30" spans="2:9" ht="14.25" x14ac:dyDescent="0.4">
      <c r="B30" s="20" t="s">
        <v>27</v>
      </c>
      <c r="C30" s="27">
        <f>VLOOKUP(B30,'2018 (food consumption)'!$A$2:$C$14,3,FALSE)</f>
        <v>1.643835616438356E-2</v>
      </c>
      <c r="D30" s="24">
        <f t="shared" si="0"/>
        <v>5.9999999999999991</v>
      </c>
      <c r="E30" s="49" t="e">
        <f>AVERAGE(#REF!)</f>
        <v>#REF!</v>
      </c>
      <c r="F30" s="49" t="e">
        <f t="shared" si="1"/>
        <v>#REF!</v>
      </c>
      <c r="H30" s="3"/>
      <c r="I30" s="4"/>
    </row>
    <row r="31" spans="2:9" ht="14.25" x14ac:dyDescent="0.4">
      <c r="B31" s="20" t="s">
        <v>28</v>
      </c>
      <c r="C31" s="27">
        <f>VLOOKUP(B31,'2018 (food consumption)'!$A$2:$C$14,3,FALSE)</f>
        <v>0.19726027397260273</v>
      </c>
      <c r="D31" s="24">
        <f t="shared" si="0"/>
        <v>72</v>
      </c>
      <c r="E31" s="49" t="e">
        <f>AVERAGE(#REF!)</f>
        <v>#REF!</v>
      </c>
      <c r="F31" s="49" t="e">
        <f t="shared" si="1"/>
        <v>#REF!</v>
      </c>
      <c r="H31" s="3"/>
      <c r="I31" s="4"/>
    </row>
    <row r="32" spans="2:9" ht="14.25" x14ac:dyDescent="0.4">
      <c r="B32" s="20" t="s">
        <v>29</v>
      </c>
      <c r="C32" s="27">
        <f>VLOOKUP(B32,'2018 (food consumption)'!$A$2:$C$14,3,FALSE)</f>
        <v>4.3835616438356165E-2</v>
      </c>
      <c r="D32" s="24">
        <f t="shared" si="0"/>
        <v>16</v>
      </c>
      <c r="E32" s="49" t="e">
        <f>AVERAGE(#REF!)</f>
        <v>#REF!</v>
      </c>
      <c r="F32" s="49" t="e">
        <f t="shared" si="1"/>
        <v>#REF!</v>
      </c>
      <c r="H32" s="3"/>
      <c r="I32" s="4"/>
    </row>
    <row r="33" spans="2:9" ht="14.25" x14ac:dyDescent="0.4">
      <c r="B33" s="20" t="s">
        <v>30</v>
      </c>
      <c r="C33" s="27">
        <f>VLOOKUP(B33,'2018 (food consumption)'!$A$2:$C$14,3,FALSE)</f>
        <v>0.21917808219178081</v>
      </c>
      <c r="D33" s="24">
        <f t="shared" si="0"/>
        <v>80</v>
      </c>
      <c r="E33" s="49" t="e">
        <f>AVERAGE(#REF!)</f>
        <v>#REF!</v>
      </c>
      <c r="F33" s="49" t="e">
        <f t="shared" si="1"/>
        <v>#REF!</v>
      </c>
      <c r="H33" s="3"/>
      <c r="I33" s="4"/>
    </row>
    <row r="34" spans="2:9" ht="14.25" x14ac:dyDescent="0.4">
      <c r="B34" s="20" t="s">
        <v>31</v>
      </c>
      <c r="C34" s="27">
        <f>VLOOKUP(B34,'2018 (food consumption)'!$A$2:$C$14,3,FALSE)</f>
        <v>0.12328767123287671</v>
      </c>
      <c r="D34" s="24">
        <f t="shared" si="0"/>
        <v>45</v>
      </c>
      <c r="E34" s="49" t="e">
        <f>AVERAGE(#REF!)</f>
        <v>#REF!</v>
      </c>
      <c r="F34" s="49" t="e">
        <f t="shared" si="1"/>
        <v>#REF!</v>
      </c>
      <c r="H34" s="3"/>
      <c r="I34" s="4"/>
    </row>
    <row r="35" spans="2:9" ht="14.25" x14ac:dyDescent="0.4">
      <c r="B35" s="20" t="s">
        <v>32</v>
      </c>
      <c r="C35" s="27">
        <f>VLOOKUP(B35,'2018 (food consumption)'!$A$2:$C$14,3,FALSE)</f>
        <v>0.12602739726027398</v>
      </c>
      <c r="D35" s="24">
        <f t="shared" si="0"/>
        <v>46</v>
      </c>
      <c r="E35" s="49" t="e">
        <f>AVERAGE(#REF!)</f>
        <v>#REF!</v>
      </c>
      <c r="F35" s="49" t="e">
        <f t="shared" si="1"/>
        <v>#REF!</v>
      </c>
      <c r="H35" s="3"/>
      <c r="I35" s="4"/>
    </row>
    <row r="36" spans="2:9" s="14" customFormat="1" x14ac:dyDescent="0.4"/>
    <row r="38" spans="2:9" x14ac:dyDescent="0.4">
      <c r="G38" s="2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6BD8D-5837-478B-ADAF-E1E9E976A975}">
  <sheetPr codeName="Sheet3"/>
  <dimension ref="A1:M99"/>
  <sheetViews>
    <sheetView zoomScale="85" zoomScaleNormal="85" workbookViewId="0">
      <selection activeCell="K13" sqref="K13"/>
    </sheetView>
  </sheetViews>
  <sheetFormatPr defaultRowHeight="14.25" x14ac:dyDescent="0.45"/>
  <cols>
    <col min="1" max="1" width="5.1328125" style="4" bestFit="1" customWidth="1"/>
    <col min="2" max="2" width="15.265625" style="4" bestFit="1" customWidth="1"/>
    <col min="3" max="3" width="16.86328125" style="4" bestFit="1" customWidth="1"/>
    <col min="4" max="4" width="29.86328125" style="4" bestFit="1" customWidth="1"/>
    <col min="5" max="8" width="13.59765625" style="4" customWidth="1"/>
    <col min="9" max="9" width="11.59765625" bestFit="1" customWidth="1"/>
  </cols>
  <sheetData>
    <row r="1" spans="1:13" s="1" customFormat="1" ht="28.15" customHeight="1" x14ac:dyDescent="0.45">
      <c r="A1" s="47" t="s">
        <v>33</v>
      </c>
      <c r="B1" s="47" t="s">
        <v>15</v>
      </c>
      <c r="C1" s="47" t="s">
        <v>34</v>
      </c>
      <c r="D1" s="47" t="s">
        <v>35</v>
      </c>
      <c r="E1" s="10" t="s">
        <v>36</v>
      </c>
      <c r="F1" s="10" t="s">
        <v>37</v>
      </c>
      <c r="G1" s="10" t="s">
        <v>38</v>
      </c>
      <c r="H1" s="10" t="s">
        <v>39</v>
      </c>
    </row>
    <row r="2" spans="1:13" x14ac:dyDescent="0.45">
      <c r="A2" s="48">
        <v>1</v>
      </c>
      <c r="B2" s="52" t="s">
        <v>23</v>
      </c>
      <c r="C2" s="53" t="s">
        <v>40</v>
      </c>
      <c r="D2" s="52" t="s">
        <v>41</v>
      </c>
      <c r="E2" s="53">
        <f>SUM(F2:H2)</f>
        <v>3.3803679999999998</v>
      </c>
      <c r="F2" s="53">
        <v>2.995031</v>
      </c>
      <c r="G2" s="53">
        <v>0.38144</v>
      </c>
      <c r="H2" s="53">
        <v>3.8969999999999999E-3</v>
      </c>
    </row>
    <row r="3" spans="1:13" x14ac:dyDescent="0.45">
      <c r="A3" s="48">
        <v>2</v>
      </c>
      <c r="B3" s="52" t="s">
        <v>23</v>
      </c>
      <c r="C3" s="53" t="s">
        <v>42</v>
      </c>
      <c r="D3" s="53" t="s">
        <v>41</v>
      </c>
      <c r="E3" s="53">
        <f t="shared" ref="E3:E66" si="0">SUM(F3:H3)</f>
        <v>3.7630210000000002</v>
      </c>
      <c r="F3" s="53">
        <v>2.9989279999999998</v>
      </c>
      <c r="G3" s="53">
        <v>0.76137900000000003</v>
      </c>
      <c r="H3" s="53">
        <v>2.7139999999999998E-3</v>
      </c>
    </row>
    <row r="4" spans="1:13" x14ac:dyDescent="0.45">
      <c r="A4" s="48">
        <v>3</v>
      </c>
      <c r="B4" s="52" t="s">
        <v>23</v>
      </c>
      <c r="C4" s="53" t="s">
        <v>42</v>
      </c>
      <c r="D4" s="53" t="s">
        <v>43</v>
      </c>
      <c r="E4" s="53">
        <f t="shared" si="0"/>
        <v>3.6325800000000004</v>
      </c>
      <c r="F4" s="53">
        <v>2.5277020000000001</v>
      </c>
      <c r="G4" s="53">
        <v>0.68049199999999999</v>
      </c>
      <c r="H4" s="53">
        <v>0.42438599999999999</v>
      </c>
    </row>
    <row r="5" spans="1:13" x14ac:dyDescent="0.45">
      <c r="A5" s="48">
        <v>4</v>
      </c>
      <c r="B5" s="54" t="s">
        <v>24</v>
      </c>
      <c r="C5" s="55" t="s">
        <v>40</v>
      </c>
      <c r="D5" s="54" t="s">
        <v>41</v>
      </c>
      <c r="E5" s="55">
        <f t="shared" si="0"/>
        <v>4.1421920000000005</v>
      </c>
      <c r="F5" s="55">
        <v>3.812459</v>
      </c>
      <c r="G5" s="55">
        <v>0.32567699999999999</v>
      </c>
      <c r="H5" s="55">
        <v>4.0559999999999997E-3</v>
      </c>
    </row>
    <row r="6" spans="1:13" x14ac:dyDescent="0.45">
      <c r="A6" s="48">
        <v>5</v>
      </c>
      <c r="B6" s="54" t="s">
        <v>24</v>
      </c>
      <c r="C6" s="55" t="s">
        <v>42</v>
      </c>
      <c r="D6" s="54" t="s">
        <v>41</v>
      </c>
      <c r="E6" s="55">
        <f t="shared" si="0"/>
        <v>4.2503690000000001</v>
      </c>
      <c r="F6" s="55">
        <v>3.812459</v>
      </c>
      <c r="G6" s="55">
        <v>0.43385400000000002</v>
      </c>
      <c r="H6" s="55">
        <v>4.0559999999999997E-3</v>
      </c>
    </row>
    <row r="7" spans="1:13" x14ac:dyDescent="0.45">
      <c r="A7" s="48">
        <v>6</v>
      </c>
      <c r="B7" s="52" t="s">
        <v>21</v>
      </c>
      <c r="C7" s="53" t="s">
        <v>44</v>
      </c>
      <c r="D7" s="53" t="s">
        <v>45</v>
      </c>
      <c r="E7" s="53">
        <f t="shared" si="0"/>
        <v>21.220103999999999</v>
      </c>
      <c r="F7" s="53">
        <v>13.19894</v>
      </c>
      <c r="G7" s="53">
        <v>0.90092099999999997</v>
      </c>
      <c r="H7" s="53">
        <v>7.1202430000000003</v>
      </c>
    </row>
    <row r="8" spans="1:13" x14ac:dyDescent="0.45">
      <c r="A8" s="48">
        <v>7</v>
      </c>
      <c r="B8" s="52" t="s">
        <v>21</v>
      </c>
      <c r="C8" s="53" t="s">
        <v>42</v>
      </c>
      <c r="D8" s="53" t="s">
        <v>45</v>
      </c>
      <c r="E8" s="53">
        <f t="shared" si="0"/>
        <v>14.342961000000001</v>
      </c>
      <c r="F8" s="53">
        <v>13.19894</v>
      </c>
      <c r="G8" s="53">
        <v>0.96768900000000002</v>
      </c>
      <c r="H8" s="53">
        <v>0.17633199999999999</v>
      </c>
    </row>
    <row r="9" spans="1:13" x14ac:dyDescent="0.45">
      <c r="A9" s="48">
        <v>8</v>
      </c>
      <c r="B9" s="54" t="s">
        <v>22</v>
      </c>
      <c r="C9" s="55" t="s">
        <v>40</v>
      </c>
      <c r="D9" s="54" t="s">
        <v>46</v>
      </c>
      <c r="E9" s="55">
        <f t="shared" si="0"/>
        <v>9.0093472999999999</v>
      </c>
      <c r="F9" s="55">
        <v>7.22039819</v>
      </c>
      <c r="G9" s="55">
        <v>1.7484542000000001</v>
      </c>
      <c r="H9" s="55">
        <v>4.0494910000000002E-2</v>
      </c>
    </row>
    <row r="10" spans="1:13" x14ac:dyDescent="0.45">
      <c r="A10" s="48">
        <v>9</v>
      </c>
      <c r="B10" s="54" t="s">
        <v>22</v>
      </c>
      <c r="C10" s="55" t="s">
        <v>44</v>
      </c>
      <c r="D10" s="55" t="s">
        <v>43</v>
      </c>
      <c r="E10" s="55">
        <f t="shared" si="0"/>
        <v>26.974032749999999</v>
      </c>
      <c r="F10" s="55">
        <v>7.2956225999999997</v>
      </c>
      <c r="G10" s="55">
        <v>0.81951735000000003</v>
      </c>
      <c r="H10" s="55">
        <v>18.8588928</v>
      </c>
    </row>
    <row r="11" spans="1:13" x14ac:dyDescent="0.45">
      <c r="A11" s="48">
        <v>10</v>
      </c>
      <c r="B11" s="54" t="s">
        <v>22</v>
      </c>
      <c r="C11" s="55" t="s">
        <v>44</v>
      </c>
      <c r="D11" s="55" t="s">
        <v>45</v>
      </c>
      <c r="E11" s="55">
        <f t="shared" si="0"/>
        <v>18.329881700000001</v>
      </c>
      <c r="F11" s="55">
        <v>7.1395445799999999</v>
      </c>
      <c r="G11" s="55">
        <v>4.0700936900000002</v>
      </c>
      <c r="H11" s="55">
        <v>7.1202434300000004</v>
      </c>
    </row>
    <row r="12" spans="1:13" x14ac:dyDescent="0.45">
      <c r="A12" s="48">
        <v>11</v>
      </c>
      <c r="B12" s="54" t="s">
        <v>22</v>
      </c>
      <c r="C12" s="55" t="s">
        <v>42</v>
      </c>
      <c r="D12" s="55" t="s">
        <v>43</v>
      </c>
      <c r="E12" s="55">
        <f t="shared" si="0"/>
        <v>8.5660037500000001</v>
      </c>
      <c r="F12" s="55">
        <v>7.2956225999999997</v>
      </c>
      <c r="G12" s="55">
        <v>0.84836555000000002</v>
      </c>
      <c r="H12" s="55">
        <v>0.42201559999999999</v>
      </c>
    </row>
    <row r="13" spans="1:13" x14ac:dyDescent="0.45">
      <c r="A13" s="48">
        <v>12</v>
      </c>
      <c r="B13" s="54" t="s">
        <v>22</v>
      </c>
      <c r="C13" s="55" t="s">
        <v>42</v>
      </c>
      <c r="D13" s="55" t="s">
        <v>45</v>
      </c>
      <c r="E13" s="55">
        <f t="shared" si="0"/>
        <v>11.482704629999999</v>
      </c>
      <c r="F13" s="55">
        <v>7.1395445799999999</v>
      </c>
      <c r="G13" s="55">
        <v>4.1668280099999997</v>
      </c>
      <c r="H13" s="55">
        <v>0.17633204</v>
      </c>
    </row>
    <row r="14" spans="1:13" x14ac:dyDescent="0.45">
      <c r="A14" s="48">
        <v>13</v>
      </c>
      <c r="B14" s="54" t="s">
        <v>22</v>
      </c>
      <c r="C14" s="55" t="s">
        <v>42</v>
      </c>
      <c r="D14" s="55" t="s">
        <v>47</v>
      </c>
      <c r="E14" s="55">
        <f t="shared" si="0"/>
        <v>9.8110231499999987</v>
      </c>
      <c r="F14" s="55">
        <v>7.0857764300000001</v>
      </c>
      <c r="G14" s="55">
        <v>2.3632220799999999</v>
      </c>
      <c r="H14" s="55">
        <v>0.36202464000000001</v>
      </c>
    </row>
    <row r="15" spans="1:13" x14ac:dyDescent="0.45">
      <c r="A15" s="48">
        <v>14</v>
      </c>
      <c r="B15" s="54" t="s">
        <v>22</v>
      </c>
      <c r="C15" s="55" t="s">
        <v>42</v>
      </c>
      <c r="D15" s="55" t="s">
        <v>48</v>
      </c>
      <c r="E15" s="55">
        <f t="shared" si="0"/>
        <v>9.3633567899999992</v>
      </c>
      <c r="F15" s="55">
        <v>7.2956225999999997</v>
      </c>
      <c r="G15" s="55">
        <v>1.77765705</v>
      </c>
      <c r="H15" s="55">
        <v>0.29007714000000001</v>
      </c>
    </row>
    <row r="16" spans="1:13" x14ac:dyDescent="0.45">
      <c r="A16" s="48">
        <v>15</v>
      </c>
      <c r="B16" s="52" t="s">
        <v>20</v>
      </c>
      <c r="C16" s="53" t="s">
        <v>44</v>
      </c>
      <c r="D16" s="53" t="s">
        <v>43</v>
      </c>
      <c r="E16" s="53">
        <f t="shared" si="0"/>
        <v>38.387225999999998</v>
      </c>
      <c r="F16" s="53">
        <v>18.833870000000001</v>
      </c>
      <c r="G16" s="53">
        <v>0.69446600000000003</v>
      </c>
      <c r="H16" s="53">
        <v>18.858889999999999</v>
      </c>
      <c r="K16" s="4"/>
      <c r="L16" s="4"/>
      <c r="M16" s="4"/>
    </row>
    <row r="17" spans="1:13" x14ac:dyDescent="0.45">
      <c r="A17" s="48">
        <v>16</v>
      </c>
      <c r="B17" s="52" t="s">
        <v>20</v>
      </c>
      <c r="C17" s="53" t="s">
        <v>44</v>
      </c>
      <c r="D17" s="53" t="s">
        <v>45</v>
      </c>
      <c r="E17" s="53">
        <f t="shared" si="0"/>
        <v>27.496814999999998</v>
      </c>
      <c r="F17" s="53">
        <v>18.857240000000001</v>
      </c>
      <c r="G17" s="53">
        <v>1.5193319999999999</v>
      </c>
      <c r="H17" s="53">
        <v>7.1202430000000003</v>
      </c>
      <c r="K17" s="4"/>
      <c r="L17" s="4"/>
      <c r="M17" s="4"/>
    </row>
    <row r="18" spans="1:13" x14ac:dyDescent="0.45">
      <c r="A18" s="48">
        <v>17</v>
      </c>
      <c r="B18" s="52" t="s">
        <v>20</v>
      </c>
      <c r="C18" s="53" t="s">
        <v>44</v>
      </c>
      <c r="D18" s="53" t="s">
        <v>49</v>
      </c>
      <c r="E18" s="53">
        <f t="shared" si="0"/>
        <v>29.290783999999999</v>
      </c>
      <c r="F18" s="53">
        <v>18.760680000000001</v>
      </c>
      <c r="G18" s="53">
        <v>0.63292700000000002</v>
      </c>
      <c r="H18" s="53">
        <v>9.8971769999999992</v>
      </c>
    </row>
    <row r="19" spans="1:13" x14ac:dyDescent="0.45">
      <c r="A19" s="48">
        <v>18</v>
      </c>
      <c r="B19" s="52" t="s">
        <v>20</v>
      </c>
      <c r="C19" s="53" t="s">
        <v>42</v>
      </c>
      <c r="D19" s="53" t="s">
        <v>43</v>
      </c>
      <c r="E19" s="53">
        <f t="shared" si="0"/>
        <v>19.969895000000001</v>
      </c>
      <c r="F19" s="53">
        <v>18.833870000000001</v>
      </c>
      <c r="G19" s="53">
        <v>0.714009</v>
      </c>
      <c r="H19" s="53">
        <v>0.422016</v>
      </c>
    </row>
    <row r="20" spans="1:13" x14ac:dyDescent="0.45">
      <c r="A20" s="48">
        <v>19</v>
      </c>
      <c r="B20" s="52" t="s">
        <v>20</v>
      </c>
      <c r="C20" s="53" t="s">
        <v>42</v>
      </c>
      <c r="D20" s="53" t="s">
        <v>45</v>
      </c>
      <c r="E20" s="53">
        <f t="shared" si="0"/>
        <v>20.619671999999998</v>
      </c>
      <c r="F20" s="53">
        <v>18.857240000000001</v>
      </c>
      <c r="G20" s="53">
        <v>1.5861000000000001</v>
      </c>
      <c r="H20" s="53">
        <v>0.17633199999999999</v>
      </c>
    </row>
    <row r="21" spans="1:13" x14ac:dyDescent="0.45">
      <c r="A21" s="48">
        <v>20</v>
      </c>
      <c r="B21" s="52" t="s">
        <v>20</v>
      </c>
      <c r="C21" s="53" t="s">
        <v>42</v>
      </c>
      <c r="D21" s="53" t="s">
        <v>49</v>
      </c>
      <c r="E21" s="53">
        <f t="shared" si="0"/>
        <v>19.644688000000002</v>
      </c>
      <c r="F21" s="53">
        <v>18.760680000000001</v>
      </c>
      <c r="G21" s="53">
        <v>0.64853400000000005</v>
      </c>
      <c r="H21" s="53">
        <v>0.23547399999999999</v>
      </c>
    </row>
    <row r="22" spans="1:13" x14ac:dyDescent="0.45">
      <c r="A22" s="48">
        <v>21</v>
      </c>
      <c r="B22" s="54" t="s">
        <v>25</v>
      </c>
      <c r="C22" s="55" t="s">
        <v>40</v>
      </c>
      <c r="D22" s="55" t="s">
        <v>41</v>
      </c>
      <c r="E22" s="55">
        <f t="shared" si="0"/>
        <v>3.1084899999999998</v>
      </c>
      <c r="F22" s="55">
        <v>3.0457689999999999</v>
      </c>
      <c r="G22" s="55">
        <v>5.5363000000000002E-2</v>
      </c>
      <c r="H22" s="55">
        <v>7.358E-3</v>
      </c>
    </row>
    <row r="23" spans="1:13" x14ac:dyDescent="0.45">
      <c r="A23" s="48">
        <v>22</v>
      </c>
      <c r="B23" s="54" t="s">
        <v>25</v>
      </c>
      <c r="C23" s="55" t="s">
        <v>40</v>
      </c>
      <c r="D23" s="55" t="s">
        <v>50</v>
      </c>
      <c r="E23" s="55">
        <f t="shared" si="0"/>
        <v>2.9556629999999999</v>
      </c>
      <c r="F23" s="55">
        <v>2.924229</v>
      </c>
      <c r="G23" s="55">
        <v>3.1273000000000002E-2</v>
      </c>
      <c r="H23" s="55">
        <v>1.6100000000000001E-4</v>
      </c>
    </row>
    <row r="24" spans="1:13" x14ac:dyDescent="0.45">
      <c r="A24" s="48">
        <v>23</v>
      </c>
      <c r="B24" s="52" t="s">
        <v>28</v>
      </c>
      <c r="C24" s="53" t="s">
        <v>51</v>
      </c>
      <c r="D24" s="53" t="s">
        <v>41</v>
      </c>
      <c r="E24" s="53">
        <f t="shared" si="0"/>
        <v>0.38261500000000004</v>
      </c>
      <c r="F24" s="53">
        <v>0.19164700000000001</v>
      </c>
      <c r="G24" s="53">
        <v>0.10198699999999999</v>
      </c>
      <c r="H24" s="53">
        <v>8.8981000000000005E-2</v>
      </c>
    </row>
    <row r="25" spans="1:13" x14ac:dyDescent="0.45">
      <c r="A25" s="48">
        <v>24</v>
      </c>
      <c r="B25" s="52" t="s">
        <v>28</v>
      </c>
      <c r="C25" s="53" t="s">
        <v>51</v>
      </c>
      <c r="D25" s="53" t="s">
        <v>52</v>
      </c>
      <c r="E25" s="53">
        <f t="shared" si="0"/>
        <v>0.39091900000000002</v>
      </c>
      <c r="F25" s="53">
        <v>0.199766</v>
      </c>
      <c r="G25" s="53">
        <v>0.10198699999999999</v>
      </c>
      <c r="H25" s="53">
        <v>8.9165999999999995E-2</v>
      </c>
    </row>
    <row r="26" spans="1:13" x14ac:dyDescent="0.45">
      <c r="A26" s="48">
        <v>25</v>
      </c>
      <c r="B26" s="52" t="s">
        <v>28</v>
      </c>
      <c r="C26" s="53" t="s">
        <v>53</v>
      </c>
      <c r="D26" s="53" t="s">
        <v>41</v>
      </c>
      <c r="E26" s="53">
        <f t="shared" si="0"/>
        <v>0.318382</v>
      </c>
      <c r="F26" s="53">
        <v>0.127414</v>
      </c>
      <c r="G26" s="53">
        <v>0.10198699999999999</v>
      </c>
      <c r="H26" s="53">
        <v>8.8981000000000005E-2</v>
      </c>
    </row>
    <row r="27" spans="1:13" x14ac:dyDescent="0.45">
      <c r="A27" s="48">
        <v>26</v>
      </c>
      <c r="B27" s="52" t="s">
        <v>28</v>
      </c>
      <c r="C27" s="53" t="s">
        <v>54</v>
      </c>
      <c r="D27" s="53" t="s">
        <v>41</v>
      </c>
      <c r="E27" s="53">
        <f t="shared" si="0"/>
        <v>0.33505799999999997</v>
      </c>
      <c r="F27" s="53">
        <v>0.14409</v>
      </c>
      <c r="G27" s="53">
        <v>0.10198699999999999</v>
      </c>
      <c r="H27" s="53">
        <v>8.8981000000000005E-2</v>
      </c>
    </row>
    <row r="28" spans="1:13" x14ac:dyDescent="0.45">
      <c r="A28" s="48">
        <v>27</v>
      </c>
      <c r="B28" s="52" t="s">
        <v>28</v>
      </c>
      <c r="C28" s="53" t="s">
        <v>55</v>
      </c>
      <c r="D28" s="53" t="s">
        <v>41</v>
      </c>
      <c r="E28" s="53">
        <f t="shared" si="0"/>
        <v>0.28408</v>
      </c>
      <c r="F28" s="53">
        <v>9.3112E-2</v>
      </c>
      <c r="G28" s="53">
        <v>0.10198699999999999</v>
      </c>
      <c r="H28" s="53">
        <v>8.8981000000000005E-2</v>
      </c>
    </row>
    <row r="29" spans="1:13" x14ac:dyDescent="0.45">
      <c r="A29" s="48">
        <v>28</v>
      </c>
      <c r="B29" s="52" t="s">
        <v>28</v>
      </c>
      <c r="C29" s="53" t="s">
        <v>56</v>
      </c>
      <c r="D29" s="53" t="s">
        <v>45</v>
      </c>
      <c r="E29" s="53">
        <f t="shared" si="0"/>
        <v>0.50028000000000006</v>
      </c>
      <c r="F29" s="53">
        <v>0.19825000000000001</v>
      </c>
      <c r="G29" s="53">
        <v>9.6673999999999996E-2</v>
      </c>
      <c r="H29" s="53">
        <v>0.20535600000000001</v>
      </c>
    </row>
    <row r="30" spans="1:13" x14ac:dyDescent="0.45">
      <c r="A30" s="48">
        <v>29</v>
      </c>
      <c r="B30" s="52" t="s">
        <v>28</v>
      </c>
      <c r="C30" s="53" t="s">
        <v>56</v>
      </c>
      <c r="D30" s="53" t="s">
        <v>57</v>
      </c>
      <c r="E30" s="53">
        <f t="shared" si="0"/>
        <v>0.99686600000000003</v>
      </c>
      <c r="F30" s="53">
        <v>0.156613</v>
      </c>
      <c r="G30" s="53">
        <v>9.6673999999999996E-2</v>
      </c>
      <c r="H30" s="53">
        <v>0.74357899999999999</v>
      </c>
    </row>
    <row r="31" spans="1:13" x14ac:dyDescent="0.45">
      <c r="A31" s="48">
        <v>30</v>
      </c>
      <c r="B31" s="52" t="s">
        <v>28</v>
      </c>
      <c r="C31" s="53" t="s">
        <v>56</v>
      </c>
      <c r="D31" s="53" t="s">
        <v>58</v>
      </c>
      <c r="E31" s="53">
        <f t="shared" si="0"/>
        <v>0.593862</v>
      </c>
      <c r="F31" s="53">
        <v>0.196074</v>
      </c>
      <c r="G31" s="53">
        <v>0.10198699999999999</v>
      </c>
      <c r="H31" s="53">
        <v>0.29580099999999998</v>
      </c>
    </row>
    <row r="32" spans="1:13" x14ac:dyDescent="0.45">
      <c r="A32" s="48">
        <v>31</v>
      </c>
      <c r="B32" s="52" t="s">
        <v>28</v>
      </c>
      <c r="C32" s="53" t="s">
        <v>56</v>
      </c>
      <c r="D32" s="53" t="s">
        <v>59</v>
      </c>
      <c r="E32" s="53">
        <f t="shared" si="0"/>
        <v>0.566272</v>
      </c>
      <c r="F32" s="53">
        <v>0.18069099999999999</v>
      </c>
      <c r="G32" s="53">
        <v>0.10312</v>
      </c>
      <c r="H32" s="53">
        <v>0.28246100000000002</v>
      </c>
    </row>
    <row r="33" spans="1:8" x14ac:dyDescent="0.45">
      <c r="A33" s="48">
        <v>32</v>
      </c>
      <c r="B33" s="54" t="s">
        <v>30</v>
      </c>
      <c r="C33" s="55" t="s">
        <v>60</v>
      </c>
      <c r="D33" s="55" t="s">
        <v>41</v>
      </c>
      <c r="E33" s="55">
        <f t="shared" si="0"/>
        <v>0.59886799999999996</v>
      </c>
      <c r="F33" s="55">
        <v>0.42276799999999998</v>
      </c>
      <c r="G33" s="55">
        <v>0.10198699999999999</v>
      </c>
      <c r="H33" s="55">
        <v>7.4112999999999998E-2</v>
      </c>
    </row>
    <row r="34" spans="1:8" x14ac:dyDescent="0.45">
      <c r="A34" s="48">
        <v>33</v>
      </c>
      <c r="B34" s="54" t="s">
        <v>30</v>
      </c>
      <c r="C34" s="55" t="s">
        <v>61</v>
      </c>
      <c r="D34" s="55" t="s">
        <v>62</v>
      </c>
      <c r="E34" s="55">
        <f t="shared" si="0"/>
        <v>0.74158500000000005</v>
      </c>
      <c r="F34" s="55">
        <v>0.534582</v>
      </c>
      <c r="G34" s="55">
        <v>0.122128</v>
      </c>
      <c r="H34" s="55">
        <v>8.4875000000000006E-2</v>
      </c>
    </row>
    <row r="35" spans="1:8" x14ac:dyDescent="0.45">
      <c r="A35" s="48">
        <v>34</v>
      </c>
      <c r="B35" s="54" t="s">
        <v>30</v>
      </c>
      <c r="C35" s="55" t="s">
        <v>61</v>
      </c>
      <c r="D35" s="55" t="s">
        <v>46</v>
      </c>
      <c r="E35" s="55">
        <f t="shared" si="0"/>
        <v>0.75385499999999994</v>
      </c>
      <c r="F35" s="55">
        <v>0.57922600000000002</v>
      </c>
      <c r="G35" s="55">
        <v>0.12615599999999999</v>
      </c>
      <c r="H35" s="55">
        <v>4.8473000000000002E-2</v>
      </c>
    </row>
    <row r="36" spans="1:8" x14ac:dyDescent="0.45">
      <c r="A36" s="48">
        <v>35</v>
      </c>
      <c r="B36" s="54" t="s">
        <v>30</v>
      </c>
      <c r="C36" s="55" t="s">
        <v>63</v>
      </c>
      <c r="D36" s="55" t="s">
        <v>45</v>
      </c>
      <c r="E36" s="55">
        <f t="shared" si="0"/>
        <v>1.3183459999999998</v>
      </c>
      <c r="F36" s="55">
        <v>0.74356199999999995</v>
      </c>
      <c r="G36" s="55">
        <v>0.35627599999999998</v>
      </c>
      <c r="H36" s="55">
        <v>0.21850800000000001</v>
      </c>
    </row>
    <row r="37" spans="1:8" x14ac:dyDescent="0.45">
      <c r="A37" s="48">
        <v>36</v>
      </c>
      <c r="B37" s="54" t="s">
        <v>30</v>
      </c>
      <c r="C37" s="55" t="s">
        <v>63</v>
      </c>
      <c r="D37" s="55" t="s">
        <v>62</v>
      </c>
      <c r="E37" s="55">
        <f t="shared" si="0"/>
        <v>1.173403</v>
      </c>
      <c r="F37" s="55">
        <v>0.74465899999999996</v>
      </c>
      <c r="G37" s="55">
        <v>0.34478199999999998</v>
      </c>
      <c r="H37" s="55">
        <v>8.3961999999999995E-2</v>
      </c>
    </row>
    <row r="38" spans="1:8" x14ac:dyDescent="0.45">
      <c r="A38" s="48">
        <v>37</v>
      </c>
      <c r="B38" s="54" t="s">
        <v>30</v>
      </c>
      <c r="C38" s="55" t="s">
        <v>63</v>
      </c>
      <c r="D38" s="55" t="s">
        <v>41</v>
      </c>
      <c r="E38" s="55">
        <f t="shared" si="0"/>
        <v>1.0635490000000001</v>
      </c>
      <c r="F38" s="55">
        <v>0.584422</v>
      </c>
      <c r="G38" s="55">
        <v>0.39586399999999999</v>
      </c>
      <c r="H38" s="55">
        <v>8.3263000000000004E-2</v>
      </c>
    </row>
    <row r="39" spans="1:8" x14ac:dyDescent="0.45">
      <c r="A39" s="48">
        <v>38</v>
      </c>
      <c r="B39" s="54" t="s">
        <v>30</v>
      </c>
      <c r="C39" s="55" t="s">
        <v>64</v>
      </c>
      <c r="D39" s="55" t="s">
        <v>50</v>
      </c>
      <c r="E39" s="55">
        <f t="shared" si="0"/>
        <v>0.24571499999999999</v>
      </c>
      <c r="F39" s="55">
        <v>4.8299000000000002E-2</v>
      </c>
      <c r="G39" s="55">
        <v>0.18532499999999999</v>
      </c>
      <c r="H39" s="55">
        <v>1.2090999999999999E-2</v>
      </c>
    </row>
    <row r="40" spans="1:8" x14ac:dyDescent="0.45">
      <c r="A40" s="48">
        <v>39</v>
      </c>
      <c r="B40" s="54" t="s">
        <v>30</v>
      </c>
      <c r="C40" s="55" t="s">
        <v>65</v>
      </c>
      <c r="D40" s="55" t="s">
        <v>62</v>
      </c>
      <c r="E40" s="55">
        <f t="shared" si="0"/>
        <v>0.99066299999999996</v>
      </c>
      <c r="F40" s="55">
        <v>0.80690799999999996</v>
      </c>
      <c r="G40" s="55">
        <v>9.9793000000000007E-2</v>
      </c>
      <c r="H40" s="55">
        <v>8.3961999999999995E-2</v>
      </c>
    </row>
    <row r="41" spans="1:8" x14ac:dyDescent="0.45">
      <c r="A41" s="48">
        <v>40</v>
      </c>
      <c r="B41" s="54" t="s">
        <v>30</v>
      </c>
      <c r="C41" s="55" t="s">
        <v>65</v>
      </c>
      <c r="D41" s="55" t="s">
        <v>41</v>
      </c>
      <c r="E41" s="55">
        <f t="shared" si="0"/>
        <v>0.84319900000000003</v>
      </c>
      <c r="F41" s="55">
        <v>0.64535600000000004</v>
      </c>
      <c r="G41" s="55">
        <v>0.11458</v>
      </c>
      <c r="H41" s="55">
        <v>8.3263000000000004E-2</v>
      </c>
    </row>
    <row r="42" spans="1:8" x14ac:dyDescent="0.45">
      <c r="A42" s="48">
        <v>41</v>
      </c>
      <c r="B42" s="54" t="s">
        <v>30</v>
      </c>
      <c r="C42" s="55" t="s">
        <v>65</v>
      </c>
      <c r="D42" s="55" t="s">
        <v>66</v>
      </c>
      <c r="E42" s="55">
        <f t="shared" si="0"/>
        <v>1.1864809999999999</v>
      </c>
      <c r="F42" s="55">
        <v>0.97326199999999996</v>
      </c>
      <c r="G42" s="55">
        <v>0.11458</v>
      </c>
      <c r="H42" s="55">
        <v>9.8639000000000004E-2</v>
      </c>
    </row>
    <row r="43" spans="1:8" x14ac:dyDescent="0.45">
      <c r="A43" s="48">
        <v>42</v>
      </c>
      <c r="B43" s="54" t="s">
        <v>30</v>
      </c>
      <c r="C43" s="55" t="s">
        <v>65</v>
      </c>
      <c r="D43" s="55" t="s">
        <v>47</v>
      </c>
      <c r="E43" s="55">
        <f t="shared" si="0"/>
        <v>1.119623</v>
      </c>
      <c r="F43" s="55">
        <v>0.57052999999999998</v>
      </c>
      <c r="G43" s="55">
        <v>0.10198699999999999</v>
      </c>
      <c r="H43" s="55">
        <v>0.447106</v>
      </c>
    </row>
    <row r="44" spans="1:8" x14ac:dyDescent="0.45">
      <c r="A44" s="48">
        <v>43</v>
      </c>
      <c r="B44" s="54" t="s">
        <v>30</v>
      </c>
      <c r="C44" s="55" t="s">
        <v>67</v>
      </c>
      <c r="D44" s="55" t="s">
        <v>68</v>
      </c>
      <c r="E44" s="55">
        <f t="shared" si="0"/>
        <v>0.41497700000000004</v>
      </c>
      <c r="F44" s="55">
        <v>0.20217499999999999</v>
      </c>
      <c r="G44" s="55">
        <v>0.11458</v>
      </c>
      <c r="H44" s="55">
        <v>9.8222000000000004E-2</v>
      </c>
    </row>
    <row r="45" spans="1:8" x14ac:dyDescent="0.45">
      <c r="A45" s="48">
        <v>44</v>
      </c>
      <c r="B45" s="54" t="s">
        <v>30</v>
      </c>
      <c r="C45" s="55" t="s">
        <v>67</v>
      </c>
      <c r="D45" s="55" t="s">
        <v>62</v>
      </c>
      <c r="E45" s="55">
        <f t="shared" si="0"/>
        <v>0.39637600000000001</v>
      </c>
      <c r="F45" s="55">
        <v>0.212621</v>
      </c>
      <c r="G45" s="55">
        <v>9.9793000000000007E-2</v>
      </c>
      <c r="H45" s="55">
        <v>8.3961999999999995E-2</v>
      </c>
    </row>
    <row r="46" spans="1:8" x14ac:dyDescent="0.45">
      <c r="A46" s="48">
        <v>45</v>
      </c>
      <c r="B46" s="54" t="s">
        <v>30</v>
      </c>
      <c r="C46" s="55" t="s">
        <v>67</v>
      </c>
      <c r="D46" s="55" t="s">
        <v>46</v>
      </c>
      <c r="E46" s="55">
        <f t="shared" si="0"/>
        <v>0.37121300000000002</v>
      </c>
      <c r="F46" s="55">
        <v>0.20217499999999999</v>
      </c>
      <c r="G46" s="55">
        <v>0.11458</v>
      </c>
      <c r="H46" s="55">
        <v>5.4457999999999999E-2</v>
      </c>
    </row>
    <row r="47" spans="1:8" x14ac:dyDescent="0.45">
      <c r="A47" s="48">
        <v>46</v>
      </c>
      <c r="B47" s="54" t="s">
        <v>30</v>
      </c>
      <c r="C47" s="55" t="s">
        <v>67</v>
      </c>
      <c r="D47" s="55" t="s">
        <v>69</v>
      </c>
      <c r="E47" s="55">
        <f t="shared" si="0"/>
        <v>0.48309599999999997</v>
      </c>
      <c r="F47" s="55">
        <v>0.20217499999999999</v>
      </c>
      <c r="G47" s="55">
        <v>0.11458</v>
      </c>
      <c r="H47" s="55">
        <v>0.16634099999999999</v>
      </c>
    </row>
    <row r="48" spans="1:8" x14ac:dyDescent="0.45">
      <c r="A48" s="48">
        <v>47</v>
      </c>
      <c r="B48" s="54" t="s">
        <v>30</v>
      </c>
      <c r="C48" s="55" t="s">
        <v>67</v>
      </c>
      <c r="D48" s="55" t="s">
        <v>57</v>
      </c>
      <c r="E48" s="55">
        <f t="shared" si="0"/>
        <v>1.096732</v>
      </c>
      <c r="F48" s="55">
        <v>0.20100000000000001</v>
      </c>
      <c r="G48" s="55">
        <v>0.10312</v>
      </c>
      <c r="H48" s="55">
        <v>0.79261199999999998</v>
      </c>
    </row>
    <row r="49" spans="1:8" x14ac:dyDescent="0.45">
      <c r="A49" s="48">
        <v>48</v>
      </c>
      <c r="B49" s="52" t="s">
        <v>32</v>
      </c>
      <c r="C49" s="53" t="s">
        <v>32</v>
      </c>
      <c r="D49" s="53" t="s">
        <v>45</v>
      </c>
      <c r="E49" s="53">
        <f t="shared" si="0"/>
        <v>0.609043</v>
      </c>
      <c r="F49" s="53">
        <v>0.44561099999999998</v>
      </c>
      <c r="G49" s="53">
        <v>3.3017999999999999E-2</v>
      </c>
      <c r="H49" s="53">
        <v>0.130414</v>
      </c>
    </row>
    <row r="50" spans="1:8" x14ac:dyDescent="0.45">
      <c r="A50" s="48">
        <v>49</v>
      </c>
      <c r="B50" s="52" t="s">
        <v>32</v>
      </c>
      <c r="C50" s="53" t="s">
        <v>32</v>
      </c>
      <c r="D50" s="53" t="s">
        <v>57</v>
      </c>
      <c r="E50" s="53">
        <f t="shared" si="0"/>
        <v>0.92317300000000002</v>
      </c>
      <c r="F50" s="53">
        <v>0.49074200000000001</v>
      </c>
      <c r="G50" s="53">
        <v>3.2978E-2</v>
      </c>
      <c r="H50" s="53">
        <v>0.399453</v>
      </c>
    </row>
    <row r="51" spans="1:8" x14ac:dyDescent="0.45">
      <c r="A51" s="48">
        <v>50</v>
      </c>
      <c r="B51" s="54" t="s">
        <v>31</v>
      </c>
      <c r="C51" s="55" t="s">
        <v>31</v>
      </c>
      <c r="D51" s="55" t="s">
        <v>70</v>
      </c>
      <c r="E51" s="55">
        <f t="shared" si="0"/>
        <v>2.5333420000000002</v>
      </c>
      <c r="F51" s="55">
        <v>2.6889720000000001</v>
      </c>
      <c r="G51" s="55">
        <v>-0.18823500000000001</v>
      </c>
      <c r="H51" s="55">
        <v>3.2605000000000002E-2</v>
      </c>
    </row>
    <row r="52" spans="1:8" x14ac:dyDescent="0.45">
      <c r="A52" s="48">
        <v>51</v>
      </c>
      <c r="B52" s="54" t="s">
        <v>31</v>
      </c>
      <c r="C52" s="55" t="s">
        <v>31</v>
      </c>
      <c r="D52" s="55" t="s">
        <v>66</v>
      </c>
      <c r="E52" s="55">
        <f t="shared" si="0"/>
        <v>2.6716380000000002</v>
      </c>
      <c r="F52" s="55">
        <v>2.9543300000000001</v>
      </c>
      <c r="G52" s="55">
        <v>-0.33082</v>
      </c>
      <c r="H52" s="55">
        <v>4.8127999999999997E-2</v>
      </c>
    </row>
    <row r="53" spans="1:8" x14ac:dyDescent="0.45">
      <c r="A53" s="48">
        <v>52</v>
      </c>
      <c r="B53" s="54" t="s">
        <v>31</v>
      </c>
      <c r="C53" s="55" t="s">
        <v>31</v>
      </c>
      <c r="D53" s="55" t="s">
        <v>71</v>
      </c>
      <c r="E53" s="55">
        <f t="shared" si="0"/>
        <v>2.5184839999999999</v>
      </c>
      <c r="F53" s="55">
        <v>2.6889720000000001</v>
      </c>
      <c r="G53" s="55">
        <v>-0.221641</v>
      </c>
      <c r="H53" s="55">
        <v>5.1152999999999997E-2</v>
      </c>
    </row>
    <row r="54" spans="1:8" x14ac:dyDescent="0.45">
      <c r="A54" s="48">
        <v>53</v>
      </c>
      <c r="B54" s="52" t="s">
        <v>72</v>
      </c>
      <c r="C54" s="53" t="s">
        <v>73</v>
      </c>
      <c r="D54" s="53" t="s">
        <v>62</v>
      </c>
      <c r="E54" s="53">
        <f t="shared" si="0"/>
        <v>0.429894</v>
      </c>
      <c r="F54" s="53">
        <v>0.240616</v>
      </c>
      <c r="G54" s="53">
        <v>0.100878</v>
      </c>
      <c r="H54" s="56">
        <v>8.8400000000000006E-2</v>
      </c>
    </row>
    <row r="55" spans="1:8" x14ac:dyDescent="0.45">
      <c r="A55" s="48">
        <v>54</v>
      </c>
      <c r="B55" s="52" t="s">
        <v>72</v>
      </c>
      <c r="C55" s="53" t="s">
        <v>73</v>
      </c>
      <c r="D55" s="53" t="s">
        <v>41</v>
      </c>
      <c r="E55" s="53">
        <f t="shared" si="0"/>
        <v>0.43299799999999999</v>
      </c>
      <c r="F55" s="53">
        <v>0.253411</v>
      </c>
      <c r="G55" s="53">
        <v>0.10198699999999999</v>
      </c>
      <c r="H55" s="57">
        <v>7.7600000000000002E-2</v>
      </c>
    </row>
    <row r="56" spans="1:8" x14ac:dyDescent="0.45">
      <c r="A56" s="48">
        <v>55</v>
      </c>
      <c r="B56" s="52" t="s">
        <v>72</v>
      </c>
      <c r="C56" s="53" t="s">
        <v>73</v>
      </c>
      <c r="D56" s="53" t="s">
        <v>50</v>
      </c>
      <c r="E56" s="53">
        <f t="shared" si="0"/>
        <v>0.34267999999999998</v>
      </c>
      <c r="F56" s="53">
        <v>0.23880199999999999</v>
      </c>
      <c r="G56" s="53">
        <v>0.100878</v>
      </c>
      <c r="H56" s="57">
        <v>3.0000000000000001E-3</v>
      </c>
    </row>
    <row r="57" spans="1:8" x14ac:dyDescent="0.45">
      <c r="A57" s="48">
        <v>56</v>
      </c>
      <c r="B57" s="52" t="s">
        <v>72</v>
      </c>
      <c r="C57" s="53" t="s">
        <v>74</v>
      </c>
      <c r="D57" s="53" t="s">
        <v>41</v>
      </c>
      <c r="E57" s="53">
        <f t="shared" si="0"/>
        <v>0.27349400000000001</v>
      </c>
      <c r="F57" s="53">
        <v>9.3198000000000003E-2</v>
      </c>
      <c r="G57" s="53">
        <v>0.102448</v>
      </c>
      <c r="H57" s="53">
        <v>7.7848000000000001E-2</v>
      </c>
    </row>
    <row r="58" spans="1:8" x14ac:dyDescent="0.45">
      <c r="A58" s="48">
        <v>57</v>
      </c>
      <c r="B58" s="52" t="s">
        <v>72</v>
      </c>
      <c r="C58" s="53" t="s">
        <v>74</v>
      </c>
      <c r="D58" s="53" t="s">
        <v>50</v>
      </c>
      <c r="E58" s="53">
        <f t="shared" si="0"/>
        <v>0.18901899999999999</v>
      </c>
      <c r="F58" s="53">
        <v>8.4638000000000005E-2</v>
      </c>
      <c r="G58" s="53">
        <v>0.10133399999999999</v>
      </c>
      <c r="H58" s="53">
        <v>3.0469999999999998E-3</v>
      </c>
    </row>
    <row r="59" spans="1:8" x14ac:dyDescent="0.45">
      <c r="A59" s="48">
        <v>58</v>
      </c>
      <c r="B59" s="52" t="s">
        <v>72</v>
      </c>
      <c r="C59" s="53" t="s">
        <v>75</v>
      </c>
      <c r="D59" s="53" t="s">
        <v>41</v>
      </c>
      <c r="E59" s="53">
        <f t="shared" si="0"/>
        <v>0.46926399999999996</v>
      </c>
      <c r="F59" s="53">
        <v>0.28902699999999998</v>
      </c>
      <c r="G59" s="53">
        <v>0.10198699999999999</v>
      </c>
      <c r="H59" s="53">
        <v>7.825E-2</v>
      </c>
    </row>
    <row r="60" spans="1:8" x14ac:dyDescent="0.45">
      <c r="A60" s="48">
        <v>59</v>
      </c>
      <c r="B60" s="52" t="s">
        <v>72</v>
      </c>
      <c r="C60" s="53" t="s">
        <v>75</v>
      </c>
      <c r="D60" s="53" t="s">
        <v>46</v>
      </c>
      <c r="E60" s="53">
        <f t="shared" si="0"/>
        <v>0.44530500000000001</v>
      </c>
      <c r="F60" s="53">
        <v>0.29070800000000002</v>
      </c>
      <c r="G60" s="53">
        <v>0.10198699999999999</v>
      </c>
      <c r="H60" s="53">
        <v>5.2609999999999997E-2</v>
      </c>
    </row>
    <row r="61" spans="1:8" ht="28.5" x14ac:dyDescent="0.45">
      <c r="A61" s="48">
        <v>60</v>
      </c>
      <c r="B61" s="52" t="s">
        <v>72</v>
      </c>
      <c r="C61" s="53" t="s">
        <v>75</v>
      </c>
      <c r="D61" s="52" t="s">
        <v>76</v>
      </c>
      <c r="E61" s="53">
        <f t="shared" si="0"/>
        <v>0.37559099999999995</v>
      </c>
      <c r="F61" s="53">
        <v>0.27157199999999998</v>
      </c>
      <c r="G61" s="53">
        <v>0.100878</v>
      </c>
      <c r="H61" s="53">
        <v>3.1410000000000001E-3</v>
      </c>
    </row>
    <row r="62" spans="1:8" ht="28.5" x14ac:dyDescent="0.45">
      <c r="A62" s="48">
        <v>61</v>
      </c>
      <c r="B62" s="52" t="s">
        <v>72</v>
      </c>
      <c r="C62" s="53" t="s">
        <v>75</v>
      </c>
      <c r="D62" s="52" t="s">
        <v>77</v>
      </c>
      <c r="E62" s="53">
        <f t="shared" si="0"/>
        <v>0.42231399999999997</v>
      </c>
      <c r="F62" s="53">
        <v>0.31795699999999999</v>
      </c>
      <c r="G62" s="53">
        <v>0.10133399999999999</v>
      </c>
      <c r="H62" s="53">
        <v>3.0230000000000001E-3</v>
      </c>
    </row>
    <row r="63" spans="1:8" ht="28.5" x14ac:dyDescent="0.45">
      <c r="A63" s="48">
        <v>62</v>
      </c>
      <c r="B63" s="52" t="s">
        <v>72</v>
      </c>
      <c r="C63" s="53" t="s">
        <v>75</v>
      </c>
      <c r="D63" s="52" t="s">
        <v>78</v>
      </c>
      <c r="E63" s="53">
        <f t="shared" si="0"/>
        <v>0.26782999999999996</v>
      </c>
      <c r="F63" s="53">
        <v>0.16390399999999999</v>
      </c>
      <c r="G63" s="53">
        <v>0.100878</v>
      </c>
      <c r="H63" s="53">
        <v>3.0479999999999999E-3</v>
      </c>
    </row>
    <row r="64" spans="1:8" ht="28.5" x14ac:dyDescent="0.45">
      <c r="A64" s="48">
        <v>63</v>
      </c>
      <c r="B64" s="52" t="s">
        <v>72</v>
      </c>
      <c r="C64" s="53" t="s">
        <v>75</v>
      </c>
      <c r="D64" s="52" t="s">
        <v>79</v>
      </c>
      <c r="E64" s="53">
        <f t="shared" si="0"/>
        <v>1.5373620000000001</v>
      </c>
      <c r="F64" s="53">
        <v>1.433359</v>
      </c>
      <c r="G64" s="53">
        <v>0.100878</v>
      </c>
      <c r="H64" s="53">
        <v>3.1250000000000002E-3</v>
      </c>
    </row>
    <row r="65" spans="1:8" x14ac:dyDescent="0.45">
      <c r="A65" s="48">
        <v>64</v>
      </c>
      <c r="B65" s="54" t="s">
        <v>26</v>
      </c>
      <c r="C65" s="55" t="s">
        <v>80</v>
      </c>
      <c r="D65" s="55" t="s">
        <v>71</v>
      </c>
      <c r="E65" s="55">
        <f t="shared" si="0"/>
        <v>5.6848479999999997</v>
      </c>
      <c r="F65" s="55">
        <v>4.5770249999999999</v>
      </c>
      <c r="G65" s="55">
        <v>1.020249</v>
      </c>
      <c r="H65" s="55">
        <v>8.7573999999999999E-2</v>
      </c>
    </row>
    <row r="66" spans="1:8" x14ac:dyDescent="0.45">
      <c r="A66" s="48">
        <v>65</v>
      </c>
      <c r="B66" s="54" t="s">
        <v>26</v>
      </c>
      <c r="C66" s="55" t="s">
        <v>81</v>
      </c>
      <c r="D66" s="55" t="s">
        <v>82</v>
      </c>
      <c r="E66" s="55">
        <f t="shared" si="0"/>
        <v>13.573368</v>
      </c>
      <c r="F66" s="55">
        <v>1.6381209999999999</v>
      </c>
      <c r="G66" s="55">
        <v>0.120767</v>
      </c>
      <c r="H66" s="55">
        <v>11.81448</v>
      </c>
    </row>
    <row r="67" spans="1:8" x14ac:dyDescent="0.45">
      <c r="A67" s="48">
        <v>66</v>
      </c>
      <c r="B67" s="54" t="s">
        <v>26</v>
      </c>
      <c r="C67" s="55" t="s">
        <v>83</v>
      </c>
      <c r="D67" s="55" t="s">
        <v>82</v>
      </c>
      <c r="E67" s="55">
        <f t="shared" ref="E67:E90" si="1">SUM(F67:H67)</f>
        <v>2.2942670000000001</v>
      </c>
      <c r="F67" s="55">
        <v>1.715716</v>
      </c>
      <c r="G67" s="55">
        <v>0.15206900000000001</v>
      </c>
      <c r="H67" s="55">
        <v>0.42648200000000003</v>
      </c>
    </row>
    <row r="68" spans="1:8" x14ac:dyDescent="0.45">
      <c r="A68" s="48">
        <v>67</v>
      </c>
      <c r="B68" s="54" t="s">
        <v>26</v>
      </c>
      <c r="C68" s="55" t="s">
        <v>83</v>
      </c>
      <c r="D68" s="55" t="s">
        <v>84</v>
      </c>
      <c r="E68" s="55">
        <f t="shared" si="1"/>
        <v>2.2537609999999999</v>
      </c>
      <c r="F68" s="55">
        <v>1.6983520000000001</v>
      </c>
      <c r="G68" s="55">
        <v>0.46017599999999997</v>
      </c>
      <c r="H68" s="55">
        <v>9.5232999999999998E-2</v>
      </c>
    </row>
    <row r="69" spans="1:8" x14ac:dyDescent="0.45">
      <c r="A69" s="48">
        <v>68</v>
      </c>
      <c r="B69" s="54" t="s">
        <v>26</v>
      </c>
      <c r="C69" s="55" t="s">
        <v>85</v>
      </c>
      <c r="D69" s="55" t="s">
        <v>82</v>
      </c>
      <c r="E69" s="55">
        <f t="shared" si="1"/>
        <v>4.6855399999999996</v>
      </c>
      <c r="F69" s="55">
        <v>3.8360919999999998</v>
      </c>
      <c r="G69" s="55">
        <v>0.44528499999999999</v>
      </c>
      <c r="H69" s="55">
        <v>0.40416299999999999</v>
      </c>
    </row>
    <row r="70" spans="1:8" x14ac:dyDescent="0.45">
      <c r="A70" s="48">
        <v>69</v>
      </c>
      <c r="B70" s="54" t="s">
        <v>26</v>
      </c>
      <c r="C70" s="55" t="s">
        <v>85</v>
      </c>
      <c r="D70" s="55" t="s">
        <v>62</v>
      </c>
      <c r="E70" s="55">
        <f t="shared" si="1"/>
        <v>5.5576039999999995</v>
      </c>
      <c r="F70" s="55">
        <v>3.8948079999999998</v>
      </c>
      <c r="G70" s="55">
        <v>1.5669139999999999</v>
      </c>
      <c r="H70" s="55">
        <v>9.5881999999999995E-2</v>
      </c>
    </row>
    <row r="71" spans="1:8" x14ac:dyDescent="0.45">
      <c r="A71" s="48">
        <v>70</v>
      </c>
      <c r="B71" s="54" t="s">
        <v>26</v>
      </c>
      <c r="C71" s="55" t="s">
        <v>85</v>
      </c>
      <c r="D71" s="55" t="s">
        <v>86</v>
      </c>
      <c r="E71" s="55">
        <f t="shared" si="1"/>
        <v>5.1716309999999996</v>
      </c>
      <c r="F71" s="55">
        <v>3.8948079999999998</v>
      </c>
      <c r="G71" s="55">
        <v>1.0966009999999999</v>
      </c>
      <c r="H71" s="55">
        <v>0.18022199999999999</v>
      </c>
    </row>
    <row r="72" spans="1:8" x14ac:dyDescent="0.45">
      <c r="A72" s="48">
        <v>71</v>
      </c>
      <c r="B72" s="54" t="s">
        <v>26</v>
      </c>
      <c r="C72" s="55" t="s">
        <v>87</v>
      </c>
      <c r="D72" s="55" t="s">
        <v>50</v>
      </c>
      <c r="E72" s="55">
        <f t="shared" si="1"/>
        <v>3.7301799999999998</v>
      </c>
      <c r="F72" s="55">
        <v>2.9317169999999999</v>
      </c>
      <c r="G72" s="55">
        <v>0.79142299999999999</v>
      </c>
      <c r="H72" s="55">
        <v>7.0400000000000003E-3</v>
      </c>
    </row>
    <row r="73" spans="1:8" x14ac:dyDescent="0.45">
      <c r="A73" s="48">
        <v>72</v>
      </c>
      <c r="B73" s="54" t="s">
        <v>26</v>
      </c>
      <c r="C73" s="55" t="s">
        <v>88</v>
      </c>
      <c r="D73" s="55" t="s">
        <v>50</v>
      </c>
      <c r="E73" s="55">
        <f t="shared" si="1"/>
        <v>4.262753</v>
      </c>
      <c r="F73" s="55">
        <v>3.348328</v>
      </c>
      <c r="G73" s="55">
        <v>0.89125399999999999</v>
      </c>
      <c r="H73" s="55">
        <v>2.3171000000000001E-2</v>
      </c>
    </row>
    <row r="74" spans="1:8" x14ac:dyDescent="0.45">
      <c r="A74" s="48">
        <v>73</v>
      </c>
      <c r="B74" s="52" t="s">
        <v>27</v>
      </c>
      <c r="C74" s="53" t="s">
        <v>89</v>
      </c>
      <c r="D74" s="53" t="s">
        <v>71</v>
      </c>
      <c r="E74" s="53">
        <f t="shared" si="1"/>
        <v>5.8283054500000002</v>
      </c>
      <c r="F74" s="53">
        <v>4.6900983800000002</v>
      </c>
      <c r="G74" s="53">
        <v>1.0417997999999999</v>
      </c>
      <c r="H74" s="53">
        <v>9.6407270000000003E-2</v>
      </c>
    </row>
    <row r="75" spans="1:8" x14ac:dyDescent="0.45">
      <c r="A75" s="48">
        <v>74</v>
      </c>
      <c r="B75" s="52" t="s">
        <v>27</v>
      </c>
      <c r="C75" s="53" t="s">
        <v>89</v>
      </c>
      <c r="D75" s="53" t="s">
        <v>41</v>
      </c>
      <c r="E75" s="53">
        <f t="shared" si="1"/>
        <v>5.9016710300000002</v>
      </c>
      <c r="F75" s="53">
        <v>4.7533466300000002</v>
      </c>
      <c r="G75" s="53">
        <v>1.0619243</v>
      </c>
      <c r="H75" s="53">
        <v>8.6400099999999994E-2</v>
      </c>
    </row>
    <row r="76" spans="1:8" x14ac:dyDescent="0.45">
      <c r="A76" s="48">
        <v>75</v>
      </c>
      <c r="B76" s="52" t="s">
        <v>27</v>
      </c>
      <c r="C76" s="53" t="s">
        <v>89</v>
      </c>
      <c r="D76" s="53" t="s">
        <v>46</v>
      </c>
      <c r="E76" s="53">
        <f t="shared" si="1"/>
        <v>6.488153650000001</v>
      </c>
      <c r="F76" s="53">
        <v>5.2182964500000004</v>
      </c>
      <c r="G76" s="53">
        <v>1.2098633000000001</v>
      </c>
      <c r="H76" s="53">
        <v>5.9993900000000003E-2</v>
      </c>
    </row>
    <row r="77" spans="1:8" x14ac:dyDescent="0.45">
      <c r="A77" s="48">
        <v>76</v>
      </c>
      <c r="B77" s="52" t="s">
        <v>27</v>
      </c>
      <c r="C77" s="53" t="s">
        <v>89</v>
      </c>
      <c r="D77" s="53" t="s">
        <v>62</v>
      </c>
      <c r="E77" s="53">
        <f t="shared" si="1"/>
        <v>7.2232415300000001</v>
      </c>
      <c r="F77" s="53">
        <v>5.8551775900000003</v>
      </c>
      <c r="G77" s="53">
        <v>1.2781811999999999</v>
      </c>
      <c r="H77" s="53">
        <v>8.9882740000000003E-2</v>
      </c>
    </row>
    <row r="78" spans="1:8" x14ac:dyDescent="0.45">
      <c r="A78" s="48">
        <v>77</v>
      </c>
      <c r="B78" s="52" t="s">
        <v>27</v>
      </c>
      <c r="C78" s="53" t="s">
        <v>89</v>
      </c>
      <c r="D78" s="53" t="s">
        <v>50</v>
      </c>
      <c r="E78" s="53">
        <f t="shared" si="1"/>
        <v>5.1386244200000002</v>
      </c>
      <c r="F78" s="53">
        <v>4.5079172600000001</v>
      </c>
      <c r="G78" s="53">
        <v>0.61092601000000002</v>
      </c>
      <c r="H78" s="53">
        <v>1.9781150000000001E-2</v>
      </c>
    </row>
    <row r="79" spans="1:8" x14ac:dyDescent="0.45">
      <c r="A79" s="48">
        <v>78</v>
      </c>
      <c r="B79" s="52" t="s">
        <v>27</v>
      </c>
      <c r="C79" s="53" t="s">
        <v>90</v>
      </c>
      <c r="D79" s="53" t="s">
        <v>46</v>
      </c>
      <c r="E79" s="53">
        <f t="shared" si="1"/>
        <v>4.8643129299999996</v>
      </c>
      <c r="F79" s="53">
        <v>3.28595477</v>
      </c>
      <c r="G79" s="53">
        <v>1.3523988899999999</v>
      </c>
      <c r="H79" s="53">
        <v>0.22595926999999999</v>
      </c>
    </row>
    <row r="80" spans="1:8" x14ac:dyDescent="0.45">
      <c r="A80" s="48">
        <v>79</v>
      </c>
      <c r="B80" s="52" t="s">
        <v>27</v>
      </c>
      <c r="C80" s="53" t="s">
        <v>90</v>
      </c>
      <c r="D80" s="53" t="s">
        <v>52</v>
      </c>
      <c r="E80" s="53">
        <f t="shared" si="1"/>
        <v>4.9684077999999996</v>
      </c>
      <c r="F80" s="53">
        <v>3.28595477</v>
      </c>
      <c r="G80" s="53">
        <v>1.3196891399999999</v>
      </c>
      <c r="H80" s="53">
        <v>0.36276388999999998</v>
      </c>
    </row>
    <row r="81" spans="1:8" x14ac:dyDescent="0.45">
      <c r="A81" s="48">
        <v>80</v>
      </c>
      <c r="B81" s="52" t="s">
        <v>27</v>
      </c>
      <c r="C81" s="53" t="s">
        <v>90</v>
      </c>
      <c r="D81" s="53" t="s">
        <v>66</v>
      </c>
      <c r="E81" s="53">
        <f t="shared" si="1"/>
        <v>5.0447311099999999</v>
      </c>
      <c r="F81" s="53">
        <v>3.28595477</v>
      </c>
      <c r="G81" s="53">
        <v>1.3988526800000001</v>
      </c>
      <c r="H81" s="53">
        <v>0.35992365999999998</v>
      </c>
    </row>
    <row r="82" spans="1:8" x14ac:dyDescent="0.45">
      <c r="A82" s="48">
        <v>81</v>
      </c>
      <c r="B82" s="52" t="s">
        <v>27</v>
      </c>
      <c r="C82" s="53" t="s">
        <v>91</v>
      </c>
      <c r="D82" s="53" t="s">
        <v>46</v>
      </c>
      <c r="E82" s="53">
        <f t="shared" si="1"/>
        <v>4.7981276300000006</v>
      </c>
      <c r="F82" s="53">
        <v>3.28595477</v>
      </c>
      <c r="G82" s="53">
        <v>1.32956783</v>
      </c>
      <c r="H82" s="53">
        <v>0.18260503</v>
      </c>
    </row>
    <row r="83" spans="1:8" x14ac:dyDescent="0.45">
      <c r="A83" s="48">
        <v>82</v>
      </c>
      <c r="B83" s="52" t="s">
        <v>27</v>
      </c>
      <c r="C83" s="53" t="s">
        <v>91</v>
      </c>
      <c r="D83" s="53" t="s">
        <v>52</v>
      </c>
      <c r="E83" s="53">
        <f t="shared" si="1"/>
        <v>4.8447730199999999</v>
      </c>
      <c r="F83" s="53">
        <v>3.28595477</v>
      </c>
      <c r="G83" s="53">
        <v>1.2968580700000001</v>
      </c>
      <c r="H83" s="53">
        <v>0.26196017999999999</v>
      </c>
    </row>
    <row r="84" spans="1:8" x14ac:dyDescent="0.45">
      <c r="A84" s="48">
        <v>83</v>
      </c>
      <c r="B84" s="52" t="s">
        <v>27</v>
      </c>
      <c r="C84" s="53" t="s">
        <v>91</v>
      </c>
      <c r="D84" s="53" t="s">
        <v>66</v>
      </c>
      <c r="E84" s="53">
        <f t="shared" si="1"/>
        <v>4.9222890599999998</v>
      </c>
      <c r="F84" s="53">
        <v>3.28595477</v>
      </c>
      <c r="G84" s="53">
        <v>1.3760216199999999</v>
      </c>
      <c r="H84" s="53">
        <v>0.26031267000000002</v>
      </c>
    </row>
    <row r="85" spans="1:8" x14ac:dyDescent="0.45">
      <c r="A85" s="48">
        <v>84</v>
      </c>
      <c r="B85" s="52" t="s">
        <v>27</v>
      </c>
      <c r="C85" s="53" t="s">
        <v>92</v>
      </c>
      <c r="D85" s="53" t="s">
        <v>41</v>
      </c>
      <c r="E85" s="53">
        <f t="shared" si="1"/>
        <v>4.76347232</v>
      </c>
      <c r="F85" s="53">
        <v>4.6062284599999996</v>
      </c>
      <c r="G85" s="53">
        <v>6.4783439999999998E-2</v>
      </c>
      <c r="H85" s="53">
        <v>9.2460420000000001E-2</v>
      </c>
    </row>
    <row r="86" spans="1:8" x14ac:dyDescent="0.45">
      <c r="A86" s="48">
        <v>85</v>
      </c>
      <c r="B86" s="52" t="s">
        <v>27</v>
      </c>
      <c r="C86" s="53" t="s">
        <v>92</v>
      </c>
      <c r="D86" s="53" t="s">
        <v>46</v>
      </c>
      <c r="E86" s="53">
        <f t="shared" si="1"/>
        <v>4.7386509700000001</v>
      </c>
      <c r="F86" s="53">
        <v>4.6062284599999996</v>
      </c>
      <c r="G86" s="53">
        <v>6.4783439999999998E-2</v>
      </c>
      <c r="H86" s="53">
        <v>6.7639069999999996E-2</v>
      </c>
    </row>
    <row r="87" spans="1:8" x14ac:dyDescent="0.45">
      <c r="A87" s="48">
        <v>86</v>
      </c>
      <c r="B87" s="52" t="s">
        <v>27</v>
      </c>
      <c r="C87" s="53" t="s">
        <v>92</v>
      </c>
      <c r="D87" s="53" t="s">
        <v>62</v>
      </c>
      <c r="E87" s="53">
        <f t="shared" si="1"/>
        <v>4.9005926200000003</v>
      </c>
      <c r="F87" s="53">
        <v>4.7717385700000001</v>
      </c>
      <c r="G87" s="53">
        <v>3.7696470000000003E-2</v>
      </c>
      <c r="H87" s="53">
        <v>9.1157580000000002E-2</v>
      </c>
    </row>
    <row r="88" spans="1:8" x14ac:dyDescent="0.45">
      <c r="A88" s="48">
        <v>87</v>
      </c>
      <c r="B88" s="52" t="s">
        <v>27</v>
      </c>
      <c r="C88" s="53" t="s">
        <v>93</v>
      </c>
      <c r="D88" s="53" t="s">
        <v>41</v>
      </c>
      <c r="E88" s="53">
        <f t="shared" si="1"/>
        <v>4.9424914700000002</v>
      </c>
      <c r="F88" s="53">
        <v>4.6062284599999996</v>
      </c>
      <c r="G88" s="53">
        <v>0.24492955</v>
      </c>
      <c r="H88" s="53">
        <v>9.1333460000000005E-2</v>
      </c>
    </row>
    <row r="89" spans="1:8" x14ac:dyDescent="0.45">
      <c r="A89" s="48">
        <v>88</v>
      </c>
      <c r="B89" s="52" t="s">
        <v>27</v>
      </c>
      <c r="C89" s="53" t="s">
        <v>93</v>
      </c>
      <c r="D89" s="53" t="s">
        <v>46</v>
      </c>
      <c r="E89" s="53">
        <f t="shared" si="1"/>
        <v>4.9143997800000001</v>
      </c>
      <c r="F89" s="53">
        <v>4.6062284599999996</v>
      </c>
      <c r="G89" s="53">
        <v>0.24492955</v>
      </c>
      <c r="H89" s="53">
        <v>6.3241770000000003E-2</v>
      </c>
    </row>
    <row r="90" spans="1:8" x14ac:dyDescent="0.45">
      <c r="A90" s="48">
        <v>89</v>
      </c>
      <c r="B90" s="52" t="s">
        <v>27</v>
      </c>
      <c r="C90" s="53" t="s">
        <v>93</v>
      </c>
      <c r="D90" s="53" t="s">
        <v>62</v>
      </c>
      <c r="E90" s="53">
        <f t="shared" si="1"/>
        <v>5.0733858400000003</v>
      </c>
      <c r="F90" s="53">
        <v>4.7717385700000001</v>
      </c>
      <c r="G90" s="53">
        <v>0.21048969000000001</v>
      </c>
      <c r="H90" s="53">
        <v>9.1157580000000002E-2</v>
      </c>
    </row>
    <row r="91" spans="1:8" x14ac:dyDescent="0.45">
      <c r="B91" s="3"/>
    </row>
    <row r="92" spans="1:8" x14ac:dyDescent="0.45">
      <c r="B92" s="3"/>
    </row>
    <row r="93" spans="1:8" x14ac:dyDescent="0.45">
      <c r="B93" s="3"/>
    </row>
    <row r="94" spans="1:8" x14ac:dyDescent="0.45">
      <c r="B94" s="3"/>
    </row>
    <row r="95" spans="1:8" x14ac:dyDescent="0.45">
      <c r="B95" s="3"/>
    </row>
    <row r="96" spans="1:8" x14ac:dyDescent="0.45">
      <c r="B96" s="3"/>
    </row>
    <row r="97" spans="2:2" x14ac:dyDescent="0.45">
      <c r="B97" s="3"/>
    </row>
    <row r="98" spans="2:2" x14ac:dyDescent="0.45">
      <c r="B98" s="3"/>
    </row>
    <row r="99" spans="2:2" x14ac:dyDescent="0.45">
      <c r="B99" s="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F35EE-2215-4A03-A965-59B125728D5F}">
  <sheetPr codeName="Sheet4"/>
  <dimension ref="A1:J99"/>
  <sheetViews>
    <sheetView zoomScale="85" zoomScaleNormal="85" workbookViewId="0">
      <selection activeCell="O6" sqref="O6"/>
    </sheetView>
  </sheetViews>
  <sheetFormatPr defaultRowHeight="14.25" x14ac:dyDescent="0.45"/>
  <cols>
    <col min="1" max="1" width="5.1328125" style="4" bestFit="1" customWidth="1"/>
    <col min="2" max="2" width="13.59765625" style="4" bestFit="1" customWidth="1"/>
    <col min="3" max="3" width="16.86328125" style="4" bestFit="1" customWidth="1"/>
    <col min="4" max="4" width="13.59765625" style="4" bestFit="1" customWidth="1"/>
    <col min="5" max="5" width="13.59765625" style="4" customWidth="1"/>
    <col min="6" max="6" width="13.1328125" style="4" bestFit="1" customWidth="1"/>
    <col min="7" max="10" width="13.59765625" style="4" customWidth="1"/>
    <col min="11" max="11" width="11.59765625" bestFit="1" customWidth="1"/>
  </cols>
  <sheetData>
    <row r="1" spans="1:10" s="1" customFormat="1" ht="28.15" customHeight="1" x14ac:dyDescent="0.45">
      <c r="A1" s="47" t="s">
        <v>33</v>
      </c>
      <c r="B1" s="47" t="s">
        <v>15</v>
      </c>
      <c r="C1" s="47" t="s">
        <v>34</v>
      </c>
      <c r="D1" s="47" t="s">
        <v>35</v>
      </c>
      <c r="E1" s="47" t="s">
        <v>94</v>
      </c>
      <c r="F1" s="47" t="s">
        <v>95</v>
      </c>
      <c r="G1" s="10" t="s">
        <v>36</v>
      </c>
      <c r="H1" s="10" t="s">
        <v>37</v>
      </c>
      <c r="I1" s="10" t="s">
        <v>38</v>
      </c>
      <c r="J1" s="10" t="s">
        <v>39</v>
      </c>
    </row>
    <row r="2" spans="1:10" ht="42.75" x14ac:dyDescent="0.45">
      <c r="A2" s="48">
        <v>1</v>
      </c>
      <c r="B2" s="6" t="s">
        <v>96</v>
      </c>
      <c r="C2" s="7" t="s">
        <v>40</v>
      </c>
      <c r="D2" s="6" t="s">
        <v>97</v>
      </c>
      <c r="E2" s="6" t="s">
        <v>98</v>
      </c>
      <c r="F2" s="6" t="s">
        <v>99</v>
      </c>
      <c r="G2" s="7">
        <v>3.3803679999999998</v>
      </c>
      <c r="H2" s="7">
        <v>2.995031</v>
      </c>
      <c r="I2" s="7">
        <v>0.38144</v>
      </c>
      <c r="J2" s="7">
        <v>3.8969999999999999E-3</v>
      </c>
    </row>
    <row r="3" spans="1:10" ht="28.5" x14ac:dyDescent="0.45">
      <c r="A3" s="48">
        <v>2</v>
      </c>
      <c r="B3" s="6" t="s">
        <v>96</v>
      </c>
      <c r="C3" s="7" t="s">
        <v>42</v>
      </c>
      <c r="D3" s="7" t="s">
        <v>41</v>
      </c>
      <c r="E3" s="7" t="s">
        <v>98</v>
      </c>
      <c r="F3" s="6" t="s">
        <v>99</v>
      </c>
      <c r="G3" s="7">
        <v>3.7630210000000002</v>
      </c>
      <c r="H3" s="7">
        <v>2.9989279999999998</v>
      </c>
      <c r="I3" s="7">
        <v>0.76137900000000003</v>
      </c>
      <c r="J3" s="7">
        <v>2.7139999999999998E-3</v>
      </c>
    </row>
    <row r="4" spans="1:10" ht="28.5" x14ac:dyDescent="0.45">
      <c r="A4" s="48">
        <v>3</v>
      </c>
      <c r="B4" s="6" t="s">
        <v>96</v>
      </c>
      <c r="C4" s="7" t="s">
        <v>42</v>
      </c>
      <c r="D4" s="7" t="s">
        <v>43</v>
      </c>
      <c r="E4" s="7" t="s">
        <v>98</v>
      </c>
      <c r="F4" s="6" t="s">
        <v>99</v>
      </c>
      <c r="G4" s="7">
        <v>3.6325799999999999</v>
      </c>
      <c r="H4" s="7">
        <v>2.5277020000000001</v>
      </c>
      <c r="I4" s="7">
        <v>0.68049199999999999</v>
      </c>
      <c r="J4" s="7">
        <v>0.42438599999999999</v>
      </c>
    </row>
    <row r="5" spans="1:10" ht="42.75" x14ac:dyDescent="0.45">
      <c r="A5" s="48">
        <v>4</v>
      </c>
      <c r="B5" s="6" t="s">
        <v>100</v>
      </c>
      <c r="C5" s="7" t="s">
        <v>40</v>
      </c>
      <c r="D5" s="6" t="s">
        <v>97</v>
      </c>
      <c r="E5" s="7" t="s">
        <v>98</v>
      </c>
      <c r="F5" s="6" t="s">
        <v>99</v>
      </c>
      <c r="G5" s="7">
        <v>4.1421919999999997</v>
      </c>
      <c r="H5" s="7">
        <v>3.812459</v>
      </c>
      <c r="I5" s="7">
        <v>0.32567699999999999</v>
      </c>
      <c r="J5" s="7">
        <v>4.0559999999999997E-3</v>
      </c>
    </row>
    <row r="6" spans="1:10" ht="42.75" x14ac:dyDescent="0.45">
      <c r="A6" s="48">
        <v>5</v>
      </c>
      <c r="B6" s="6" t="s">
        <v>100</v>
      </c>
      <c r="C6" s="7" t="s">
        <v>42</v>
      </c>
      <c r="D6" s="6" t="s">
        <v>97</v>
      </c>
      <c r="E6" s="7" t="s">
        <v>98</v>
      </c>
      <c r="F6" s="6" t="s">
        <v>99</v>
      </c>
      <c r="G6" s="7">
        <v>4.2503690000000001</v>
      </c>
      <c r="H6" s="7">
        <v>3.812459</v>
      </c>
      <c r="I6" s="7">
        <v>0.43385400000000002</v>
      </c>
      <c r="J6" s="7">
        <v>4.0559999999999997E-3</v>
      </c>
    </row>
    <row r="7" spans="1:10" ht="28.5" x14ac:dyDescent="0.45">
      <c r="A7" s="48">
        <v>6</v>
      </c>
      <c r="B7" s="6" t="s">
        <v>101</v>
      </c>
      <c r="C7" s="7" t="s">
        <v>44</v>
      </c>
      <c r="D7" s="7" t="s">
        <v>45</v>
      </c>
      <c r="E7" s="7" t="s">
        <v>98</v>
      </c>
      <c r="F7" s="6" t="s">
        <v>99</v>
      </c>
      <c r="G7" s="7">
        <v>21.220099999999999</v>
      </c>
      <c r="H7" s="7">
        <v>13.19894</v>
      </c>
      <c r="I7" s="7">
        <v>0.90092099999999997</v>
      </c>
      <c r="J7" s="7">
        <v>7.1202430000000003</v>
      </c>
    </row>
    <row r="8" spans="1:10" ht="28.5" x14ac:dyDescent="0.45">
      <c r="A8" s="48">
        <v>7</v>
      </c>
      <c r="B8" s="6" t="s">
        <v>101</v>
      </c>
      <c r="C8" s="7" t="s">
        <v>42</v>
      </c>
      <c r="D8" s="7" t="s">
        <v>45</v>
      </c>
      <c r="E8" s="7" t="s">
        <v>98</v>
      </c>
      <c r="F8" s="6" t="s">
        <v>99</v>
      </c>
      <c r="G8" s="7">
        <v>14.34296</v>
      </c>
      <c r="H8" s="7">
        <v>13.19894</v>
      </c>
      <c r="I8" s="7">
        <v>0.96768900000000002</v>
      </c>
      <c r="J8" s="7">
        <v>0.17633199999999999</v>
      </c>
    </row>
    <row r="9" spans="1:10" ht="42.75" x14ac:dyDescent="0.45">
      <c r="A9" s="48">
        <v>8</v>
      </c>
      <c r="B9" s="6" t="s">
        <v>102</v>
      </c>
      <c r="C9" s="7" t="s">
        <v>40</v>
      </c>
      <c r="D9" s="6" t="s">
        <v>103</v>
      </c>
      <c r="E9" s="7" t="s">
        <v>98</v>
      </c>
      <c r="F9" s="6" t="s">
        <v>99</v>
      </c>
      <c r="G9" s="7">
        <v>9.0093473100000008</v>
      </c>
      <c r="H9" s="7">
        <v>7.22039819</v>
      </c>
      <c r="I9" s="7">
        <v>1.7484542000000001</v>
      </c>
      <c r="J9" s="7">
        <v>4.0494910000000002E-2</v>
      </c>
    </row>
    <row r="10" spans="1:10" ht="28.5" x14ac:dyDescent="0.45">
      <c r="A10" s="48">
        <v>9</v>
      </c>
      <c r="B10" s="6" t="s">
        <v>102</v>
      </c>
      <c r="C10" s="7" t="s">
        <v>44</v>
      </c>
      <c r="D10" s="7" t="s">
        <v>43</v>
      </c>
      <c r="E10" s="7" t="s">
        <v>98</v>
      </c>
      <c r="F10" s="6" t="s">
        <v>99</v>
      </c>
      <c r="G10" s="7">
        <v>26.9740328</v>
      </c>
      <c r="H10" s="7">
        <v>7.2956225999999997</v>
      </c>
      <c r="I10" s="7">
        <v>0.81951735000000003</v>
      </c>
      <c r="J10" s="7">
        <v>18.8588928</v>
      </c>
    </row>
    <row r="11" spans="1:10" ht="28.5" x14ac:dyDescent="0.45">
      <c r="A11" s="48">
        <v>10</v>
      </c>
      <c r="B11" s="6" t="s">
        <v>102</v>
      </c>
      <c r="C11" s="7" t="s">
        <v>44</v>
      </c>
      <c r="D11" s="7" t="s">
        <v>45</v>
      </c>
      <c r="E11" s="7" t="s">
        <v>98</v>
      </c>
      <c r="F11" s="6" t="s">
        <v>99</v>
      </c>
      <c r="G11" s="7">
        <v>18.329881700000001</v>
      </c>
      <c r="H11" s="7">
        <v>7.1395445799999999</v>
      </c>
      <c r="I11" s="7">
        <v>4.0700936900000002</v>
      </c>
      <c r="J11" s="7">
        <v>7.1202434300000004</v>
      </c>
    </row>
    <row r="12" spans="1:10" ht="28.5" x14ac:dyDescent="0.45">
      <c r="A12" s="48">
        <v>11</v>
      </c>
      <c r="B12" s="6" t="s">
        <v>102</v>
      </c>
      <c r="C12" s="7" t="s">
        <v>42</v>
      </c>
      <c r="D12" s="7" t="s">
        <v>43</v>
      </c>
      <c r="E12" s="7" t="s">
        <v>98</v>
      </c>
      <c r="F12" s="6" t="s">
        <v>99</v>
      </c>
      <c r="G12" s="7">
        <v>8.5660037500000001</v>
      </c>
      <c r="H12" s="7">
        <v>7.2956225999999997</v>
      </c>
      <c r="I12" s="7">
        <v>0.84836555000000002</v>
      </c>
      <c r="J12" s="7">
        <v>0.42201559999999999</v>
      </c>
    </row>
    <row r="13" spans="1:10" ht="28.5" x14ac:dyDescent="0.45">
      <c r="A13" s="48">
        <v>12</v>
      </c>
      <c r="B13" s="6" t="s">
        <v>102</v>
      </c>
      <c r="C13" s="7" t="s">
        <v>42</v>
      </c>
      <c r="D13" s="7" t="s">
        <v>45</v>
      </c>
      <c r="E13" s="7" t="s">
        <v>98</v>
      </c>
      <c r="F13" s="6" t="s">
        <v>99</v>
      </c>
      <c r="G13" s="7">
        <v>11.4827046</v>
      </c>
      <c r="H13" s="7">
        <v>7.1395445799999999</v>
      </c>
      <c r="I13" s="7">
        <v>4.1668280099999997</v>
      </c>
      <c r="J13" s="7">
        <v>0.17633204</v>
      </c>
    </row>
    <row r="14" spans="1:10" ht="28.5" x14ac:dyDescent="0.45">
      <c r="A14" s="48">
        <v>13</v>
      </c>
      <c r="B14" s="6" t="s">
        <v>102</v>
      </c>
      <c r="C14" s="7" t="s">
        <v>42</v>
      </c>
      <c r="D14" s="7" t="s">
        <v>47</v>
      </c>
      <c r="E14" s="7" t="s">
        <v>98</v>
      </c>
      <c r="F14" s="6" t="s">
        <v>99</v>
      </c>
      <c r="G14" s="7">
        <v>9.8110231500000005</v>
      </c>
      <c r="H14" s="7">
        <v>7.0857764300000001</v>
      </c>
      <c r="I14" s="7">
        <v>2.3632220799999999</v>
      </c>
      <c r="J14" s="7">
        <v>0.36202464000000001</v>
      </c>
    </row>
    <row r="15" spans="1:10" ht="28.5" x14ac:dyDescent="0.45">
      <c r="A15" s="48">
        <v>14</v>
      </c>
      <c r="B15" s="6" t="s">
        <v>102</v>
      </c>
      <c r="C15" s="7" t="s">
        <v>42</v>
      </c>
      <c r="D15" s="7" t="s">
        <v>48</v>
      </c>
      <c r="E15" s="7" t="s">
        <v>98</v>
      </c>
      <c r="F15" s="6" t="s">
        <v>99</v>
      </c>
      <c r="G15" s="7">
        <v>9.3633567899999992</v>
      </c>
      <c r="H15" s="7">
        <v>7.2956225999999997</v>
      </c>
      <c r="I15" s="7">
        <v>1.77765705</v>
      </c>
      <c r="J15" s="7">
        <v>0.29007714000000001</v>
      </c>
    </row>
    <row r="16" spans="1:10" ht="28.5" x14ac:dyDescent="0.45">
      <c r="A16" s="48">
        <v>15</v>
      </c>
      <c r="B16" s="6" t="s">
        <v>104</v>
      </c>
      <c r="C16" s="7" t="s">
        <v>44</v>
      </c>
      <c r="D16" s="7" t="s">
        <v>43</v>
      </c>
      <c r="E16" s="7" t="s">
        <v>98</v>
      </c>
      <c r="F16" s="6" t="s">
        <v>99</v>
      </c>
      <c r="G16" s="7">
        <v>38.387230000000002</v>
      </c>
      <c r="H16" s="7">
        <v>18.833870000000001</v>
      </c>
      <c r="I16" s="7">
        <v>0.69446600000000003</v>
      </c>
      <c r="J16" s="7">
        <v>18.858889999999999</v>
      </c>
    </row>
    <row r="17" spans="1:10" ht="28.5" x14ac:dyDescent="0.45">
      <c r="A17" s="48">
        <v>16</v>
      </c>
      <c r="B17" s="6" t="s">
        <v>104</v>
      </c>
      <c r="C17" s="7" t="s">
        <v>44</v>
      </c>
      <c r="D17" s="7" t="s">
        <v>45</v>
      </c>
      <c r="E17" s="7" t="s">
        <v>98</v>
      </c>
      <c r="F17" s="6" t="s">
        <v>99</v>
      </c>
      <c r="G17" s="7">
        <v>27.49682</v>
      </c>
      <c r="H17" s="7">
        <v>18.857240000000001</v>
      </c>
      <c r="I17" s="7">
        <v>1.5193319999999999</v>
      </c>
      <c r="J17" s="7">
        <v>7.1202430000000003</v>
      </c>
    </row>
    <row r="18" spans="1:10" ht="28.5" x14ac:dyDescent="0.45">
      <c r="A18" s="48">
        <v>17</v>
      </c>
      <c r="B18" s="6" t="s">
        <v>104</v>
      </c>
      <c r="C18" s="7" t="s">
        <v>44</v>
      </c>
      <c r="D18" s="7" t="s">
        <v>49</v>
      </c>
      <c r="E18" s="7" t="s">
        <v>98</v>
      </c>
      <c r="F18" s="6" t="s">
        <v>99</v>
      </c>
      <c r="G18" s="7">
        <v>29.290780000000002</v>
      </c>
      <c r="H18" s="7">
        <v>18.760680000000001</v>
      </c>
      <c r="I18" s="7">
        <v>0.63292700000000002</v>
      </c>
      <c r="J18" s="7">
        <v>9.8971769999999992</v>
      </c>
    </row>
    <row r="19" spans="1:10" ht="28.5" x14ac:dyDescent="0.45">
      <c r="A19" s="48">
        <v>18</v>
      </c>
      <c r="B19" s="6" t="s">
        <v>104</v>
      </c>
      <c r="C19" s="7" t="s">
        <v>42</v>
      </c>
      <c r="D19" s="7" t="s">
        <v>43</v>
      </c>
      <c r="E19" s="7" t="s">
        <v>98</v>
      </c>
      <c r="F19" s="6" t="s">
        <v>99</v>
      </c>
      <c r="G19" s="7">
        <v>19.969899999999999</v>
      </c>
      <c r="H19" s="7">
        <v>18.833870000000001</v>
      </c>
      <c r="I19" s="7">
        <v>0.714009</v>
      </c>
      <c r="J19" s="7">
        <v>0.422016</v>
      </c>
    </row>
    <row r="20" spans="1:10" ht="28.5" x14ac:dyDescent="0.45">
      <c r="A20" s="48">
        <v>19</v>
      </c>
      <c r="B20" s="6" t="s">
        <v>104</v>
      </c>
      <c r="C20" s="7" t="s">
        <v>42</v>
      </c>
      <c r="D20" s="7" t="s">
        <v>45</v>
      </c>
      <c r="E20" s="7" t="s">
        <v>98</v>
      </c>
      <c r="F20" s="6" t="s">
        <v>99</v>
      </c>
      <c r="G20" s="7">
        <v>20.619669999999999</v>
      </c>
      <c r="H20" s="7">
        <v>18.857240000000001</v>
      </c>
      <c r="I20" s="7">
        <v>1.5861000000000001</v>
      </c>
      <c r="J20" s="7">
        <v>0.17633199999999999</v>
      </c>
    </row>
    <row r="21" spans="1:10" ht="28.5" x14ac:dyDescent="0.45">
      <c r="A21" s="48">
        <v>20</v>
      </c>
      <c r="B21" s="6" t="s">
        <v>104</v>
      </c>
      <c r="C21" s="7" t="s">
        <v>42</v>
      </c>
      <c r="D21" s="7" t="s">
        <v>49</v>
      </c>
      <c r="E21" s="7" t="s">
        <v>98</v>
      </c>
      <c r="F21" s="6" t="s">
        <v>99</v>
      </c>
      <c r="G21" s="7">
        <v>19.644680000000001</v>
      </c>
      <c r="H21" s="7">
        <v>18.760680000000001</v>
      </c>
      <c r="I21" s="7">
        <v>0.64853400000000005</v>
      </c>
      <c r="J21" s="7">
        <v>0.23547399999999999</v>
      </c>
    </row>
    <row r="22" spans="1:10" ht="28.5" x14ac:dyDescent="0.45">
      <c r="A22" s="48">
        <v>21</v>
      </c>
      <c r="B22" s="6" t="s">
        <v>105</v>
      </c>
      <c r="C22" s="7" t="s">
        <v>40</v>
      </c>
      <c r="D22" s="7" t="s">
        <v>41</v>
      </c>
      <c r="E22" s="7" t="s">
        <v>98</v>
      </c>
      <c r="F22" s="6" t="s">
        <v>99</v>
      </c>
      <c r="G22" s="7">
        <v>3.1084900000000002</v>
      </c>
      <c r="H22" s="7">
        <v>3.0457689999999999</v>
      </c>
      <c r="I22" s="7">
        <v>5.5363000000000002E-2</v>
      </c>
      <c r="J22" s="7">
        <v>7.358E-3</v>
      </c>
    </row>
    <row r="23" spans="1:10" ht="28.5" x14ac:dyDescent="0.45">
      <c r="A23" s="48">
        <v>22</v>
      </c>
      <c r="B23" s="6" t="s">
        <v>105</v>
      </c>
      <c r="C23" s="7" t="s">
        <v>40</v>
      </c>
      <c r="D23" s="7" t="s">
        <v>50</v>
      </c>
      <c r="E23" s="7" t="s">
        <v>98</v>
      </c>
      <c r="F23" s="6" t="s">
        <v>99</v>
      </c>
      <c r="G23" s="7">
        <v>2.9556629999999999</v>
      </c>
      <c r="H23" s="7">
        <v>2.924229</v>
      </c>
      <c r="I23" s="7">
        <v>3.1273000000000002E-2</v>
      </c>
      <c r="J23" s="7">
        <v>1.6100000000000001E-4</v>
      </c>
    </row>
    <row r="24" spans="1:10" ht="28.5" x14ac:dyDescent="0.45">
      <c r="A24" s="48">
        <v>23</v>
      </c>
      <c r="B24" s="6" t="s">
        <v>106</v>
      </c>
      <c r="C24" s="7" t="s">
        <v>51</v>
      </c>
      <c r="D24" s="7" t="s">
        <v>41</v>
      </c>
      <c r="E24" s="7" t="s">
        <v>98</v>
      </c>
      <c r="F24" s="6" t="s">
        <v>99</v>
      </c>
      <c r="G24" s="7">
        <v>0.38261499999999998</v>
      </c>
      <c r="H24" s="7">
        <v>0.19164700000000001</v>
      </c>
      <c r="I24" s="7">
        <v>0.10198699999999999</v>
      </c>
      <c r="J24" s="7">
        <v>8.8981000000000005E-2</v>
      </c>
    </row>
    <row r="25" spans="1:10" ht="28.5" x14ac:dyDescent="0.45">
      <c r="A25" s="48">
        <v>24</v>
      </c>
      <c r="B25" s="6" t="s">
        <v>106</v>
      </c>
      <c r="C25" s="7" t="s">
        <v>51</v>
      </c>
      <c r="D25" s="7" t="s">
        <v>52</v>
      </c>
      <c r="E25" s="7" t="s">
        <v>98</v>
      </c>
      <c r="F25" s="6" t="s">
        <v>99</v>
      </c>
      <c r="G25" s="7">
        <v>0.39091900000000002</v>
      </c>
      <c r="H25" s="7">
        <v>0.199766</v>
      </c>
      <c r="I25" s="7">
        <v>0.10198699999999999</v>
      </c>
      <c r="J25" s="7">
        <v>8.9165999999999995E-2</v>
      </c>
    </row>
    <row r="26" spans="1:10" ht="28.5" x14ac:dyDescent="0.45">
      <c r="A26" s="48">
        <v>25</v>
      </c>
      <c r="B26" s="6" t="s">
        <v>106</v>
      </c>
      <c r="C26" s="7" t="s">
        <v>53</v>
      </c>
      <c r="D26" s="7" t="s">
        <v>41</v>
      </c>
      <c r="E26" s="7" t="s">
        <v>98</v>
      </c>
      <c r="F26" s="6" t="s">
        <v>99</v>
      </c>
      <c r="G26" s="7">
        <v>0.318382</v>
      </c>
      <c r="H26" s="7">
        <v>0.127414</v>
      </c>
      <c r="I26" s="7">
        <v>0.10198699999999999</v>
      </c>
      <c r="J26" s="7">
        <v>8.8981000000000005E-2</v>
      </c>
    </row>
    <row r="27" spans="1:10" ht="28.5" x14ac:dyDescent="0.45">
      <c r="A27" s="48">
        <v>26</v>
      </c>
      <c r="B27" s="6" t="s">
        <v>106</v>
      </c>
      <c r="C27" s="7" t="s">
        <v>54</v>
      </c>
      <c r="D27" s="7" t="s">
        <v>41</v>
      </c>
      <c r="E27" s="7" t="s">
        <v>98</v>
      </c>
      <c r="F27" s="6" t="s">
        <v>99</v>
      </c>
      <c r="G27" s="7">
        <v>0.33505800000000002</v>
      </c>
      <c r="H27" s="7">
        <v>0.14409</v>
      </c>
      <c r="I27" s="7">
        <v>0.10198699999999999</v>
      </c>
      <c r="J27" s="7">
        <v>8.8981000000000005E-2</v>
      </c>
    </row>
    <row r="28" spans="1:10" ht="28.5" x14ac:dyDescent="0.45">
      <c r="A28" s="48">
        <v>27</v>
      </c>
      <c r="B28" s="6" t="s">
        <v>106</v>
      </c>
      <c r="C28" s="7" t="s">
        <v>55</v>
      </c>
      <c r="D28" s="7" t="s">
        <v>41</v>
      </c>
      <c r="E28" s="7" t="s">
        <v>98</v>
      </c>
      <c r="F28" s="6" t="s">
        <v>99</v>
      </c>
      <c r="G28" s="7">
        <v>0.28408</v>
      </c>
      <c r="H28" s="7">
        <v>9.3112E-2</v>
      </c>
      <c r="I28" s="7">
        <v>0.10198699999999999</v>
      </c>
      <c r="J28" s="7">
        <v>8.8981000000000005E-2</v>
      </c>
    </row>
    <row r="29" spans="1:10" ht="28.5" x14ac:dyDescent="0.45">
      <c r="A29" s="48">
        <v>28</v>
      </c>
      <c r="B29" s="6" t="s">
        <v>106</v>
      </c>
      <c r="C29" s="7" t="s">
        <v>56</v>
      </c>
      <c r="D29" s="7" t="s">
        <v>45</v>
      </c>
      <c r="E29" s="7" t="s">
        <v>98</v>
      </c>
      <c r="F29" s="6" t="s">
        <v>99</v>
      </c>
      <c r="G29" s="7">
        <v>0.50027999999999995</v>
      </c>
      <c r="H29" s="7">
        <v>0.19825000000000001</v>
      </c>
      <c r="I29" s="7">
        <v>9.6673999999999996E-2</v>
      </c>
      <c r="J29" s="7">
        <v>0.20535600000000001</v>
      </c>
    </row>
    <row r="30" spans="1:10" ht="28.5" x14ac:dyDescent="0.45">
      <c r="A30" s="48">
        <v>29</v>
      </c>
      <c r="B30" s="6" t="s">
        <v>106</v>
      </c>
      <c r="C30" s="7" t="s">
        <v>56</v>
      </c>
      <c r="D30" s="7" t="s">
        <v>57</v>
      </c>
      <c r="E30" s="7" t="s">
        <v>98</v>
      </c>
      <c r="F30" s="6" t="s">
        <v>99</v>
      </c>
      <c r="G30" s="7">
        <v>0.996865</v>
      </c>
      <c r="H30" s="7">
        <v>0.156613</v>
      </c>
      <c r="I30" s="7">
        <v>9.6673999999999996E-2</v>
      </c>
      <c r="J30" s="7">
        <v>0.74357899999999999</v>
      </c>
    </row>
    <row r="31" spans="1:10" ht="28.5" x14ac:dyDescent="0.45">
      <c r="A31" s="48">
        <v>30</v>
      </c>
      <c r="B31" s="6" t="s">
        <v>106</v>
      </c>
      <c r="C31" s="7" t="s">
        <v>56</v>
      </c>
      <c r="D31" s="7" t="s">
        <v>58</v>
      </c>
      <c r="E31" s="7" t="s">
        <v>98</v>
      </c>
      <c r="F31" s="6" t="s">
        <v>99</v>
      </c>
      <c r="G31" s="7">
        <v>0.59386099999999997</v>
      </c>
      <c r="H31" s="7">
        <v>0.196074</v>
      </c>
      <c r="I31" s="7">
        <v>0.10198699999999999</v>
      </c>
      <c r="J31" s="7">
        <v>0.29580099999999998</v>
      </c>
    </row>
    <row r="32" spans="1:10" ht="28.5" x14ac:dyDescent="0.45">
      <c r="A32" s="48">
        <v>31</v>
      </c>
      <c r="B32" s="6" t="s">
        <v>106</v>
      </c>
      <c r="C32" s="7" t="s">
        <v>56</v>
      </c>
      <c r="D32" s="7" t="s">
        <v>59</v>
      </c>
      <c r="E32" s="7" t="s">
        <v>98</v>
      </c>
      <c r="F32" s="6" t="s">
        <v>99</v>
      </c>
      <c r="G32" s="7">
        <v>0.56627300000000003</v>
      </c>
      <c r="H32" s="7">
        <v>0.18069099999999999</v>
      </c>
      <c r="I32" s="7">
        <v>0.10312</v>
      </c>
      <c r="J32" s="7">
        <v>0.28246100000000002</v>
      </c>
    </row>
    <row r="33" spans="1:10" ht="42.75" x14ac:dyDescent="0.45">
      <c r="A33" s="48">
        <v>32</v>
      </c>
      <c r="B33" s="6" t="s">
        <v>107</v>
      </c>
      <c r="C33" s="7" t="s">
        <v>60</v>
      </c>
      <c r="D33" s="7" t="s">
        <v>41</v>
      </c>
      <c r="E33" s="7" t="s">
        <v>98</v>
      </c>
      <c r="F33" s="6" t="s">
        <v>99</v>
      </c>
      <c r="G33" s="7">
        <v>0.59886700000000004</v>
      </c>
      <c r="H33" s="7">
        <v>0.42276799999999998</v>
      </c>
      <c r="I33" s="7">
        <v>0.10198699999999999</v>
      </c>
      <c r="J33" s="7">
        <v>7.4112999999999998E-2</v>
      </c>
    </row>
    <row r="34" spans="1:10" ht="42.75" x14ac:dyDescent="0.45">
      <c r="A34" s="48">
        <v>33</v>
      </c>
      <c r="B34" s="6" t="s">
        <v>107</v>
      </c>
      <c r="C34" s="7" t="s">
        <v>61</v>
      </c>
      <c r="D34" s="7" t="s">
        <v>62</v>
      </c>
      <c r="E34" s="7" t="s">
        <v>98</v>
      </c>
      <c r="F34" s="6" t="s">
        <v>99</v>
      </c>
      <c r="G34" s="7">
        <v>0.74158500000000005</v>
      </c>
      <c r="H34" s="7">
        <v>0.534582</v>
      </c>
      <c r="I34" s="7">
        <v>0.122128</v>
      </c>
      <c r="J34" s="7">
        <v>8.4875000000000006E-2</v>
      </c>
    </row>
    <row r="35" spans="1:10" ht="42.75" x14ac:dyDescent="0.45">
      <c r="A35" s="48">
        <v>34</v>
      </c>
      <c r="B35" s="6" t="s">
        <v>107</v>
      </c>
      <c r="C35" s="7" t="s">
        <v>61</v>
      </c>
      <c r="D35" s="7" t="s">
        <v>46</v>
      </c>
      <c r="E35" s="7" t="s">
        <v>98</v>
      </c>
      <c r="F35" s="6" t="s">
        <v>99</v>
      </c>
      <c r="G35" s="7">
        <v>0.75385599999999997</v>
      </c>
      <c r="H35" s="7">
        <v>0.57922600000000002</v>
      </c>
      <c r="I35" s="7">
        <v>0.12615599999999999</v>
      </c>
      <c r="J35" s="7">
        <v>4.8473000000000002E-2</v>
      </c>
    </row>
    <row r="36" spans="1:10" ht="42.75" x14ac:dyDescent="0.45">
      <c r="A36" s="48">
        <v>35</v>
      </c>
      <c r="B36" s="6" t="s">
        <v>107</v>
      </c>
      <c r="C36" s="7" t="s">
        <v>63</v>
      </c>
      <c r="D36" s="7" t="s">
        <v>45</v>
      </c>
      <c r="E36" s="7" t="s">
        <v>98</v>
      </c>
      <c r="F36" s="6" t="s">
        <v>99</v>
      </c>
      <c r="G36" s="7">
        <v>1.318346</v>
      </c>
      <c r="H36" s="7">
        <v>0.74356199999999995</v>
      </c>
      <c r="I36" s="7">
        <v>0.35627599999999998</v>
      </c>
      <c r="J36" s="7">
        <v>0.21850800000000001</v>
      </c>
    </row>
    <row r="37" spans="1:10" ht="42.75" x14ac:dyDescent="0.45">
      <c r="A37" s="48">
        <v>36</v>
      </c>
      <c r="B37" s="6" t="s">
        <v>107</v>
      </c>
      <c r="C37" s="7" t="s">
        <v>63</v>
      </c>
      <c r="D37" s="7" t="s">
        <v>62</v>
      </c>
      <c r="E37" s="7" t="s">
        <v>98</v>
      </c>
      <c r="F37" s="6" t="s">
        <v>99</v>
      </c>
      <c r="G37" s="7">
        <v>1.1734039999999999</v>
      </c>
      <c r="H37" s="7">
        <v>0.74465899999999996</v>
      </c>
      <c r="I37" s="7">
        <v>0.34478199999999998</v>
      </c>
      <c r="J37" s="7">
        <v>8.3961999999999995E-2</v>
      </c>
    </row>
    <row r="38" spans="1:10" ht="42.75" x14ac:dyDescent="0.45">
      <c r="A38" s="48">
        <v>37</v>
      </c>
      <c r="B38" s="6" t="s">
        <v>107</v>
      </c>
      <c r="C38" s="7" t="s">
        <v>63</v>
      </c>
      <c r="D38" s="7" t="s">
        <v>41</v>
      </c>
      <c r="E38" s="7" t="s">
        <v>98</v>
      </c>
      <c r="F38" s="6" t="s">
        <v>99</v>
      </c>
      <c r="G38" s="7">
        <v>1.0635479999999999</v>
      </c>
      <c r="H38" s="7">
        <v>0.584422</v>
      </c>
      <c r="I38" s="7">
        <v>0.39586399999999999</v>
      </c>
      <c r="J38" s="7">
        <v>8.3263000000000004E-2</v>
      </c>
    </row>
    <row r="39" spans="1:10" ht="42.75" x14ac:dyDescent="0.45">
      <c r="A39" s="48">
        <v>38</v>
      </c>
      <c r="B39" s="6" t="s">
        <v>107</v>
      </c>
      <c r="C39" s="7" t="s">
        <v>64</v>
      </c>
      <c r="D39" s="7" t="s">
        <v>50</v>
      </c>
      <c r="E39" s="7" t="s">
        <v>98</v>
      </c>
      <c r="F39" s="6" t="s">
        <v>99</v>
      </c>
      <c r="G39" s="7">
        <v>0.24571499999999999</v>
      </c>
      <c r="H39" s="7">
        <v>4.8299000000000002E-2</v>
      </c>
      <c r="I39" s="7">
        <v>0.18532499999999999</v>
      </c>
      <c r="J39" s="7">
        <v>1.2090999999999999E-2</v>
      </c>
    </row>
    <row r="40" spans="1:10" ht="42.75" x14ac:dyDescent="0.45">
      <c r="A40" s="48">
        <v>39</v>
      </c>
      <c r="B40" s="6" t="s">
        <v>107</v>
      </c>
      <c r="C40" s="7" t="s">
        <v>65</v>
      </c>
      <c r="D40" s="7" t="s">
        <v>62</v>
      </c>
      <c r="E40" s="7" t="s">
        <v>98</v>
      </c>
      <c r="F40" s="6" t="s">
        <v>99</v>
      </c>
      <c r="G40" s="7">
        <v>0.99066299999999996</v>
      </c>
      <c r="H40" s="7">
        <v>0.80690799999999996</v>
      </c>
      <c r="I40" s="7">
        <v>9.9793000000000007E-2</v>
      </c>
      <c r="J40" s="7">
        <v>8.3961999999999995E-2</v>
      </c>
    </row>
    <row r="41" spans="1:10" ht="42.75" x14ac:dyDescent="0.45">
      <c r="A41" s="48">
        <v>40</v>
      </c>
      <c r="B41" s="6" t="s">
        <v>107</v>
      </c>
      <c r="C41" s="7" t="s">
        <v>65</v>
      </c>
      <c r="D41" s="7" t="s">
        <v>41</v>
      </c>
      <c r="E41" s="7" t="s">
        <v>98</v>
      </c>
      <c r="F41" s="6" t="s">
        <v>99</v>
      </c>
      <c r="G41" s="7">
        <v>0.843198</v>
      </c>
      <c r="H41" s="7">
        <v>0.64535600000000004</v>
      </c>
      <c r="I41" s="7">
        <v>0.11458</v>
      </c>
      <c r="J41" s="7">
        <v>8.3263000000000004E-2</v>
      </c>
    </row>
    <row r="42" spans="1:10" ht="42.75" x14ac:dyDescent="0.45">
      <c r="A42" s="48">
        <v>41</v>
      </c>
      <c r="B42" s="6" t="s">
        <v>107</v>
      </c>
      <c r="C42" s="7" t="s">
        <v>65</v>
      </c>
      <c r="D42" s="7" t="s">
        <v>66</v>
      </c>
      <c r="E42" s="7" t="s">
        <v>98</v>
      </c>
      <c r="F42" s="6" t="s">
        <v>99</v>
      </c>
      <c r="G42" s="7">
        <v>1.1864809999999999</v>
      </c>
      <c r="H42" s="7">
        <v>0.97326199999999996</v>
      </c>
      <c r="I42" s="7">
        <v>0.11458</v>
      </c>
      <c r="J42" s="7">
        <v>9.8639000000000004E-2</v>
      </c>
    </row>
    <row r="43" spans="1:10" ht="42.75" x14ac:dyDescent="0.45">
      <c r="A43" s="48">
        <v>42</v>
      </c>
      <c r="B43" s="6" t="s">
        <v>107</v>
      </c>
      <c r="C43" s="7" t="s">
        <v>65</v>
      </c>
      <c r="D43" s="7" t="s">
        <v>47</v>
      </c>
      <c r="E43" s="7" t="s">
        <v>98</v>
      </c>
      <c r="F43" s="6" t="s">
        <v>99</v>
      </c>
      <c r="G43" s="7">
        <v>1.119623</v>
      </c>
      <c r="H43" s="7">
        <v>0.57052999999999998</v>
      </c>
      <c r="I43" s="7">
        <v>0.10198699999999999</v>
      </c>
      <c r="J43" s="7">
        <v>0.447106</v>
      </c>
    </row>
    <row r="44" spans="1:10" ht="42.75" x14ac:dyDescent="0.45">
      <c r="A44" s="48">
        <v>43</v>
      </c>
      <c r="B44" s="6" t="s">
        <v>107</v>
      </c>
      <c r="C44" s="7" t="s">
        <v>67</v>
      </c>
      <c r="D44" s="7" t="s">
        <v>68</v>
      </c>
      <c r="E44" s="7" t="s">
        <v>98</v>
      </c>
      <c r="F44" s="6" t="s">
        <v>99</v>
      </c>
      <c r="G44" s="7">
        <v>0.41497800000000001</v>
      </c>
      <c r="H44" s="7">
        <v>0.20217499999999999</v>
      </c>
      <c r="I44" s="7">
        <v>0.11458</v>
      </c>
      <c r="J44" s="7">
        <v>9.8222000000000004E-2</v>
      </c>
    </row>
    <row r="45" spans="1:10" ht="42.75" x14ac:dyDescent="0.45">
      <c r="A45" s="48">
        <v>44</v>
      </c>
      <c r="B45" s="6" t="s">
        <v>107</v>
      </c>
      <c r="C45" s="7" t="s">
        <v>67</v>
      </c>
      <c r="D45" s="7" t="s">
        <v>62</v>
      </c>
      <c r="E45" s="7" t="s">
        <v>98</v>
      </c>
      <c r="F45" s="6" t="s">
        <v>99</v>
      </c>
      <c r="G45" s="7">
        <v>0.39637699999999998</v>
      </c>
      <c r="H45" s="7">
        <v>0.212621</v>
      </c>
      <c r="I45" s="7">
        <v>9.9793000000000007E-2</v>
      </c>
      <c r="J45" s="7">
        <v>8.3961999999999995E-2</v>
      </c>
    </row>
    <row r="46" spans="1:10" ht="42.75" x14ac:dyDescent="0.45">
      <c r="A46" s="48">
        <v>45</v>
      </c>
      <c r="B46" s="6" t="s">
        <v>107</v>
      </c>
      <c r="C46" s="7" t="s">
        <v>67</v>
      </c>
      <c r="D46" s="7" t="s">
        <v>46</v>
      </c>
      <c r="E46" s="7" t="s">
        <v>98</v>
      </c>
      <c r="F46" s="6" t="s">
        <v>99</v>
      </c>
      <c r="G46" s="7">
        <v>0.37121300000000002</v>
      </c>
      <c r="H46" s="7">
        <v>0.20217499999999999</v>
      </c>
      <c r="I46" s="7">
        <v>0.11458</v>
      </c>
      <c r="J46" s="7">
        <v>5.4457999999999999E-2</v>
      </c>
    </row>
    <row r="47" spans="1:10" ht="42.75" x14ac:dyDescent="0.45">
      <c r="A47" s="48">
        <v>46</v>
      </c>
      <c r="B47" s="6" t="s">
        <v>107</v>
      </c>
      <c r="C47" s="7" t="s">
        <v>67</v>
      </c>
      <c r="D47" s="7" t="s">
        <v>69</v>
      </c>
      <c r="E47" s="7" t="s">
        <v>98</v>
      </c>
      <c r="F47" s="6" t="s">
        <v>99</v>
      </c>
      <c r="G47" s="7">
        <v>0.483097</v>
      </c>
      <c r="H47" s="7">
        <v>0.20217499999999999</v>
      </c>
      <c r="I47" s="7">
        <v>0.11458</v>
      </c>
      <c r="J47" s="7">
        <v>0.16634099999999999</v>
      </c>
    </row>
    <row r="48" spans="1:10" ht="42.75" x14ac:dyDescent="0.45">
      <c r="A48" s="48">
        <v>47</v>
      </c>
      <c r="B48" s="6" t="s">
        <v>107</v>
      </c>
      <c r="C48" s="7" t="s">
        <v>67</v>
      </c>
      <c r="D48" s="7" t="s">
        <v>57</v>
      </c>
      <c r="E48" s="7" t="s">
        <v>98</v>
      </c>
      <c r="F48" s="6" t="s">
        <v>99</v>
      </c>
      <c r="G48" s="7">
        <v>1.0967309999999999</v>
      </c>
      <c r="H48" s="7">
        <v>0.20100000000000001</v>
      </c>
      <c r="I48" s="7">
        <v>0.10312</v>
      </c>
      <c r="J48" s="7">
        <v>0.79261199999999998</v>
      </c>
    </row>
    <row r="49" spans="1:10" ht="28.5" x14ac:dyDescent="0.45">
      <c r="A49" s="48">
        <v>48</v>
      </c>
      <c r="B49" s="6" t="s">
        <v>108</v>
      </c>
      <c r="C49" s="7" t="s">
        <v>32</v>
      </c>
      <c r="D49" s="7" t="s">
        <v>45</v>
      </c>
      <c r="E49" s="7" t="s">
        <v>98</v>
      </c>
      <c r="F49" s="6" t="s">
        <v>99</v>
      </c>
      <c r="G49" s="7">
        <v>0.609043</v>
      </c>
      <c r="H49" s="7">
        <v>0.44561099999999998</v>
      </c>
      <c r="I49" s="7">
        <v>3.3017999999999999E-2</v>
      </c>
      <c r="J49" s="7">
        <v>0.130414</v>
      </c>
    </row>
    <row r="50" spans="1:10" ht="28.5" x14ac:dyDescent="0.45">
      <c r="A50" s="48">
        <v>49</v>
      </c>
      <c r="B50" s="6" t="s">
        <v>108</v>
      </c>
      <c r="C50" s="7" t="s">
        <v>32</v>
      </c>
      <c r="D50" s="7" t="s">
        <v>57</v>
      </c>
      <c r="E50" s="7" t="s">
        <v>98</v>
      </c>
      <c r="F50" s="6" t="s">
        <v>99</v>
      </c>
      <c r="G50" s="7">
        <v>0.92317400000000005</v>
      </c>
      <c r="H50" s="7">
        <v>0.49074200000000001</v>
      </c>
      <c r="I50" s="7">
        <v>3.2978E-2</v>
      </c>
      <c r="J50" s="7">
        <v>0.399453</v>
      </c>
    </row>
    <row r="51" spans="1:10" ht="28.5" x14ac:dyDescent="0.45">
      <c r="A51" s="48">
        <v>50</v>
      </c>
      <c r="B51" s="6" t="s">
        <v>109</v>
      </c>
      <c r="C51" s="7" t="s">
        <v>31</v>
      </c>
      <c r="D51" s="7" t="s">
        <v>70</v>
      </c>
      <c r="E51" s="7" t="s">
        <v>98</v>
      </c>
      <c r="F51" s="6" t="s">
        <v>99</v>
      </c>
      <c r="G51" s="7">
        <v>2.5333410000000001</v>
      </c>
      <c r="H51" s="7">
        <v>2.6889720000000001</v>
      </c>
      <c r="I51" s="7">
        <v>-0.18823500000000001</v>
      </c>
      <c r="J51" s="7">
        <v>3.2605000000000002E-2</v>
      </c>
    </row>
    <row r="52" spans="1:10" ht="28.5" x14ac:dyDescent="0.45">
      <c r="A52" s="48">
        <v>51</v>
      </c>
      <c r="B52" s="6" t="s">
        <v>109</v>
      </c>
      <c r="C52" s="7" t="s">
        <v>31</v>
      </c>
      <c r="D52" s="7" t="s">
        <v>66</v>
      </c>
      <c r="E52" s="7" t="s">
        <v>98</v>
      </c>
      <c r="F52" s="6" t="s">
        <v>99</v>
      </c>
      <c r="G52" s="7">
        <v>2.6716380000000002</v>
      </c>
      <c r="H52" s="7">
        <v>2.9543300000000001</v>
      </c>
      <c r="I52" s="7">
        <v>-0.33082</v>
      </c>
      <c r="J52" s="7">
        <v>4.8127999999999997E-2</v>
      </c>
    </row>
    <row r="53" spans="1:10" ht="28.5" x14ac:dyDescent="0.45">
      <c r="A53" s="48">
        <v>52</v>
      </c>
      <c r="B53" s="6" t="s">
        <v>109</v>
      </c>
      <c r="C53" s="7" t="s">
        <v>31</v>
      </c>
      <c r="D53" s="7" t="s">
        <v>71</v>
      </c>
      <c r="E53" s="7" t="s">
        <v>98</v>
      </c>
      <c r="F53" s="6" t="s">
        <v>99</v>
      </c>
      <c r="G53" s="7">
        <v>2.5184850000000001</v>
      </c>
      <c r="H53" s="7">
        <v>2.6889720000000001</v>
      </c>
      <c r="I53" s="7">
        <v>-0.221641</v>
      </c>
      <c r="J53" s="7">
        <v>5.1152999999999997E-2</v>
      </c>
    </row>
    <row r="54" spans="1:10" ht="28.5" x14ac:dyDescent="0.45">
      <c r="A54" s="48">
        <v>53</v>
      </c>
      <c r="B54" s="6" t="s">
        <v>110</v>
      </c>
      <c r="C54" s="7" t="s">
        <v>73</v>
      </c>
      <c r="D54" s="7" t="s">
        <v>62</v>
      </c>
      <c r="E54" s="7" t="s">
        <v>98</v>
      </c>
      <c r="F54" s="6" t="s">
        <v>99</v>
      </c>
      <c r="G54" s="7">
        <v>0.42985800000000002</v>
      </c>
      <c r="H54" s="7">
        <v>0.240616</v>
      </c>
      <c r="I54" s="7">
        <v>0.100878</v>
      </c>
      <c r="J54" s="8">
        <v>8.8400000000000006E-2</v>
      </c>
    </row>
    <row r="55" spans="1:10" ht="28.5" x14ac:dyDescent="0.45">
      <c r="A55" s="48">
        <v>54</v>
      </c>
      <c r="B55" s="6" t="s">
        <v>110</v>
      </c>
      <c r="C55" s="7" t="s">
        <v>73</v>
      </c>
      <c r="D55" s="7" t="s">
        <v>41</v>
      </c>
      <c r="E55" s="7" t="s">
        <v>98</v>
      </c>
      <c r="F55" s="6" t="s">
        <v>99</v>
      </c>
      <c r="G55" s="7">
        <v>0.43303999999999998</v>
      </c>
      <c r="H55" s="7">
        <v>0.253411</v>
      </c>
      <c r="I55" s="7">
        <v>0.10198699999999999</v>
      </c>
      <c r="J55" s="9">
        <v>7.7600000000000002E-2</v>
      </c>
    </row>
    <row r="56" spans="1:10" ht="28.5" x14ac:dyDescent="0.45">
      <c r="A56" s="48">
        <v>55</v>
      </c>
      <c r="B56" s="6" t="s">
        <v>110</v>
      </c>
      <c r="C56" s="7" t="s">
        <v>73</v>
      </c>
      <c r="D56" s="7" t="s">
        <v>50</v>
      </c>
      <c r="E56" s="7" t="s">
        <v>98</v>
      </c>
      <c r="F56" s="6" t="s">
        <v>99</v>
      </c>
      <c r="G56" s="7">
        <v>0.34267900000000001</v>
      </c>
      <c r="H56" s="7">
        <v>0.23880199999999999</v>
      </c>
      <c r="I56" s="7">
        <v>0.100878</v>
      </c>
      <c r="J56" s="9">
        <v>3.0000000000000001E-3</v>
      </c>
    </row>
    <row r="57" spans="1:10" ht="28.5" x14ac:dyDescent="0.45">
      <c r="A57" s="48">
        <v>56</v>
      </c>
      <c r="B57" s="6" t="s">
        <v>110</v>
      </c>
      <c r="C57" s="7" t="s">
        <v>74</v>
      </c>
      <c r="D57" s="7" t="s">
        <v>41</v>
      </c>
      <c r="E57" s="7" t="s">
        <v>98</v>
      </c>
      <c r="F57" s="6" t="s">
        <v>99</v>
      </c>
      <c r="G57" s="7">
        <v>0.27349499999999999</v>
      </c>
      <c r="H57" s="7">
        <v>9.3198000000000003E-2</v>
      </c>
      <c r="I57" s="7">
        <v>0.102448</v>
      </c>
      <c r="J57" s="7">
        <v>7.7848000000000001E-2</v>
      </c>
    </row>
    <row r="58" spans="1:10" ht="28.5" x14ac:dyDescent="0.45">
      <c r="A58" s="48">
        <v>57</v>
      </c>
      <c r="B58" s="6" t="s">
        <v>110</v>
      </c>
      <c r="C58" s="7" t="s">
        <v>74</v>
      </c>
      <c r="D58" s="7" t="s">
        <v>50</v>
      </c>
      <c r="E58" s="7" t="s">
        <v>98</v>
      </c>
      <c r="F58" s="6" t="s">
        <v>99</v>
      </c>
      <c r="G58" s="7">
        <v>0.18901999999999999</v>
      </c>
      <c r="H58" s="7">
        <v>8.4638000000000005E-2</v>
      </c>
      <c r="I58" s="7">
        <v>0.10133399999999999</v>
      </c>
      <c r="J58" s="7">
        <v>3.0469999999999998E-3</v>
      </c>
    </row>
    <row r="59" spans="1:10" ht="28.5" x14ac:dyDescent="0.45">
      <c r="A59" s="48">
        <v>58</v>
      </c>
      <c r="B59" s="6" t="s">
        <v>110</v>
      </c>
      <c r="C59" s="7" t="s">
        <v>75</v>
      </c>
      <c r="D59" s="7" t="s">
        <v>41</v>
      </c>
      <c r="E59" s="7" t="s">
        <v>98</v>
      </c>
      <c r="F59" s="6" t="s">
        <v>99</v>
      </c>
      <c r="G59" s="7">
        <v>0.46926400000000001</v>
      </c>
      <c r="H59" s="7">
        <v>0.28902699999999998</v>
      </c>
      <c r="I59" s="7">
        <v>0.10198699999999999</v>
      </c>
      <c r="J59" s="7">
        <v>7.825E-2</v>
      </c>
    </row>
    <row r="60" spans="1:10" ht="28.5" x14ac:dyDescent="0.45">
      <c r="A60" s="48">
        <v>59</v>
      </c>
      <c r="B60" s="6" t="s">
        <v>110</v>
      </c>
      <c r="C60" s="7" t="s">
        <v>75</v>
      </c>
      <c r="D60" s="7" t="s">
        <v>46</v>
      </c>
      <c r="E60" s="7" t="s">
        <v>98</v>
      </c>
      <c r="F60" s="6" t="s">
        <v>99</v>
      </c>
      <c r="G60" s="7">
        <v>0.44530500000000001</v>
      </c>
      <c r="H60" s="7">
        <v>0.29070800000000002</v>
      </c>
      <c r="I60" s="7">
        <v>0.10198699999999999</v>
      </c>
      <c r="J60" s="7">
        <v>5.2609999999999997E-2</v>
      </c>
    </row>
    <row r="61" spans="1:10" ht="28.5" x14ac:dyDescent="0.45">
      <c r="A61" s="48">
        <v>60</v>
      </c>
      <c r="B61" s="6" t="s">
        <v>110</v>
      </c>
      <c r="C61" s="7" t="s">
        <v>75</v>
      </c>
      <c r="D61" s="6" t="s">
        <v>111</v>
      </c>
      <c r="E61" s="7" t="s">
        <v>98</v>
      </c>
      <c r="F61" s="6" t="s">
        <v>99</v>
      </c>
      <c r="G61" s="7">
        <v>0.37559100000000001</v>
      </c>
      <c r="H61" s="7">
        <v>0.27157199999999998</v>
      </c>
      <c r="I61" s="7">
        <v>0.100878</v>
      </c>
      <c r="J61" s="7">
        <v>3.1410000000000001E-3</v>
      </c>
    </row>
    <row r="62" spans="1:10" ht="42.75" x14ac:dyDescent="0.45">
      <c r="A62" s="48">
        <v>61</v>
      </c>
      <c r="B62" s="6" t="s">
        <v>110</v>
      </c>
      <c r="C62" s="7" t="s">
        <v>75</v>
      </c>
      <c r="D62" s="6" t="s">
        <v>112</v>
      </c>
      <c r="E62" s="7" t="s">
        <v>98</v>
      </c>
      <c r="F62" s="6" t="s">
        <v>99</v>
      </c>
      <c r="G62" s="7">
        <v>0.422315</v>
      </c>
      <c r="H62" s="7">
        <v>0.31795699999999999</v>
      </c>
      <c r="I62" s="7">
        <v>0.10133399999999999</v>
      </c>
      <c r="J62" s="7">
        <v>3.0230000000000001E-3</v>
      </c>
    </row>
    <row r="63" spans="1:10" ht="42.75" x14ac:dyDescent="0.45">
      <c r="A63" s="48">
        <v>62</v>
      </c>
      <c r="B63" s="6" t="s">
        <v>110</v>
      </c>
      <c r="C63" s="7" t="s">
        <v>75</v>
      </c>
      <c r="D63" s="6" t="s">
        <v>113</v>
      </c>
      <c r="E63" s="7" t="s">
        <v>98</v>
      </c>
      <c r="F63" s="6" t="s">
        <v>99</v>
      </c>
      <c r="G63" s="7">
        <v>0.26783000000000001</v>
      </c>
      <c r="H63" s="7">
        <v>0.16390399999999999</v>
      </c>
      <c r="I63" s="7">
        <v>0.100878</v>
      </c>
      <c r="J63" s="7">
        <v>3.0479999999999999E-3</v>
      </c>
    </row>
    <row r="64" spans="1:10" ht="57" x14ac:dyDescent="0.45">
      <c r="A64" s="48">
        <v>63</v>
      </c>
      <c r="B64" s="6" t="s">
        <v>110</v>
      </c>
      <c r="C64" s="7" t="s">
        <v>75</v>
      </c>
      <c r="D64" s="6" t="s">
        <v>114</v>
      </c>
      <c r="E64" s="7" t="s">
        <v>98</v>
      </c>
      <c r="F64" s="6" t="s">
        <v>99</v>
      </c>
      <c r="G64" s="7">
        <v>1.5373619999999999</v>
      </c>
      <c r="H64" s="7">
        <v>1.433359</v>
      </c>
      <c r="I64" s="7">
        <v>0.100878</v>
      </c>
      <c r="J64" s="7">
        <v>3.1250000000000002E-3</v>
      </c>
    </row>
    <row r="65" spans="1:10" ht="28.5" x14ac:dyDescent="0.45">
      <c r="A65" s="48">
        <v>64</v>
      </c>
      <c r="B65" s="6" t="s">
        <v>115</v>
      </c>
      <c r="C65" s="7" t="s">
        <v>80</v>
      </c>
      <c r="D65" s="7" t="s">
        <v>71</v>
      </c>
      <c r="E65" s="7" t="s">
        <v>98</v>
      </c>
      <c r="F65" s="6" t="s">
        <v>99</v>
      </c>
      <c r="G65" s="7">
        <v>5.6848479999999997</v>
      </c>
      <c r="H65" s="7">
        <v>4.5770249999999999</v>
      </c>
      <c r="I65" s="7">
        <v>1.020249</v>
      </c>
      <c r="J65" s="7">
        <v>8.7573999999999999E-2</v>
      </c>
    </row>
    <row r="66" spans="1:10" ht="28.5" x14ac:dyDescent="0.45">
      <c r="A66" s="48">
        <v>65</v>
      </c>
      <c r="B66" s="6" t="s">
        <v>115</v>
      </c>
      <c r="C66" s="7" t="s">
        <v>81</v>
      </c>
      <c r="D66" s="7" t="s">
        <v>82</v>
      </c>
      <c r="E66" s="7" t="s">
        <v>98</v>
      </c>
      <c r="F66" s="6" t="s">
        <v>99</v>
      </c>
      <c r="G66" s="7">
        <v>13.573370000000001</v>
      </c>
      <c r="H66" s="7">
        <v>1.6381209999999999</v>
      </c>
      <c r="I66" s="7">
        <v>0.120767</v>
      </c>
      <c r="J66" s="7">
        <v>11.81448</v>
      </c>
    </row>
    <row r="67" spans="1:10" ht="28.5" x14ac:dyDescent="0.45">
      <c r="A67" s="48">
        <v>66</v>
      </c>
      <c r="B67" s="6" t="s">
        <v>115</v>
      </c>
      <c r="C67" s="7" t="s">
        <v>83</v>
      </c>
      <c r="D67" s="7" t="s">
        <v>82</v>
      </c>
      <c r="E67" s="7" t="s">
        <v>98</v>
      </c>
      <c r="F67" s="6" t="s">
        <v>99</v>
      </c>
      <c r="G67" s="7">
        <v>2.2942670000000001</v>
      </c>
      <c r="H67" s="7">
        <v>1.715716</v>
      </c>
      <c r="I67" s="7">
        <v>0.15206900000000001</v>
      </c>
      <c r="J67" s="7">
        <v>0.42648200000000003</v>
      </c>
    </row>
    <row r="68" spans="1:10" ht="28.5" x14ac:dyDescent="0.45">
      <c r="A68" s="48">
        <v>67</v>
      </c>
      <c r="B68" s="6" t="s">
        <v>115</v>
      </c>
      <c r="C68" s="7" t="s">
        <v>83</v>
      </c>
      <c r="D68" s="7" t="s">
        <v>84</v>
      </c>
      <c r="E68" s="7" t="s">
        <v>98</v>
      </c>
      <c r="F68" s="6" t="s">
        <v>99</v>
      </c>
      <c r="G68" s="7">
        <v>2.2537600000000002</v>
      </c>
      <c r="H68" s="7">
        <v>1.6983520000000001</v>
      </c>
      <c r="I68" s="7">
        <v>0.46017599999999997</v>
      </c>
      <c r="J68" s="7">
        <v>9.5232999999999998E-2</v>
      </c>
    </row>
    <row r="69" spans="1:10" ht="28.5" x14ac:dyDescent="0.45">
      <c r="A69" s="48">
        <v>68</v>
      </c>
      <c r="B69" s="6" t="s">
        <v>115</v>
      </c>
      <c r="C69" s="7" t="s">
        <v>85</v>
      </c>
      <c r="D69" s="7" t="s">
        <v>82</v>
      </c>
      <c r="E69" s="7" t="s">
        <v>98</v>
      </c>
      <c r="F69" s="6" t="s">
        <v>99</v>
      </c>
      <c r="G69" s="7">
        <v>4.6855409999999997</v>
      </c>
      <c r="H69" s="7">
        <v>3.8360919999999998</v>
      </c>
      <c r="I69" s="7">
        <v>0.44528499999999999</v>
      </c>
      <c r="J69" s="7">
        <v>0.40416299999999999</v>
      </c>
    </row>
    <row r="70" spans="1:10" ht="28.5" x14ac:dyDescent="0.45">
      <c r="A70" s="48">
        <v>69</v>
      </c>
      <c r="B70" s="6" t="s">
        <v>115</v>
      </c>
      <c r="C70" s="7" t="s">
        <v>85</v>
      </c>
      <c r="D70" s="7" t="s">
        <v>62</v>
      </c>
      <c r="E70" s="7" t="s">
        <v>98</v>
      </c>
      <c r="F70" s="6" t="s">
        <v>99</v>
      </c>
      <c r="G70" s="7">
        <v>5.5576040000000004</v>
      </c>
      <c r="H70" s="7">
        <v>3.8948079999999998</v>
      </c>
      <c r="I70" s="7">
        <v>1.5669139999999999</v>
      </c>
      <c r="J70" s="7">
        <v>9.5881999999999995E-2</v>
      </c>
    </row>
    <row r="71" spans="1:10" ht="28.5" x14ac:dyDescent="0.45">
      <c r="A71" s="48">
        <v>70</v>
      </c>
      <c r="B71" s="6" t="s">
        <v>115</v>
      </c>
      <c r="C71" s="7" t="s">
        <v>85</v>
      </c>
      <c r="D71" s="7" t="s">
        <v>86</v>
      </c>
      <c r="E71" s="7" t="s">
        <v>98</v>
      </c>
      <c r="F71" s="6" t="s">
        <v>99</v>
      </c>
      <c r="G71" s="7">
        <v>5.1716309999999996</v>
      </c>
      <c r="H71" s="7">
        <v>3.8948079999999998</v>
      </c>
      <c r="I71" s="7">
        <v>1.0966009999999999</v>
      </c>
      <c r="J71" s="7">
        <v>0.18022199999999999</v>
      </c>
    </row>
    <row r="72" spans="1:10" ht="28.5" x14ac:dyDescent="0.45">
      <c r="A72" s="48">
        <v>71</v>
      </c>
      <c r="B72" s="6" t="s">
        <v>115</v>
      </c>
      <c r="C72" s="7" t="s">
        <v>87</v>
      </c>
      <c r="D72" s="7" t="s">
        <v>50</v>
      </c>
      <c r="E72" s="7" t="s">
        <v>98</v>
      </c>
      <c r="F72" s="6" t="s">
        <v>99</v>
      </c>
      <c r="G72" s="7">
        <v>3.7301799999999998</v>
      </c>
      <c r="H72" s="7">
        <v>2.9317169999999999</v>
      </c>
      <c r="I72" s="7">
        <v>0.79142299999999999</v>
      </c>
      <c r="J72" s="7">
        <v>7.0400000000000003E-3</v>
      </c>
    </row>
    <row r="73" spans="1:10" ht="28.5" x14ac:dyDescent="0.45">
      <c r="A73" s="48">
        <v>72</v>
      </c>
      <c r="B73" s="6" t="s">
        <v>115</v>
      </c>
      <c r="C73" s="7" t="s">
        <v>88</v>
      </c>
      <c r="D73" s="7" t="s">
        <v>50</v>
      </c>
      <c r="E73" s="7" t="s">
        <v>98</v>
      </c>
      <c r="F73" s="6" t="s">
        <v>99</v>
      </c>
      <c r="G73" s="7">
        <v>4.2627540000000002</v>
      </c>
      <c r="H73" s="7">
        <v>3.348328</v>
      </c>
      <c r="I73" s="7">
        <v>0.89125399999999999</v>
      </c>
      <c r="J73" s="7">
        <v>2.3171000000000001E-2</v>
      </c>
    </row>
    <row r="74" spans="1:10" ht="42.75" x14ac:dyDescent="0.45">
      <c r="A74" s="48">
        <v>73</v>
      </c>
      <c r="B74" s="6" t="s">
        <v>116</v>
      </c>
      <c r="C74" s="7" t="s">
        <v>89</v>
      </c>
      <c r="D74" s="7" t="s">
        <v>71</v>
      </c>
      <c r="E74" s="7" t="s">
        <v>98</v>
      </c>
      <c r="F74" s="6" t="s">
        <v>99</v>
      </c>
      <c r="G74" s="7">
        <v>5.8283054500000002</v>
      </c>
      <c r="H74" s="7">
        <v>4.6900983800000002</v>
      </c>
      <c r="I74" s="7">
        <v>1.0417997999999999</v>
      </c>
      <c r="J74" s="7">
        <v>9.6407270000000003E-2</v>
      </c>
    </row>
    <row r="75" spans="1:10" ht="42.75" x14ac:dyDescent="0.45">
      <c r="A75" s="48">
        <v>74</v>
      </c>
      <c r="B75" s="6" t="s">
        <v>116</v>
      </c>
      <c r="C75" s="7" t="s">
        <v>89</v>
      </c>
      <c r="D75" s="7" t="s">
        <v>41</v>
      </c>
      <c r="E75" s="7" t="s">
        <v>98</v>
      </c>
      <c r="F75" s="6" t="s">
        <v>99</v>
      </c>
      <c r="G75" s="7">
        <v>5.9016710200000002</v>
      </c>
      <c r="H75" s="7">
        <v>4.7533466300000002</v>
      </c>
      <c r="I75" s="7">
        <v>1.0619243</v>
      </c>
      <c r="J75" s="7">
        <v>8.6400099999999994E-2</v>
      </c>
    </row>
    <row r="76" spans="1:10" ht="42.75" x14ac:dyDescent="0.45">
      <c r="A76" s="48">
        <v>75</v>
      </c>
      <c r="B76" s="6" t="s">
        <v>116</v>
      </c>
      <c r="C76" s="7" t="s">
        <v>89</v>
      </c>
      <c r="D76" s="7" t="s">
        <v>46</v>
      </c>
      <c r="E76" s="7" t="s">
        <v>98</v>
      </c>
      <c r="F76" s="6" t="s">
        <v>99</v>
      </c>
      <c r="G76" s="7">
        <v>6.48815366</v>
      </c>
      <c r="H76" s="7">
        <v>5.2182964500000004</v>
      </c>
      <c r="I76" s="7">
        <v>1.2098633000000001</v>
      </c>
      <c r="J76" s="7">
        <v>5.9993900000000003E-2</v>
      </c>
    </row>
    <row r="77" spans="1:10" ht="42.75" x14ac:dyDescent="0.45">
      <c r="A77" s="48">
        <v>76</v>
      </c>
      <c r="B77" s="6" t="s">
        <v>116</v>
      </c>
      <c r="C77" s="7" t="s">
        <v>89</v>
      </c>
      <c r="D77" s="7" t="s">
        <v>62</v>
      </c>
      <c r="E77" s="7" t="s">
        <v>98</v>
      </c>
      <c r="F77" s="6" t="s">
        <v>99</v>
      </c>
      <c r="G77" s="7">
        <v>7.2232415200000002</v>
      </c>
      <c r="H77" s="7">
        <v>5.8551775900000003</v>
      </c>
      <c r="I77" s="7">
        <v>1.2781811999999999</v>
      </c>
      <c r="J77" s="7">
        <v>8.9882740000000003E-2</v>
      </c>
    </row>
    <row r="78" spans="1:10" ht="42.75" x14ac:dyDescent="0.45">
      <c r="A78" s="48">
        <v>77</v>
      </c>
      <c r="B78" s="6" t="s">
        <v>116</v>
      </c>
      <c r="C78" s="7" t="s">
        <v>89</v>
      </c>
      <c r="D78" s="7" t="s">
        <v>50</v>
      </c>
      <c r="E78" s="7" t="s">
        <v>98</v>
      </c>
      <c r="F78" s="6" t="s">
        <v>99</v>
      </c>
      <c r="G78" s="7">
        <v>5.1386244200000002</v>
      </c>
      <c r="H78" s="7">
        <v>4.5079172600000001</v>
      </c>
      <c r="I78" s="7">
        <v>0.61092601000000002</v>
      </c>
      <c r="J78" s="7">
        <v>1.9781150000000001E-2</v>
      </c>
    </row>
    <row r="79" spans="1:10" ht="42.75" x14ac:dyDescent="0.45">
      <c r="A79" s="48">
        <v>78</v>
      </c>
      <c r="B79" s="6" t="s">
        <v>116</v>
      </c>
      <c r="C79" s="7" t="s">
        <v>90</v>
      </c>
      <c r="D79" s="7" t="s">
        <v>46</v>
      </c>
      <c r="E79" s="7" t="s">
        <v>98</v>
      </c>
      <c r="F79" s="6" t="s">
        <v>99</v>
      </c>
      <c r="G79" s="7">
        <v>4.8643129299999996</v>
      </c>
      <c r="H79" s="7">
        <v>3.28595477</v>
      </c>
      <c r="I79" s="7">
        <v>1.3523988899999999</v>
      </c>
      <c r="J79" s="7">
        <v>0.22595926999999999</v>
      </c>
    </row>
    <row r="80" spans="1:10" ht="42.75" x14ac:dyDescent="0.45">
      <c r="A80" s="48">
        <v>79</v>
      </c>
      <c r="B80" s="6" t="s">
        <v>116</v>
      </c>
      <c r="C80" s="7" t="s">
        <v>90</v>
      </c>
      <c r="D80" s="7" t="s">
        <v>52</v>
      </c>
      <c r="E80" s="7" t="s">
        <v>98</v>
      </c>
      <c r="F80" s="6" t="s">
        <v>99</v>
      </c>
      <c r="G80" s="7">
        <v>4.9684077899999997</v>
      </c>
      <c r="H80" s="7">
        <v>3.28595477</v>
      </c>
      <c r="I80" s="7">
        <v>1.3196891399999999</v>
      </c>
      <c r="J80" s="7">
        <v>0.36276388999999998</v>
      </c>
    </row>
    <row r="81" spans="1:10" ht="42.75" x14ac:dyDescent="0.45">
      <c r="A81" s="48">
        <v>80</v>
      </c>
      <c r="B81" s="6" t="s">
        <v>116</v>
      </c>
      <c r="C81" s="7" t="s">
        <v>90</v>
      </c>
      <c r="D81" s="7" t="s">
        <v>66</v>
      </c>
      <c r="E81" s="7" t="s">
        <v>98</v>
      </c>
      <c r="F81" s="6" t="s">
        <v>99</v>
      </c>
      <c r="G81" s="7">
        <v>5.0447311099999999</v>
      </c>
      <c r="H81" s="7">
        <v>3.28595477</v>
      </c>
      <c r="I81" s="7">
        <v>1.3988526800000001</v>
      </c>
      <c r="J81" s="7">
        <v>0.35992365999999998</v>
      </c>
    </row>
    <row r="82" spans="1:10" ht="42.75" x14ac:dyDescent="0.45">
      <c r="A82" s="48">
        <v>81</v>
      </c>
      <c r="B82" s="6" t="s">
        <v>116</v>
      </c>
      <c r="C82" s="7" t="s">
        <v>91</v>
      </c>
      <c r="D82" s="7" t="s">
        <v>46</v>
      </c>
      <c r="E82" s="7" t="s">
        <v>98</v>
      </c>
      <c r="F82" s="6" t="s">
        <v>99</v>
      </c>
      <c r="G82" s="7">
        <v>4.7981276199999998</v>
      </c>
      <c r="H82" s="7">
        <v>3.28595477</v>
      </c>
      <c r="I82" s="7">
        <v>1.32956783</v>
      </c>
      <c r="J82" s="7">
        <v>0.18260503</v>
      </c>
    </row>
    <row r="83" spans="1:10" ht="42.75" x14ac:dyDescent="0.45">
      <c r="A83" s="48">
        <v>82</v>
      </c>
      <c r="B83" s="6" t="s">
        <v>116</v>
      </c>
      <c r="C83" s="7" t="s">
        <v>91</v>
      </c>
      <c r="D83" s="7" t="s">
        <v>52</v>
      </c>
      <c r="E83" s="7" t="s">
        <v>98</v>
      </c>
      <c r="F83" s="6" t="s">
        <v>99</v>
      </c>
      <c r="G83" s="7">
        <v>4.8447730199999999</v>
      </c>
      <c r="H83" s="7">
        <v>3.28595477</v>
      </c>
      <c r="I83" s="7">
        <v>1.2968580700000001</v>
      </c>
      <c r="J83" s="7">
        <v>0.26196017999999999</v>
      </c>
    </row>
    <row r="84" spans="1:10" ht="42.75" x14ac:dyDescent="0.45">
      <c r="A84" s="48">
        <v>83</v>
      </c>
      <c r="B84" s="6" t="s">
        <v>116</v>
      </c>
      <c r="C84" s="7" t="s">
        <v>91</v>
      </c>
      <c r="D84" s="7" t="s">
        <v>66</v>
      </c>
      <c r="E84" s="7" t="s">
        <v>98</v>
      </c>
      <c r="F84" s="6" t="s">
        <v>99</v>
      </c>
      <c r="G84" s="7">
        <v>4.9222890499999998</v>
      </c>
      <c r="H84" s="7">
        <v>3.28595477</v>
      </c>
      <c r="I84" s="7">
        <v>1.3760216199999999</v>
      </c>
      <c r="J84" s="7">
        <v>0.26031267000000002</v>
      </c>
    </row>
    <row r="85" spans="1:10" ht="42.75" x14ac:dyDescent="0.45">
      <c r="A85" s="48">
        <v>84</v>
      </c>
      <c r="B85" s="6" t="s">
        <v>116</v>
      </c>
      <c r="C85" s="7" t="s">
        <v>92</v>
      </c>
      <c r="D85" s="7" t="s">
        <v>41</v>
      </c>
      <c r="E85" s="7" t="s">
        <v>98</v>
      </c>
      <c r="F85" s="6" t="s">
        <v>99</v>
      </c>
      <c r="G85" s="7">
        <v>4.76347232</v>
      </c>
      <c r="H85" s="7">
        <v>4.6062284599999996</v>
      </c>
      <c r="I85" s="7">
        <v>6.4783439999999998E-2</v>
      </c>
      <c r="J85" s="7">
        <v>9.2460420000000001E-2</v>
      </c>
    </row>
    <row r="86" spans="1:10" ht="42.75" x14ac:dyDescent="0.45">
      <c r="A86" s="48">
        <v>85</v>
      </c>
      <c r="B86" s="6" t="s">
        <v>116</v>
      </c>
      <c r="C86" s="7" t="s">
        <v>92</v>
      </c>
      <c r="D86" s="7" t="s">
        <v>46</v>
      </c>
      <c r="E86" s="7" t="s">
        <v>98</v>
      </c>
      <c r="F86" s="6" t="s">
        <v>99</v>
      </c>
      <c r="G86" s="7">
        <v>4.7386509700000001</v>
      </c>
      <c r="H86" s="7">
        <v>4.6062284599999996</v>
      </c>
      <c r="I86" s="7">
        <v>6.4783439999999998E-2</v>
      </c>
      <c r="J86" s="7">
        <v>6.7639069999999996E-2</v>
      </c>
    </row>
    <row r="87" spans="1:10" ht="42.75" x14ac:dyDescent="0.45">
      <c r="A87" s="48">
        <v>86</v>
      </c>
      <c r="B87" s="6" t="s">
        <v>116</v>
      </c>
      <c r="C87" s="7" t="s">
        <v>92</v>
      </c>
      <c r="D87" s="7" t="s">
        <v>62</v>
      </c>
      <c r="E87" s="7" t="s">
        <v>98</v>
      </c>
      <c r="F87" s="6" t="s">
        <v>99</v>
      </c>
      <c r="G87" s="7">
        <v>4.9005926200000003</v>
      </c>
      <c r="H87" s="7">
        <v>4.7717385700000001</v>
      </c>
      <c r="I87" s="7">
        <v>3.7696470000000003E-2</v>
      </c>
      <c r="J87" s="7">
        <v>9.1157580000000002E-2</v>
      </c>
    </row>
    <row r="88" spans="1:10" ht="42.75" x14ac:dyDescent="0.45">
      <c r="A88" s="48">
        <v>87</v>
      </c>
      <c r="B88" s="6" t="s">
        <v>116</v>
      </c>
      <c r="C88" s="7" t="s">
        <v>93</v>
      </c>
      <c r="D88" s="7" t="s">
        <v>41</v>
      </c>
      <c r="E88" s="7" t="s">
        <v>98</v>
      </c>
      <c r="F88" s="6" t="s">
        <v>99</v>
      </c>
      <c r="G88" s="7">
        <v>4.9424914800000002</v>
      </c>
      <c r="H88" s="7">
        <v>4.6062284599999996</v>
      </c>
      <c r="I88" s="7">
        <v>0.24492955</v>
      </c>
      <c r="J88" s="7">
        <v>9.1333460000000005E-2</v>
      </c>
    </row>
    <row r="89" spans="1:10" ht="42.75" x14ac:dyDescent="0.45">
      <c r="A89" s="48">
        <v>88</v>
      </c>
      <c r="B89" s="6" t="s">
        <v>116</v>
      </c>
      <c r="C89" s="7" t="s">
        <v>93</v>
      </c>
      <c r="D89" s="7" t="s">
        <v>46</v>
      </c>
      <c r="E89" s="7" t="s">
        <v>98</v>
      </c>
      <c r="F89" s="6" t="s">
        <v>99</v>
      </c>
      <c r="G89" s="7">
        <v>4.9143997800000001</v>
      </c>
      <c r="H89" s="7">
        <v>4.6062284599999996</v>
      </c>
      <c r="I89" s="7">
        <v>0.24492955</v>
      </c>
      <c r="J89" s="7">
        <v>6.3241770000000003E-2</v>
      </c>
    </row>
    <row r="90" spans="1:10" ht="42.75" x14ac:dyDescent="0.45">
      <c r="A90" s="48">
        <v>89</v>
      </c>
      <c r="B90" s="6" t="s">
        <v>116</v>
      </c>
      <c r="C90" s="7" t="s">
        <v>93</v>
      </c>
      <c r="D90" s="7" t="s">
        <v>62</v>
      </c>
      <c r="E90" s="7" t="s">
        <v>98</v>
      </c>
      <c r="F90" s="6" t="s">
        <v>99</v>
      </c>
      <c r="G90" s="7">
        <v>5.0733858400000003</v>
      </c>
      <c r="H90" s="7">
        <v>4.7717385700000001</v>
      </c>
      <c r="I90" s="7">
        <v>0.21048969000000001</v>
      </c>
      <c r="J90" s="7">
        <v>9.1157580000000002E-2</v>
      </c>
    </row>
    <row r="91" spans="1:10" x14ac:dyDescent="0.45">
      <c r="B91" s="3"/>
    </row>
    <row r="92" spans="1:10" x14ac:dyDescent="0.45">
      <c r="B92" s="3"/>
    </row>
    <row r="93" spans="1:10" x14ac:dyDescent="0.45">
      <c r="B93" s="3"/>
    </row>
    <row r="94" spans="1:10" x14ac:dyDescent="0.45">
      <c r="B94" s="3"/>
    </row>
    <row r="95" spans="1:10" x14ac:dyDescent="0.45">
      <c r="B95" s="3"/>
    </row>
    <row r="96" spans="1:10" x14ac:dyDescent="0.45">
      <c r="B96" s="3"/>
    </row>
    <row r="97" spans="2:2" x14ac:dyDescent="0.45">
      <c r="B97" s="3"/>
    </row>
    <row r="98" spans="2:2" x14ac:dyDescent="0.45">
      <c r="B98" s="3"/>
    </row>
    <row r="99" spans="2:2" x14ac:dyDescent="0.45">
      <c r="B99" s="3"/>
    </row>
  </sheetData>
  <sortState xmlns:xlrd2="http://schemas.microsoft.com/office/spreadsheetml/2017/richdata2" ref="A2:J90">
    <sortCondition ref="A2:A9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36CA4-69D9-4E02-B6DE-9BBF053249CA}">
  <sheetPr codeName="Sheet5"/>
  <dimension ref="A1:H34"/>
  <sheetViews>
    <sheetView zoomScale="85" zoomScaleNormal="85" workbookViewId="0">
      <selection activeCell="A2" sqref="A2:F14"/>
    </sheetView>
  </sheetViews>
  <sheetFormatPr defaultRowHeight="14.25" x14ac:dyDescent="0.45"/>
  <cols>
    <col min="1" max="1" width="22.59765625" style="4" bestFit="1" customWidth="1"/>
    <col min="2" max="2" width="17.3984375" style="4" bestFit="1" customWidth="1"/>
    <col min="3" max="3" width="14" style="4" bestFit="1" customWidth="1"/>
    <col min="4" max="4" width="13.3984375" style="4" bestFit="1" customWidth="1"/>
    <col min="5" max="5" width="23.265625" style="4" bestFit="1" customWidth="1"/>
    <col min="6" max="6" width="15.1328125" style="4" bestFit="1" customWidth="1"/>
    <col min="7" max="7" width="25.265625" style="4" customWidth="1"/>
    <col min="8" max="8" width="10" bestFit="1" customWidth="1"/>
    <col min="9" max="9" width="13.59765625" bestFit="1" customWidth="1"/>
    <col min="13" max="13" width="12.73046875" customWidth="1"/>
    <col min="14" max="14" width="37" customWidth="1"/>
  </cols>
  <sheetData>
    <row r="1" spans="1:8" ht="27" customHeight="1" x14ac:dyDescent="0.45">
      <c r="A1" s="47" t="s">
        <v>117</v>
      </c>
      <c r="B1" s="47" t="s">
        <v>34</v>
      </c>
      <c r="C1" s="47" t="s">
        <v>35</v>
      </c>
      <c r="D1" s="47" t="s">
        <v>94</v>
      </c>
      <c r="E1" s="47" t="s">
        <v>95</v>
      </c>
      <c r="F1" s="10" t="s">
        <v>118</v>
      </c>
      <c r="G1" s="2"/>
      <c r="H1" s="2"/>
    </row>
    <row r="2" spans="1:8" x14ac:dyDescent="0.45">
      <c r="A2" s="6" t="s">
        <v>20</v>
      </c>
      <c r="B2" s="7" t="s">
        <v>119</v>
      </c>
      <c r="C2" s="7" t="s">
        <v>119</v>
      </c>
      <c r="D2" s="7" t="s">
        <v>98</v>
      </c>
      <c r="E2" s="6" t="s">
        <v>99</v>
      </c>
      <c r="F2" s="7">
        <v>24.41</v>
      </c>
      <c r="G2"/>
    </row>
    <row r="3" spans="1:8" x14ac:dyDescent="0.45">
      <c r="A3" s="6" t="s">
        <v>21</v>
      </c>
      <c r="B3" s="7" t="s">
        <v>119</v>
      </c>
      <c r="C3" s="7" t="s">
        <v>119</v>
      </c>
      <c r="D3" s="7" t="s">
        <v>98</v>
      </c>
      <c r="E3" s="6" t="s">
        <v>99</v>
      </c>
      <c r="F3" s="7">
        <v>16.47</v>
      </c>
      <c r="G3"/>
    </row>
    <row r="4" spans="1:8" x14ac:dyDescent="0.45">
      <c r="A4" s="6" t="s">
        <v>22</v>
      </c>
      <c r="B4" s="7" t="s">
        <v>119</v>
      </c>
      <c r="C4" s="7" t="s">
        <v>119</v>
      </c>
      <c r="D4" s="7" t="s">
        <v>98</v>
      </c>
      <c r="E4" s="6" t="s">
        <v>99</v>
      </c>
      <c r="F4" s="7">
        <v>12.77</v>
      </c>
      <c r="G4"/>
    </row>
    <row r="5" spans="1:8" x14ac:dyDescent="0.45">
      <c r="A5" s="6" t="s">
        <v>23</v>
      </c>
      <c r="B5" s="7" t="s">
        <v>119</v>
      </c>
      <c r="C5" s="7" t="s">
        <v>119</v>
      </c>
      <c r="D5" s="7" t="s">
        <v>98</v>
      </c>
      <c r="E5" s="6" t="s">
        <v>99</v>
      </c>
      <c r="F5" s="7">
        <v>3.54</v>
      </c>
      <c r="G5"/>
    </row>
    <row r="6" spans="1:8" x14ac:dyDescent="0.45">
      <c r="A6" s="6" t="s">
        <v>24</v>
      </c>
      <c r="B6" s="7" t="s">
        <v>119</v>
      </c>
      <c r="C6" s="7" t="s">
        <v>119</v>
      </c>
      <c r="D6" s="7" t="s">
        <v>98</v>
      </c>
      <c r="E6" s="6" t="s">
        <v>99</v>
      </c>
      <c r="F6" s="7">
        <v>4.21</v>
      </c>
      <c r="G6"/>
    </row>
    <row r="7" spans="1:8" x14ac:dyDescent="0.45">
      <c r="A7" s="6" t="s">
        <v>25</v>
      </c>
      <c r="B7" s="7" t="s">
        <v>119</v>
      </c>
      <c r="C7" s="7" t="s">
        <v>119</v>
      </c>
      <c r="D7" s="7" t="s">
        <v>98</v>
      </c>
      <c r="E7" s="6" t="s">
        <v>99</v>
      </c>
      <c r="F7" s="7">
        <v>3.08</v>
      </c>
      <c r="G7"/>
    </row>
    <row r="8" spans="1:8" x14ac:dyDescent="0.45">
      <c r="A8" s="6" t="s">
        <v>26</v>
      </c>
      <c r="B8" s="7" t="s">
        <v>119</v>
      </c>
      <c r="C8" s="7" t="s">
        <v>119</v>
      </c>
      <c r="D8" s="7" t="s">
        <v>98</v>
      </c>
      <c r="E8" s="6" t="s">
        <v>99</v>
      </c>
      <c r="F8" s="7">
        <v>6.28</v>
      </c>
      <c r="G8"/>
    </row>
    <row r="9" spans="1:8" ht="28.5" x14ac:dyDescent="0.45">
      <c r="A9" s="6" t="s">
        <v>120</v>
      </c>
      <c r="B9" s="7" t="s">
        <v>119</v>
      </c>
      <c r="C9" s="7" t="s">
        <v>119</v>
      </c>
      <c r="D9" s="7" t="s">
        <v>98</v>
      </c>
      <c r="E9" s="6" t="s">
        <v>99</v>
      </c>
      <c r="F9" s="7">
        <v>5.72</v>
      </c>
      <c r="G9"/>
    </row>
    <row r="10" spans="1:8" x14ac:dyDescent="0.45">
      <c r="A10" s="6" t="s">
        <v>28</v>
      </c>
      <c r="B10" s="7" t="s">
        <v>119</v>
      </c>
      <c r="C10" s="7" t="s">
        <v>119</v>
      </c>
      <c r="D10" s="7" t="s">
        <v>98</v>
      </c>
      <c r="E10" s="6" t="s">
        <v>99</v>
      </c>
      <c r="F10" s="7">
        <v>0.42</v>
      </c>
      <c r="G10"/>
    </row>
    <row r="11" spans="1:8" ht="28.5" x14ac:dyDescent="0.45">
      <c r="A11" s="6" t="s">
        <v>121</v>
      </c>
      <c r="B11" s="7" t="s">
        <v>119</v>
      </c>
      <c r="C11" s="7" t="s">
        <v>119</v>
      </c>
      <c r="D11" s="7" t="s">
        <v>98</v>
      </c>
      <c r="E11" s="6" t="s">
        <v>99</v>
      </c>
      <c r="F11" s="7">
        <v>0.4</v>
      </c>
      <c r="G11" s="12"/>
    </row>
    <row r="12" spans="1:8" ht="28.5" x14ac:dyDescent="0.45">
      <c r="A12" s="6" t="s">
        <v>122</v>
      </c>
      <c r="B12" s="7" t="s">
        <v>119</v>
      </c>
      <c r="C12" s="7" t="s">
        <v>119</v>
      </c>
      <c r="D12" s="7" t="s">
        <v>98</v>
      </c>
      <c r="E12" s="6" t="s">
        <v>99</v>
      </c>
      <c r="F12" s="7">
        <v>0.82</v>
      </c>
      <c r="G12" s="11"/>
    </row>
    <row r="13" spans="1:8" x14ac:dyDescent="0.45">
      <c r="A13" s="6" t="s">
        <v>31</v>
      </c>
      <c r="B13" s="7" t="s">
        <v>119</v>
      </c>
      <c r="C13" s="7" t="s">
        <v>119</v>
      </c>
      <c r="D13" s="7" t="s">
        <v>98</v>
      </c>
      <c r="E13" s="6" t="s">
        <v>99</v>
      </c>
      <c r="F13" s="7">
        <v>2.57</v>
      </c>
      <c r="G13"/>
    </row>
    <row r="14" spans="1:8" x14ac:dyDescent="0.45">
      <c r="A14" s="6" t="s">
        <v>32</v>
      </c>
      <c r="B14" s="7" t="s">
        <v>119</v>
      </c>
      <c r="C14" s="7" t="s">
        <v>119</v>
      </c>
      <c r="D14" s="7" t="s">
        <v>98</v>
      </c>
      <c r="E14" s="6" t="s">
        <v>99</v>
      </c>
      <c r="F14" s="7">
        <v>0.72</v>
      </c>
      <c r="G14"/>
    </row>
    <row r="20" spans="1:2" ht="57" x14ac:dyDescent="0.45">
      <c r="A20"/>
      <c r="B20" s="46" t="s">
        <v>123</v>
      </c>
    </row>
    <row r="21" spans="1:2" x14ac:dyDescent="0.45">
      <c r="A21" s="58" t="s">
        <v>124</v>
      </c>
      <c r="B21" s="7">
        <v>80</v>
      </c>
    </row>
    <row r="22" spans="1:2" x14ac:dyDescent="0.45">
      <c r="A22" s="58" t="s">
        <v>28</v>
      </c>
      <c r="B22" s="7">
        <v>72</v>
      </c>
    </row>
    <row r="23" spans="1:2" x14ac:dyDescent="0.45">
      <c r="A23" s="58" t="s">
        <v>31</v>
      </c>
      <c r="B23" s="7">
        <v>45</v>
      </c>
    </row>
    <row r="24" spans="1:2" x14ac:dyDescent="0.45">
      <c r="A24" s="58" t="s">
        <v>32</v>
      </c>
      <c r="B24" s="7">
        <v>46</v>
      </c>
    </row>
    <row r="25" spans="1:2" x14ac:dyDescent="0.45">
      <c r="A25" s="58" t="s">
        <v>23</v>
      </c>
      <c r="B25" s="7">
        <v>34</v>
      </c>
    </row>
    <row r="26" spans="1:2" x14ac:dyDescent="0.45">
      <c r="A26" s="58" t="s">
        <v>22</v>
      </c>
      <c r="B26" s="7">
        <v>22</v>
      </c>
    </row>
    <row r="27" spans="1:2" x14ac:dyDescent="0.45">
      <c r="A27" s="58" t="s">
        <v>25</v>
      </c>
      <c r="B27" s="7">
        <v>22</v>
      </c>
    </row>
    <row r="28" spans="1:2" x14ac:dyDescent="0.45">
      <c r="A28" s="58" t="s">
        <v>125</v>
      </c>
      <c r="B28" s="7">
        <v>16</v>
      </c>
    </row>
    <row r="29" spans="1:2" x14ac:dyDescent="0.45">
      <c r="A29" s="58" t="s">
        <v>26</v>
      </c>
      <c r="B29" s="7">
        <v>15</v>
      </c>
    </row>
    <row r="30" spans="1:2" x14ac:dyDescent="0.45">
      <c r="A30" s="58" t="s">
        <v>27</v>
      </c>
      <c r="B30" s="7">
        <v>6</v>
      </c>
    </row>
    <row r="31" spans="1:2" x14ac:dyDescent="0.45">
      <c r="A31" s="58" t="s">
        <v>20</v>
      </c>
      <c r="B31" s="7">
        <v>3</v>
      </c>
    </row>
    <row r="32" spans="1:2" x14ac:dyDescent="0.45">
      <c r="A32" s="58" t="s">
        <v>24</v>
      </c>
      <c r="B32" s="7">
        <v>2</v>
      </c>
    </row>
    <row r="33" spans="1:2" x14ac:dyDescent="0.45">
      <c r="A33" s="58" t="s">
        <v>21</v>
      </c>
      <c r="B33" s="7">
        <v>2</v>
      </c>
    </row>
    <row r="34" spans="1:2" x14ac:dyDescent="0.45">
      <c r="A34"/>
      <c r="B3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75E49-B0EA-45E8-825F-2331FA3072BD}">
  <sheetPr codeName="Sheet6"/>
  <dimension ref="A1:F17"/>
  <sheetViews>
    <sheetView zoomScale="85" zoomScaleNormal="85" workbookViewId="0">
      <selection activeCell="C19" sqref="C19"/>
    </sheetView>
  </sheetViews>
  <sheetFormatPr defaultRowHeight="14.25" x14ac:dyDescent="0.45"/>
  <cols>
    <col min="1" max="1" width="30.265625" style="4" bestFit="1" customWidth="1"/>
    <col min="2" max="2" width="40" style="4" customWidth="1"/>
    <col min="3" max="3" width="40" customWidth="1"/>
  </cols>
  <sheetData>
    <row r="1" spans="1:6" ht="28.5" x14ac:dyDescent="0.45">
      <c r="B1" s="46" t="s">
        <v>123</v>
      </c>
      <c r="C1" s="45" t="s">
        <v>126</v>
      </c>
      <c r="F1" s="1"/>
    </row>
    <row r="2" spans="1:6" x14ac:dyDescent="0.45">
      <c r="A2" s="58" t="s">
        <v>124</v>
      </c>
      <c r="B2" s="7">
        <v>80</v>
      </c>
      <c r="C2" s="13">
        <f>B2/$B$15</f>
        <v>0.21917808219178081</v>
      </c>
    </row>
    <row r="3" spans="1:6" x14ac:dyDescent="0.45">
      <c r="A3" s="58" t="s">
        <v>28</v>
      </c>
      <c r="B3" s="7">
        <v>72</v>
      </c>
      <c r="C3" s="13">
        <f t="shared" ref="C3:C14" si="0">B3/$B$15</f>
        <v>0.19726027397260273</v>
      </c>
    </row>
    <row r="4" spans="1:6" x14ac:dyDescent="0.45">
      <c r="A4" s="58" t="s">
        <v>31</v>
      </c>
      <c r="B4" s="7">
        <v>45</v>
      </c>
      <c r="C4" s="13">
        <f t="shared" si="0"/>
        <v>0.12328767123287671</v>
      </c>
    </row>
    <row r="5" spans="1:6" x14ac:dyDescent="0.45">
      <c r="A5" s="58" t="s">
        <v>32</v>
      </c>
      <c r="B5" s="7">
        <v>46</v>
      </c>
      <c r="C5" s="13">
        <f t="shared" si="0"/>
        <v>0.12602739726027398</v>
      </c>
    </row>
    <row r="6" spans="1:6" x14ac:dyDescent="0.45">
      <c r="A6" s="58" t="s">
        <v>23</v>
      </c>
      <c r="B6" s="7">
        <v>34</v>
      </c>
      <c r="C6" s="13">
        <f t="shared" si="0"/>
        <v>9.3150684931506855E-2</v>
      </c>
    </row>
    <row r="7" spans="1:6" x14ac:dyDescent="0.45">
      <c r="A7" s="58" t="s">
        <v>22</v>
      </c>
      <c r="B7" s="7">
        <v>22</v>
      </c>
      <c r="C7" s="13">
        <f t="shared" si="0"/>
        <v>6.0273972602739728E-2</v>
      </c>
    </row>
    <row r="8" spans="1:6" x14ac:dyDescent="0.45">
      <c r="A8" s="58" t="s">
        <v>25</v>
      </c>
      <c r="B8" s="7">
        <v>22</v>
      </c>
      <c r="C8" s="13">
        <f t="shared" si="0"/>
        <v>6.0273972602739728E-2</v>
      </c>
    </row>
    <row r="9" spans="1:6" x14ac:dyDescent="0.45">
      <c r="A9" s="58" t="s">
        <v>125</v>
      </c>
      <c r="B9" s="7">
        <v>16</v>
      </c>
      <c r="C9" s="13">
        <f t="shared" si="0"/>
        <v>4.3835616438356165E-2</v>
      </c>
    </row>
    <row r="10" spans="1:6" x14ac:dyDescent="0.45">
      <c r="A10" s="58" t="s">
        <v>26</v>
      </c>
      <c r="B10" s="7">
        <v>15</v>
      </c>
      <c r="C10" s="13">
        <f t="shared" si="0"/>
        <v>4.1095890410958902E-2</v>
      </c>
    </row>
    <row r="11" spans="1:6" x14ac:dyDescent="0.45">
      <c r="A11" s="58" t="s">
        <v>27</v>
      </c>
      <c r="B11" s="7">
        <v>6</v>
      </c>
      <c r="C11" s="13">
        <f t="shared" si="0"/>
        <v>1.643835616438356E-2</v>
      </c>
    </row>
    <row r="12" spans="1:6" x14ac:dyDescent="0.45">
      <c r="A12" s="58" t="s">
        <v>20</v>
      </c>
      <c r="B12" s="7">
        <v>3</v>
      </c>
      <c r="C12" s="13">
        <f t="shared" si="0"/>
        <v>8.21917808219178E-3</v>
      </c>
    </row>
    <row r="13" spans="1:6" x14ac:dyDescent="0.45">
      <c r="A13" s="58" t="s">
        <v>24</v>
      </c>
      <c r="B13" s="7">
        <v>2</v>
      </c>
      <c r="C13" s="13">
        <f t="shared" si="0"/>
        <v>5.4794520547945206E-3</v>
      </c>
    </row>
    <row r="14" spans="1:6" x14ac:dyDescent="0.45">
      <c r="A14" s="58" t="s">
        <v>21</v>
      </c>
      <c r="B14" s="7">
        <v>2</v>
      </c>
      <c r="C14" s="13">
        <f t="shared" si="0"/>
        <v>5.4794520547945206E-3</v>
      </c>
    </row>
    <row r="15" spans="1:6" ht="28.5" x14ac:dyDescent="0.45">
      <c r="A15" s="44" t="s">
        <v>127</v>
      </c>
      <c r="B15" s="10">
        <f>SUM(B2:B14)</f>
        <v>365</v>
      </c>
    </row>
    <row r="16" spans="1:6" x14ac:dyDescent="0.45">
      <c r="A16" s="40"/>
      <c r="B16" s="41"/>
    </row>
    <row r="17" spans="1:2" x14ac:dyDescent="0.45">
      <c r="A17" s="42"/>
      <c r="B17" s="4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F178-2494-4EDC-B54B-729BBC57FC09}">
  <sheetPr codeName="Sheet11">
    <tabColor theme="0"/>
  </sheetPr>
  <dimension ref="A1:M99"/>
  <sheetViews>
    <sheetView showGridLines="0" zoomScale="85" zoomScaleNormal="85" workbookViewId="0">
      <selection activeCell="E63" sqref="E63"/>
    </sheetView>
  </sheetViews>
  <sheetFormatPr defaultRowHeight="14.25" x14ac:dyDescent="0.45"/>
  <cols>
    <col min="1" max="1" width="5.1328125" style="4" bestFit="1" customWidth="1"/>
    <col min="2" max="2" width="15.265625" style="4" bestFit="1" customWidth="1"/>
    <col min="3" max="3" width="16.86328125" style="4" bestFit="1" customWidth="1"/>
    <col min="4" max="4" width="29.86328125" style="4" bestFit="1" customWidth="1"/>
    <col min="5" max="8" width="18.59765625" style="4" customWidth="1"/>
    <col min="9" max="10" width="18.59765625" customWidth="1"/>
    <col min="11" max="11" width="16.59765625" customWidth="1"/>
  </cols>
  <sheetData>
    <row r="1" spans="1:13" s="1" customFormat="1" ht="43.5" customHeight="1" x14ac:dyDescent="0.45">
      <c r="A1" s="47" t="s">
        <v>33</v>
      </c>
      <c r="B1" s="47" t="s">
        <v>15</v>
      </c>
      <c r="C1" s="47" t="s">
        <v>34</v>
      </c>
      <c r="D1" s="47" t="s">
        <v>35</v>
      </c>
      <c r="E1" s="132" t="s">
        <v>128</v>
      </c>
      <c r="F1" s="132" t="s">
        <v>129</v>
      </c>
      <c r="G1" s="132" t="s">
        <v>130</v>
      </c>
      <c r="H1" s="132" t="s">
        <v>131</v>
      </c>
      <c r="I1" s="90" t="s">
        <v>132</v>
      </c>
      <c r="J1" s="90" t="s">
        <v>133</v>
      </c>
      <c r="K1" s="216" t="s">
        <v>134</v>
      </c>
      <c r="L1" s="217"/>
    </row>
    <row r="2" spans="1:13" x14ac:dyDescent="0.45">
      <c r="A2" s="48">
        <v>1</v>
      </c>
      <c r="B2" s="52" t="s">
        <v>23</v>
      </c>
      <c r="C2" s="53" t="s">
        <v>40</v>
      </c>
      <c r="D2" s="52" t="s">
        <v>41</v>
      </c>
      <c r="E2" s="53">
        <f>SUM(F2:H2)</f>
        <v>3.3803679999999998</v>
      </c>
      <c r="F2" s="53">
        <v>2.995031</v>
      </c>
      <c r="G2" s="53">
        <v>0.38144</v>
      </c>
      <c r="H2" s="53">
        <v>3.8969999999999999E-3</v>
      </c>
      <c r="I2" s="89">
        <v>0.36</v>
      </c>
      <c r="J2" s="89">
        <f>I2/SUM($I$2:$I$4)</f>
        <v>0.4337349397590361</v>
      </c>
      <c r="K2" s="216"/>
      <c r="L2" s="217"/>
    </row>
    <row r="3" spans="1:13" x14ac:dyDescent="0.45">
      <c r="A3" s="48">
        <v>2</v>
      </c>
      <c r="B3" s="52" t="s">
        <v>23</v>
      </c>
      <c r="C3" s="53" t="s">
        <v>42</v>
      </c>
      <c r="D3" s="53" t="s">
        <v>41</v>
      </c>
      <c r="E3" s="53">
        <f t="shared" ref="E3:E66" si="0">SUM(F3:H3)</f>
        <v>3.7630210000000002</v>
      </c>
      <c r="F3" s="53">
        <v>2.9989279999999998</v>
      </c>
      <c r="G3" s="53">
        <v>0.76137900000000003</v>
      </c>
      <c r="H3" s="53">
        <v>2.7139999999999998E-3</v>
      </c>
      <c r="I3" s="89">
        <v>0.01</v>
      </c>
      <c r="J3" s="89">
        <f>I3/SUM($I$2:$I$4)</f>
        <v>1.2048192771084336E-2</v>
      </c>
      <c r="K3" s="216"/>
      <c r="L3" s="217"/>
    </row>
    <row r="4" spans="1:13" x14ac:dyDescent="0.45">
      <c r="A4" s="48">
        <v>3</v>
      </c>
      <c r="B4" s="52" t="s">
        <v>23</v>
      </c>
      <c r="C4" s="53" t="s">
        <v>42</v>
      </c>
      <c r="D4" s="53" t="s">
        <v>43</v>
      </c>
      <c r="E4" s="53">
        <f t="shared" si="0"/>
        <v>3.6325800000000004</v>
      </c>
      <c r="F4" s="53">
        <v>2.5277020000000001</v>
      </c>
      <c r="G4" s="53">
        <v>0.68049199999999999</v>
      </c>
      <c r="H4" s="53">
        <v>0.42438599999999999</v>
      </c>
      <c r="I4" s="89">
        <v>0.46</v>
      </c>
      <c r="J4" s="89">
        <f>I4/SUM($I$2:$I$4)</f>
        <v>0.55421686746987953</v>
      </c>
      <c r="K4" s="216"/>
      <c r="L4" s="217"/>
    </row>
    <row r="5" spans="1:13" x14ac:dyDescent="0.45">
      <c r="A5" s="48">
        <v>4</v>
      </c>
      <c r="B5" s="54" t="s">
        <v>24</v>
      </c>
      <c r="C5" s="55" t="s">
        <v>40</v>
      </c>
      <c r="D5" s="54" t="s">
        <v>41</v>
      </c>
      <c r="E5" s="55">
        <f t="shared" si="0"/>
        <v>4.1421920000000005</v>
      </c>
      <c r="F5" s="55">
        <v>3.812459</v>
      </c>
      <c r="G5" s="55">
        <v>0.32567699999999999</v>
      </c>
      <c r="H5" s="55">
        <v>4.0559999999999997E-3</v>
      </c>
      <c r="I5" s="88">
        <v>0.34</v>
      </c>
      <c r="J5" s="88">
        <f>I5/SUM($I$5:$I$6)</f>
        <v>0.36170212765957449</v>
      </c>
    </row>
    <row r="6" spans="1:13" x14ac:dyDescent="0.45">
      <c r="A6" s="48">
        <v>5</v>
      </c>
      <c r="B6" s="54" t="s">
        <v>24</v>
      </c>
      <c r="C6" s="55" t="s">
        <v>42</v>
      </c>
      <c r="D6" s="54" t="s">
        <v>41</v>
      </c>
      <c r="E6" s="55">
        <f t="shared" si="0"/>
        <v>4.2503690000000001</v>
      </c>
      <c r="F6" s="55">
        <v>3.812459</v>
      </c>
      <c r="G6" s="55">
        <v>0.43385400000000002</v>
      </c>
      <c r="H6" s="55">
        <v>4.0559999999999997E-3</v>
      </c>
      <c r="I6" s="88">
        <v>0.6</v>
      </c>
      <c r="J6" s="88">
        <f>I6/SUM($I$5:$I$6)</f>
        <v>0.63829787234042556</v>
      </c>
    </row>
    <row r="7" spans="1:13" x14ac:dyDescent="0.45">
      <c r="A7" s="48">
        <v>6</v>
      </c>
      <c r="B7" s="52" t="s">
        <v>21</v>
      </c>
      <c r="C7" s="53" t="s">
        <v>44</v>
      </c>
      <c r="D7" s="53" t="s">
        <v>45</v>
      </c>
      <c r="E7" s="53">
        <f t="shared" si="0"/>
        <v>21.220103999999999</v>
      </c>
      <c r="F7" s="53">
        <v>13.19894</v>
      </c>
      <c r="G7" s="53">
        <v>0.90092099999999997</v>
      </c>
      <c r="H7" s="53">
        <v>7.1202430000000003</v>
      </c>
      <c r="I7" s="89">
        <v>0.3</v>
      </c>
      <c r="J7" s="89">
        <f>I7/SUM($I$7:$I$8)</f>
        <v>0.3</v>
      </c>
    </row>
    <row r="8" spans="1:13" x14ac:dyDescent="0.45">
      <c r="A8" s="48">
        <v>7</v>
      </c>
      <c r="B8" s="52" t="s">
        <v>21</v>
      </c>
      <c r="C8" s="53" t="s">
        <v>42</v>
      </c>
      <c r="D8" s="53" t="s">
        <v>45</v>
      </c>
      <c r="E8" s="53">
        <f t="shared" si="0"/>
        <v>14.342961000000001</v>
      </c>
      <c r="F8" s="53">
        <v>13.19894</v>
      </c>
      <c r="G8" s="53">
        <v>0.96768900000000002</v>
      </c>
      <c r="H8" s="53">
        <v>0.17633199999999999</v>
      </c>
      <c r="I8" s="89">
        <v>0.7</v>
      </c>
      <c r="J8" s="89">
        <f>I8/SUM($I$7:$I$8)</f>
        <v>0.7</v>
      </c>
    </row>
    <row r="9" spans="1:13" x14ac:dyDescent="0.45">
      <c r="A9" s="48">
        <v>8</v>
      </c>
      <c r="B9" s="54" t="s">
        <v>22</v>
      </c>
      <c r="C9" s="55" t="s">
        <v>40</v>
      </c>
      <c r="D9" s="54" t="s">
        <v>46</v>
      </c>
      <c r="E9" s="55">
        <f t="shared" si="0"/>
        <v>9.0093472999999999</v>
      </c>
      <c r="F9" s="55">
        <v>7.22039819</v>
      </c>
      <c r="G9" s="55">
        <v>1.7484542000000001</v>
      </c>
      <c r="H9" s="55">
        <v>4.0494910000000002E-2</v>
      </c>
      <c r="I9" s="88">
        <v>0.17</v>
      </c>
      <c r="J9" s="88">
        <f t="shared" ref="J9:J15" si="1">I9/SUM($I$9:$I$15)</f>
        <v>0.20987654320987653</v>
      </c>
      <c r="M9" s="80"/>
    </row>
    <row r="10" spans="1:13" x14ac:dyDescent="0.45">
      <c r="A10" s="48">
        <v>9</v>
      </c>
      <c r="B10" s="54" t="s">
        <v>22</v>
      </c>
      <c r="C10" s="55" t="s">
        <v>44</v>
      </c>
      <c r="D10" s="55" t="s">
        <v>43</v>
      </c>
      <c r="E10" s="55">
        <f t="shared" si="0"/>
        <v>26.974032749999999</v>
      </c>
      <c r="F10" s="55">
        <v>7.2956225999999997</v>
      </c>
      <c r="G10" s="55">
        <v>0.81951735000000003</v>
      </c>
      <c r="H10" s="55">
        <v>18.8588928</v>
      </c>
      <c r="I10" s="88">
        <v>0.1</v>
      </c>
      <c r="J10" s="88">
        <f t="shared" si="1"/>
        <v>0.12345679012345678</v>
      </c>
    </row>
    <row r="11" spans="1:13" x14ac:dyDescent="0.45">
      <c r="A11" s="48">
        <v>10</v>
      </c>
      <c r="B11" s="54" t="s">
        <v>22</v>
      </c>
      <c r="C11" s="55" t="s">
        <v>44</v>
      </c>
      <c r="D11" s="55" t="s">
        <v>45</v>
      </c>
      <c r="E11" s="55">
        <f t="shared" si="0"/>
        <v>18.329881700000001</v>
      </c>
      <c r="F11" s="55">
        <v>7.1395445799999999</v>
      </c>
      <c r="G11" s="55">
        <v>4.0700936900000002</v>
      </c>
      <c r="H11" s="55">
        <v>7.1202434300000004</v>
      </c>
      <c r="I11" s="88">
        <v>0.04</v>
      </c>
      <c r="J11" s="88">
        <f t="shared" si="1"/>
        <v>4.9382716049382713E-2</v>
      </c>
    </row>
    <row r="12" spans="1:13" x14ac:dyDescent="0.45">
      <c r="A12" s="48">
        <v>11</v>
      </c>
      <c r="B12" s="54" t="s">
        <v>22</v>
      </c>
      <c r="C12" s="55" t="s">
        <v>42</v>
      </c>
      <c r="D12" s="55" t="s">
        <v>43</v>
      </c>
      <c r="E12" s="55">
        <f t="shared" si="0"/>
        <v>8.5660037500000001</v>
      </c>
      <c r="F12" s="55">
        <v>7.2956225999999997</v>
      </c>
      <c r="G12" s="55">
        <v>0.84836555000000002</v>
      </c>
      <c r="H12" s="55">
        <v>0.42201559999999999</v>
      </c>
      <c r="I12" s="88">
        <v>0.24</v>
      </c>
      <c r="J12" s="88">
        <f t="shared" si="1"/>
        <v>0.29629629629629628</v>
      </c>
    </row>
    <row r="13" spans="1:13" x14ac:dyDescent="0.45">
      <c r="A13" s="48">
        <v>12</v>
      </c>
      <c r="B13" s="54" t="s">
        <v>22</v>
      </c>
      <c r="C13" s="55" t="s">
        <v>42</v>
      </c>
      <c r="D13" s="55" t="s">
        <v>45</v>
      </c>
      <c r="E13" s="55">
        <f t="shared" si="0"/>
        <v>11.482704629999999</v>
      </c>
      <c r="F13" s="55">
        <v>7.1395445799999999</v>
      </c>
      <c r="G13" s="55">
        <v>4.1668280099999997</v>
      </c>
      <c r="H13" s="55">
        <v>0.17633204</v>
      </c>
      <c r="I13" s="88">
        <v>0.08</v>
      </c>
      <c r="J13" s="88">
        <f t="shared" si="1"/>
        <v>9.8765432098765427E-2</v>
      </c>
    </row>
    <row r="14" spans="1:13" x14ac:dyDescent="0.45">
      <c r="A14" s="48">
        <v>13</v>
      </c>
      <c r="B14" s="54" t="s">
        <v>22</v>
      </c>
      <c r="C14" s="55" t="s">
        <v>42</v>
      </c>
      <c r="D14" s="55" t="s">
        <v>47</v>
      </c>
      <c r="E14" s="55">
        <f t="shared" si="0"/>
        <v>9.8110231499999987</v>
      </c>
      <c r="F14" s="55">
        <v>7.0857764300000001</v>
      </c>
      <c r="G14" s="55">
        <v>2.3632220799999999</v>
      </c>
      <c r="H14" s="55">
        <v>0.36202464000000001</v>
      </c>
      <c r="I14" s="88">
        <v>0.12</v>
      </c>
      <c r="J14" s="88">
        <f t="shared" si="1"/>
        <v>0.14814814814814814</v>
      </c>
    </row>
    <row r="15" spans="1:13" x14ac:dyDescent="0.45">
      <c r="A15" s="48">
        <v>14</v>
      </c>
      <c r="B15" s="54" t="s">
        <v>22</v>
      </c>
      <c r="C15" s="55" t="s">
        <v>42</v>
      </c>
      <c r="D15" s="55" t="s">
        <v>48</v>
      </c>
      <c r="E15" s="55">
        <f t="shared" si="0"/>
        <v>9.3633567899999992</v>
      </c>
      <c r="F15" s="55">
        <v>7.2956225999999997</v>
      </c>
      <c r="G15" s="55">
        <v>1.77765705</v>
      </c>
      <c r="H15" s="55">
        <v>0.29007714000000001</v>
      </c>
      <c r="I15" s="88">
        <v>0.06</v>
      </c>
      <c r="J15" s="88">
        <f t="shared" si="1"/>
        <v>7.407407407407407E-2</v>
      </c>
    </row>
    <row r="16" spans="1:13" x14ac:dyDescent="0.45">
      <c r="A16" s="48">
        <v>15</v>
      </c>
      <c r="B16" s="52" t="s">
        <v>20</v>
      </c>
      <c r="C16" s="53" t="s">
        <v>44</v>
      </c>
      <c r="D16" s="53" t="s">
        <v>43</v>
      </c>
      <c r="E16" s="53">
        <f t="shared" si="0"/>
        <v>38.387225999999998</v>
      </c>
      <c r="F16" s="53">
        <v>18.833870000000001</v>
      </c>
      <c r="G16" s="53">
        <v>0.69446600000000003</v>
      </c>
      <c r="H16" s="53">
        <v>18.858889999999999</v>
      </c>
      <c r="I16" s="89">
        <v>0.16</v>
      </c>
      <c r="J16" s="89">
        <f t="shared" ref="J16:J21" si="2">I16/SUM($I$16:$I$21)</f>
        <v>0.17582417582417581</v>
      </c>
      <c r="K16" s="4"/>
      <c r="L16" s="4"/>
    </row>
    <row r="17" spans="1:12" x14ac:dyDescent="0.45">
      <c r="A17" s="48">
        <v>16</v>
      </c>
      <c r="B17" s="52" t="s">
        <v>20</v>
      </c>
      <c r="C17" s="53" t="s">
        <v>44</v>
      </c>
      <c r="D17" s="53" t="s">
        <v>45</v>
      </c>
      <c r="E17" s="53">
        <f t="shared" si="0"/>
        <v>27.496814999999998</v>
      </c>
      <c r="F17" s="53">
        <v>18.857240000000001</v>
      </c>
      <c r="G17" s="53">
        <v>1.5193319999999999</v>
      </c>
      <c r="H17" s="53">
        <v>7.1202430000000003</v>
      </c>
      <c r="I17" s="89">
        <v>0.08</v>
      </c>
      <c r="J17" s="89">
        <f t="shared" si="2"/>
        <v>8.7912087912087905E-2</v>
      </c>
      <c r="K17" s="4"/>
      <c r="L17" s="4"/>
    </row>
    <row r="18" spans="1:12" x14ac:dyDescent="0.45">
      <c r="A18" s="48">
        <v>17</v>
      </c>
      <c r="B18" s="52" t="s">
        <v>20</v>
      </c>
      <c r="C18" s="53" t="s">
        <v>44</v>
      </c>
      <c r="D18" s="53" t="s">
        <v>49</v>
      </c>
      <c r="E18" s="53">
        <f t="shared" si="0"/>
        <v>29.290783999999999</v>
      </c>
      <c r="F18" s="53">
        <v>18.760680000000001</v>
      </c>
      <c r="G18" s="53">
        <v>0.63292700000000002</v>
      </c>
      <c r="H18" s="53">
        <v>9.8971769999999992</v>
      </c>
      <c r="I18" s="89">
        <v>0.03</v>
      </c>
      <c r="J18" s="89">
        <f t="shared" si="2"/>
        <v>3.2967032967032968E-2</v>
      </c>
    </row>
    <row r="19" spans="1:12" x14ac:dyDescent="0.45">
      <c r="A19" s="48">
        <v>18</v>
      </c>
      <c r="B19" s="52" t="s">
        <v>20</v>
      </c>
      <c r="C19" s="53" t="s">
        <v>42</v>
      </c>
      <c r="D19" s="53" t="s">
        <v>43</v>
      </c>
      <c r="E19" s="53">
        <f t="shared" si="0"/>
        <v>19.969895000000001</v>
      </c>
      <c r="F19" s="53">
        <v>18.833870000000001</v>
      </c>
      <c r="G19" s="53">
        <v>0.714009</v>
      </c>
      <c r="H19" s="53">
        <v>0.422016</v>
      </c>
      <c r="I19" s="89">
        <v>0.36</v>
      </c>
      <c r="J19" s="89">
        <f t="shared" si="2"/>
        <v>0.39560439560439559</v>
      </c>
    </row>
    <row r="20" spans="1:12" x14ac:dyDescent="0.45">
      <c r="A20" s="48">
        <v>19</v>
      </c>
      <c r="B20" s="52" t="s">
        <v>20</v>
      </c>
      <c r="C20" s="53" t="s">
        <v>42</v>
      </c>
      <c r="D20" s="53" t="s">
        <v>45</v>
      </c>
      <c r="E20" s="53">
        <f t="shared" si="0"/>
        <v>20.619671999999998</v>
      </c>
      <c r="F20" s="53">
        <v>18.857240000000001</v>
      </c>
      <c r="G20" s="53">
        <v>1.5861000000000001</v>
      </c>
      <c r="H20" s="53">
        <v>0.17633199999999999</v>
      </c>
      <c r="I20" s="89">
        <v>0.2</v>
      </c>
      <c r="J20" s="89">
        <f t="shared" si="2"/>
        <v>0.21978021978021978</v>
      </c>
    </row>
    <row r="21" spans="1:12" x14ac:dyDescent="0.45">
      <c r="A21" s="48">
        <v>20</v>
      </c>
      <c r="B21" s="52" t="s">
        <v>20</v>
      </c>
      <c r="C21" s="53" t="s">
        <v>42</v>
      </c>
      <c r="D21" s="53" t="s">
        <v>49</v>
      </c>
      <c r="E21" s="53">
        <f t="shared" si="0"/>
        <v>19.644688000000002</v>
      </c>
      <c r="F21" s="53">
        <v>18.760680000000001</v>
      </c>
      <c r="G21" s="53">
        <v>0.64853400000000005</v>
      </c>
      <c r="H21" s="53">
        <v>0.23547399999999999</v>
      </c>
      <c r="I21" s="89">
        <v>0.08</v>
      </c>
      <c r="J21" s="89">
        <f t="shared" si="2"/>
        <v>8.7912087912087905E-2</v>
      </c>
    </row>
    <row r="22" spans="1:12" x14ac:dyDescent="0.45">
      <c r="A22" s="48">
        <v>21</v>
      </c>
      <c r="B22" s="54" t="s">
        <v>25</v>
      </c>
      <c r="C22" s="55" t="s">
        <v>40</v>
      </c>
      <c r="D22" s="55" t="s">
        <v>41</v>
      </c>
      <c r="E22" s="55">
        <f t="shared" si="0"/>
        <v>3.1084899999999998</v>
      </c>
      <c r="F22" s="55">
        <v>3.0457689999999999</v>
      </c>
      <c r="G22" s="55">
        <v>5.5363000000000002E-2</v>
      </c>
      <c r="H22" s="55">
        <v>7.358E-3</v>
      </c>
      <c r="I22" s="88">
        <v>0.81</v>
      </c>
      <c r="J22" s="88">
        <f>I22/SUM($I$22:$I$23)</f>
        <v>0.81</v>
      </c>
    </row>
    <row r="23" spans="1:12" x14ac:dyDescent="0.45">
      <c r="A23" s="48">
        <v>22</v>
      </c>
      <c r="B23" s="54" t="s">
        <v>25</v>
      </c>
      <c r="C23" s="55" t="s">
        <v>40</v>
      </c>
      <c r="D23" s="55" t="s">
        <v>50</v>
      </c>
      <c r="E23" s="55">
        <f t="shared" si="0"/>
        <v>2.9556629999999999</v>
      </c>
      <c r="F23" s="55">
        <v>2.924229</v>
      </c>
      <c r="G23" s="55">
        <v>3.1273000000000002E-2</v>
      </c>
      <c r="H23" s="55">
        <v>1.6100000000000001E-4</v>
      </c>
      <c r="I23" s="88">
        <v>0.19</v>
      </c>
      <c r="J23" s="88">
        <f>I23/SUM($I$22:$I$23)</f>
        <v>0.19</v>
      </c>
    </row>
    <row r="24" spans="1:12" x14ac:dyDescent="0.45">
      <c r="A24" s="48">
        <v>23</v>
      </c>
      <c r="B24" s="52" t="s">
        <v>28</v>
      </c>
      <c r="C24" s="53" t="s">
        <v>51</v>
      </c>
      <c r="D24" s="53" t="s">
        <v>41</v>
      </c>
      <c r="E24" s="53">
        <f t="shared" si="0"/>
        <v>0.38261500000000004</v>
      </c>
      <c r="F24" s="53">
        <v>0.19164700000000001</v>
      </c>
      <c r="G24" s="53">
        <v>0.10198699999999999</v>
      </c>
      <c r="H24" s="53">
        <v>8.8981000000000005E-2</v>
      </c>
      <c r="I24" s="89">
        <v>0.41</v>
      </c>
      <c r="J24" s="89">
        <f t="shared" ref="J24:J32" si="3">I24/SUM($I$24:$I$32)</f>
        <v>9.0308370044052858E-2</v>
      </c>
    </row>
    <row r="25" spans="1:12" x14ac:dyDescent="0.45">
      <c r="A25" s="48">
        <v>24</v>
      </c>
      <c r="B25" s="52" t="s">
        <v>28</v>
      </c>
      <c r="C25" s="53" t="s">
        <v>51</v>
      </c>
      <c r="D25" s="53" t="s">
        <v>52</v>
      </c>
      <c r="E25" s="53">
        <f t="shared" si="0"/>
        <v>0.39091900000000002</v>
      </c>
      <c r="F25" s="53">
        <v>0.199766</v>
      </c>
      <c r="G25" s="53">
        <v>0.10198699999999999</v>
      </c>
      <c r="H25" s="53">
        <v>8.9165999999999995E-2</v>
      </c>
      <c r="I25" s="89">
        <v>0.42</v>
      </c>
      <c r="J25" s="89">
        <f t="shared" si="3"/>
        <v>9.2511013215859028E-2</v>
      </c>
    </row>
    <row r="26" spans="1:12" x14ac:dyDescent="0.45">
      <c r="A26" s="48">
        <v>25</v>
      </c>
      <c r="B26" s="52" t="s">
        <v>28</v>
      </c>
      <c r="C26" s="53" t="s">
        <v>53</v>
      </c>
      <c r="D26" s="53" t="s">
        <v>41</v>
      </c>
      <c r="E26" s="53">
        <f t="shared" si="0"/>
        <v>0.318382</v>
      </c>
      <c r="F26" s="53">
        <v>0.127414</v>
      </c>
      <c r="G26" s="53">
        <v>0.10198699999999999</v>
      </c>
      <c r="H26" s="53">
        <v>8.8981000000000005E-2</v>
      </c>
      <c r="I26" s="89">
        <v>0.99</v>
      </c>
      <c r="J26" s="89">
        <f t="shared" si="3"/>
        <v>0.21806167400881057</v>
      </c>
    </row>
    <row r="27" spans="1:12" x14ac:dyDescent="0.45">
      <c r="A27" s="48">
        <v>26</v>
      </c>
      <c r="B27" s="52" t="s">
        <v>28</v>
      </c>
      <c r="C27" s="53" t="s">
        <v>54</v>
      </c>
      <c r="D27" s="53" t="s">
        <v>41</v>
      </c>
      <c r="E27" s="53">
        <f t="shared" si="0"/>
        <v>0.33505799999999997</v>
      </c>
      <c r="F27" s="53">
        <v>0.14409</v>
      </c>
      <c r="G27" s="53">
        <v>0.10198699999999999</v>
      </c>
      <c r="H27" s="53">
        <v>8.8981000000000005E-2</v>
      </c>
      <c r="I27" s="89">
        <v>0.97</v>
      </c>
      <c r="J27" s="89">
        <f t="shared" si="3"/>
        <v>0.21365638766519823</v>
      </c>
    </row>
    <row r="28" spans="1:12" x14ac:dyDescent="0.45">
      <c r="A28" s="48">
        <v>27</v>
      </c>
      <c r="B28" s="52" t="s">
        <v>28</v>
      </c>
      <c r="C28" s="53" t="s">
        <v>55</v>
      </c>
      <c r="D28" s="53" t="s">
        <v>41</v>
      </c>
      <c r="E28" s="53">
        <f t="shared" si="0"/>
        <v>0.28408</v>
      </c>
      <c r="F28" s="53">
        <v>9.3112E-2</v>
      </c>
      <c r="G28" s="53">
        <v>0.10198699999999999</v>
      </c>
      <c r="H28" s="53">
        <v>8.8981000000000005E-2</v>
      </c>
      <c r="I28" s="89">
        <v>0.84</v>
      </c>
      <c r="J28" s="89">
        <f t="shared" si="3"/>
        <v>0.18502202643171806</v>
      </c>
    </row>
    <row r="29" spans="1:12" x14ac:dyDescent="0.45">
      <c r="A29" s="48">
        <v>28</v>
      </c>
      <c r="B29" s="52" t="s">
        <v>28</v>
      </c>
      <c r="C29" s="53" t="s">
        <v>56</v>
      </c>
      <c r="D29" s="53" t="s">
        <v>45</v>
      </c>
      <c r="E29" s="53">
        <f t="shared" si="0"/>
        <v>0.50028000000000006</v>
      </c>
      <c r="F29" s="53">
        <v>0.19825000000000001</v>
      </c>
      <c r="G29" s="53">
        <v>9.6673999999999996E-2</v>
      </c>
      <c r="H29" s="53">
        <v>0.20535600000000001</v>
      </c>
      <c r="I29" s="89">
        <v>0.24</v>
      </c>
      <c r="J29" s="89">
        <f t="shared" si="3"/>
        <v>5.2863436123348012E-2</v>
      </c>
    </row>
    <row r="30" spans="1:12" x14ac:dyDescent="0.45">
      <c r="A30" s="48">
        <v>29</v>
      </c>
      <c r="B30" s="52" t="s">
        <v>28</v>
      </c>
      <c r="C30" s="53" t="s">
        <v>56</v>
      </c>
      <c r="D30" s="53" t="s">
        <v>57</v>
      </c>
      <c r="E30" s="53">
        <f t="shared" si="0"/>
        <v>0.99686600000000003</v>
      </c>
      <c r="F30" s="53">
        <v>0.156613</v>
      </c>
      <c r="G30" s="53">
        <v>9.6673999999999996E-2</v>
      </c>
      <c r="H30" s="53">
        <v>0.74357899999999999</v>
      </c>
      <c r="I30" s="89">
        <v>0.31</v>
      </c>
      <c r="J30" s="89">
        <f t="shared" si="3"/>
        <v>6.8281938325991193E-2</v>
      </c>
    </row>
    <row r="31" spans="1:12" x14ac:dyDescent="0.45">
      <c r="A31" s="48">
        <v>30</v>
      </c>
      <c r="B31" s="52" t="s">
        <v>28</v>
      </c>
      <c r="C31" s="53" t="s">
        <v>56</v>
      </c>
      <c r="D31" s="53" t="s">
        <v>58</v>
      </c>
      <c r="E31" s="53">
        <f t="shared" si="0"/>
        <v>0.593862</v>
      </c>
      <c r="F31" s="53">
        <v>0.196074</v>
      </c>
      <c r="G31" s="53">
        <v>0.10198699999999999</v>
      </c>
      <c r="H31" s="53">
        <v>0.29580099999999998</v>
      </c>
      <c r="I31" s="89">
        <v>0.2</v>
      </c>
      <c r="J31" s="89">
        <f t="shared" si="3"/>
        <v>4.405286343612335E-2</v>
      </c>
    </row>
    <row r="32" spans="1:12" x14ac:dyDescent="0.45">
      <c r="A32" s="48">
        <v>31</v>
      </c>
      <c r="B32" s="52" t="s">
        <v>28</v>
      </c>
      <c r="C32" s="53" t="s">
        <v>56</v>
      </c>
      <c r="D32" s="53" t="s">
        <v>59</v>
      </c>
      <c r="E32" s="53">
        <f t="shared" si="0"/>
        <v>0.566272</v>
      </c>
      <c r="F32" s="53">
        <v>0.18069099999999999</v>
      </c>
      <c r="G32" s="53">
        <v>0.10312</v>
      </c>
      <c r="H32" s="53">
        <v>0.28246100000000002</v>
      </c>
      <c r="I32" s="89">
        <v>0.16</v>
      </c>
      <c r="J32" s="89">
        <f t="shared" si="3"/>
        <v>3.5242290748898682E-2</v>
      </c>
    </row>
    <row r="33" spans="1:10" x14ac:dyDescent="0.45">
      <c r="A33" s="48">
        <v>32</v>
      </c>
      <c r="B33" s="54" t="s">
        <v>30</v>
      </c>
      <c r="C33" s="55" t="s">
        <v>60</v>
      </c>
      <c r="D33" s="55" t="s">
        <v>41</v>
      </c>
      <c r="E33" s="55">
        <f t="shared" si="0"/>
        <v>0.59886799999999996</v>
      </c>
      <c r="F33" s="55">
        <v>0.42276799999999998</v>
      </c>
      <c r="G33" s="55">
        <v>0.10198699999999999</v>
      </c>
      <c r="H33" s="55">
        <v>7.4112999999999998E-2</v>
      </c>
      <c r="I33" s="212" t="s">
        <v>135</v>
      </c>
      <c r="J33" s="213"/>
    </row>
    <row r="34" spans="1:10" x14ac:dyDescent="0.45">
      <c r="A34" s="48">
        <v>33</v>
      </c>
      <c r="B34" s="54" t="s">
        <v>30</v>
      </c>
      <c r="C34" s="55" t="s">
        <v>61</v>
      </c>
      <c r="D34" s="55" t="s">
        <v>62</v>
      </c>
      <c r="E34" s="55">
        <f t="shared" si="0"/>
        <v>0.74158500000000005</v>
      </c>
      <c r="F34" s="55">
        <v>0.534582</v>
      </c>
      <c r="G34" s="55">
        <v>0.122128</v>
      </c>
      <c r="H34" s="55">
        <v>8.4875000000000006E-2</v>
      </c>
      <c r="I34" s="213"/>
      <c r="J34" s="213"/>
    </row>
    <row r="35" spans="1:10" x14ac:dyDescent="0.45">
      <c r="A35" s="48">
        <v>34</v>
      </c>
      <c r="B35" s="54" t="s">
        <v>30</v>
      </c>
      <c r="C35" s="55" t="s">
        <v>61</v>
      </c>
      <c r="D35" s="55" t="s">
        <v>46</v>
      </c>
      <c r="E35" s="55">
        <f t="shared" si="0"/>
        <v>0.75385499999999994</v>
      </c>
      <c r="F35" s="55">
        <v>0.57922600000000002</v>
      </c>
      <c r="G35" s="55">
        <v>0.12615599999999999</v>
      </c>
      <c r="H35" s="55">
        <v>4.8473000000000002E-2</v>
      </c>
      <c r="I35" s="213"/>
      <c r="J35" s="213"/>
    </row>
    <row r="36" spans="1:10" x14ac:dyDescent="0.45">
      <c r="A36" s="48">
        <v>35</v>
      </c>
      <c r="B36" s="54" t="s">
        <v>30</v>
      </c>
      <c r="C36" s="55" t="s">
        <v>63</v>
      </c>
      <c r="D36" s="55" t="s">
        <v>45</v>
      </c>
      <c r="E36" s="55">
        <f t="shared" si="0"/>
        <v>1.3183459999999998</v>
      </c>
      <c r="F36" s="55">
        <v>0.74356199999999995</v>
      </c>
      <c r="G36" s="55">
        <v>0.35627599999999998</v>
      </c>
      <c r="H36" s="55">
        <v>0.21850800000000001</v>
      </c>
      <c r="I36" s="213"/>
      <c r="J36" s="213"/>
    </row>
    <row r="37" spans="1:10" x14ac:dyDescent="0.45">
      <c r="A37" s="48">
        <v>36</v>
      </c>
      <c r="B37" s="54" t="s">
        <v>30</v>
      </c>
      <c r="C37" s="55" t="s">
        <v>63</v>
      </c>
      <c r="D37" s="55" t="s">
        <v>62</v>
      </c>
      <c r="E37" s="55">
        <f t="shared" si="0"/>
        <v>1.173403</v>
      </c>
      <c r="F37" s="55">
        <v>0.74465899999999996</v>
      </c>
      <c r="G37" s="55">
        <v>0.34478199999999998</v>
      </c>
      <c r="H37" s="55">
        <v>8.3961999999999995E-2</v>
      </c>
      <c r="I37" s="213"/>
      <c r="J37" s="213"/>
    </row>
    <row r="38" spans="1:10" x14ac:dyDescent="0.45">
      <c r="A38" s="48">
        <v>37</v>
      </c>
      <c r="B38" s="54" t="s">
        <v>30</v>
      </c>
      <c r="C38" s="55" t="s">
        <v>63</v>
      </c>
      <c r="D38" s="55" t="s">
        <v>41</v>
      </c>
      <c r="E38" s="55">
        <f t="shared" si="0"/>
        <v>1.0635490000000001</v>
      </c>
      <c r="F38" s="55">
        <v>0.584422</v>
      </c>
      <c r="G38" s="55">
        <v>0.39586399999999999</v>
      </c>
      <c r="H38" s="55">
        <v>8.3263000000000004E-2</v>
      </c>
      <c r="I38" s="213"/>
      <c r="J38" s="213"/>
    </row>
    <row r="39" spans="1:10" x14ac:dyDescent="0.45">
      <c r="A39" s="48">
        <v>38</v>
      </c>
      <c r="B39" s="54" t="s">
        <v>30</v>
      </c>
      <c r="C39" s="55" t="s">
        <v>64</v>
      </c>
      <c r="D39" s="55" t="s">
        <v>50</v>
      </c>
      <c r="E39" s="55">
        <f t="shared" si="0"/>
        <v>0.24571499999999999</v>
      </c>
      <c r="F39" s="55">
        <v>4.8299000000000002E-2</v>
      </c>
      <c r="G39" s="55">
        <v>0.18532499999999999</v>
      </c>
      <c r="H39" s="55">
        <v>1.2090999999999999E-2</v>
      </c>
      <c r="I39" s="213"/>
      <c r="J39" s="213"/>
    </row>
    <row r="40" spans="1:10" x14ac:dyDescent="0.45">
      <c r="A40" s="48">
        <v>39</v>
      </c>
      <c r="B40" s="54" t="s">
        <v>30</v>
      </c>
      <c r="C40" s="55" t="s">
        <v>65</v>
      </c>
      <c r="D40" s="55" t="s">
        <v>62</v>
      </c>
      <c r="E40" s="55">
        <f t="shared" si="0"/>
        <v>0.99066299999999996</v>
      </c>
      <c r="F40" s="55">
        <v>0.80690799999999996</v>
      </c>
      <c r="G40" s="55">
        <v>9.9793000000000007E-2</v>
      </c>
      <c r="H40" s="55">
        <v>8.3961999999999995E-2</v>
      </c>
      <c r="I40" s="213"/>
      <c r="J40" s="213"/>
    </row>
    <row r="41" spans="1:10" x14ac:dyDescent="0.45">
      <c r="A41" s="48">
        <v>40</v>
      </c>
      <c r="B41" s="54" t="s">
        <v>30</v>
      </c>
      <c r="C41" s="55" t="s">
        <v>65</v>
      </c>
      <c r="D41" s="55" t="s">
        <v>41</v>
      </c>
      <c r="E41" s="55">
        <f t="shared" si="0"/>
        <v>0.84319900000000003</v>
      </c>
      <c r="F41" s="55">
        <v>0.64535600000000004</v>
      </c>
      <c r="G41" s="55">
        <v>0.11458</v>
      </c>
      <c r="H41" s="55">
        <v>8.3263000000000004E-2</v>
      </c>
      <c r="I41" s="213"/>
      <c r="J41" s="213"/>
    </row>
    <row r="42" spans="1:10" x14ac:dyDescent="0.45">
      <c r="A42" s="48">
        <v>41</v>
      </c>
      <c r="B42" s="54" t="s">
        <v>30</v>
      </c>
      <c r="C42" s="55" t="s">
        <v>65</v>
      </c>
      <c r="D42" s="55" t="s">
        <v>66</v>
      </c>
      <c r="E42" s="55">
        <f t="shared" si="0"/>
        <v>1.1864809999999999</v>
      </c>
      <c r="F42" s="55">
        <v>0.97326199999999996</v>
      </c>
      <c r="G42" s="55">
        <v>0.11458</v>
      </c>
      <c r="H42" s="55">
        <v>9.8639000000000004E-2</v>
      </c>
      <c r="I42" s="213"/>
      <c r="J42" s="213"/>
    </row>
    <row r="43" spans="1:10" x14ac:dyDescent="0.45">
      <c r="A43" s="48">
        <v>42</v>
      </c>
      <c r="B43" s="54" t="s">
        <v>30</v>
      </c>
      <c r="C43" s="55" t="s">
        <v>65</v>
      </c>
      <c r="D43" s="55" t="s">
        <v>47</v>
      </c>
      <c r="E43" s="55">
        <f t="shared" si="0"/>
        <v>1.119623</v>
      </c>
      <c r="F43" s="55">
        <v>0.57052999999999998</v>
      </c>
      <c r="G43" s="55">
        <v>0.10198699999999999</v>
      </c>
      <c r="H43" s="55">
        <v>0.447106</v>
      </c>
      <c r="I43" s="213"/>
      <c r="J43" s="213"/>
    </row>
    <row r="44" spans="1:10" x14ac:dyDescent="0.45">
      <c r="A44" s="48">
        <v>43</v>
      </c>
      <c r="B44" s="54" t="s">
        <v>30</v>
      </c>
      <c r="C44" s="55" t="s">
        <v>67</v>
      </c>
      <c r="D44" s="55" t="s">
        <v>68</v>
      </c>
      <c r="E44" s="55">
        <f t="shared" si="0"/>
        <v>0.41497700000000004</v>
      </c>
      <c r="F44" s="55">
        <v>0.20217499999999999</v>
      </c>
      <c r="G44" s="55">
        <v>0.11458</v>
      </c>
      <c r="H44" s="55">
        <v>9.8222000000000004E-2</v>
      </c>
      <c r="I44" s="213"/>
      <c r="J44" s="213"/>
    </row>
    <row r="45" spans="1:10" x14ac:dyDescent="0.45">
      <c r="A45" s="48">
        <v>44</v>
      </c>
      <c r="B45" s="54" t="s">
        <v>30</v>
      </c>
      <c r="C45" s="55" t="s">
        <v>67</v>
      </c>
      <c r="D45" s="55" t="s">
        <v>62</v>
      </c>
      <c r="E45" s="55">
        <f t="shared" si="0"/>
        <v>0.39637600000000001</v>
      </c>
      <c r="F45" s="55">
        <v>0.212621</v>
      </c>
      <c r="G45" s="55">
        <v>9.9793000000000007E-2</v>
      </c>
      <c r="H45" s="55">
        <v>8.3961999999999995E-2</v>
      </c>
      <c r="I45" s="213"/>
      <c r="J45" s="213"/>
    </row>
    <row r="46" spans="1:10" x14ac:dyDescent="0.45">
      <c r="A46" s="48">
        <v>45</v>
      </c>
      <c r="B46" s="54" t="s">
        <v>30</v>
      </c>
      <c r="C46" s="55" t="s">
        <v>67</v>
      </c>
      <c r="D46" s="55" t="s">
        <v>46</v>
      </c>
      <c r="E46" s="55">
        <f t="shared" si="0"/>
        <v>0.37121300000000002</v>
      </c>
      <c r="F46" s="55">
        <v>0.20217499999999999</v>
      </c>
      <c r="G46" s="55">
        <v>0.11458</v>
      </c>
      <c r="H46" s="55">
        <v>5.4457999999999999E-2</v>
      </c>
      <c r="I46" s="213"/>
      <c r="J46" s="213"/>
    </row>
    <row r="47" spans="1:10" x14ac:dyDescent="0.45">
      <c r="A47" s="48">
        <v>46</v>
      </c>
      <c r="B47" s="54" t="s">
        <v>30</v>
      </c>
      <c r="C47" s="55" t="s">
        <v>67</v>
      </c>
      <c r="D47" s="55" t="s">
        <v>69</v>
      </c>
      <c r="E47" s="55">
        <f t="shared" si="0"/>
        <v>0.48309599999999997</v>
      </c>
      <c r="F47" s="55">
        <v>0.20217499999999999</v>
      </c>
      <c r="G47" s="55">
        <v>0.11458</v>
      </c>
      <c r="H47" s="55">
        <v>0.16634099999999999</v>
      </c>
      <c r="I47" s="213"/>
      <c r="J47" s="213"/>
    </row>
    <row r="48" spans="1:10" x14ac:dyDescent="0.45">
      <c r="A48" s="48">
        <v>47</v>
      </c>
      <c r="B48" s="54" t="s">
        <v>30</v>
      </c>
      <c r="C48" s="55" t="s">
        <v>67</v>
      </c>
      <c r="D48" s="55" t="s">
        <v>57</v>
      </c>
      <c r="E48" s="55">
        <f t="shared" si="0"/>
        <v>1.096732</v>
      </c>
      <c r="F48" s="55">
        <v>0.20100000000000001</v>
      </c>
      <c r="G48" s="55">
        <v>0.10312</v>
      </c>
      <c r="H48" s="55">
        <v>0.79261199999999998</v>
      </c>
      <c r="I48" s="213"/>
      <c r="J48" s="213"/>
    </row>
    <row r="49" spans="1:10" x14ac:dyDescent="0.45">
      <c r="A49" s="48">
        <v>48</v>
      </c>
      <c r="B49" s="52" t="s">
        <v>32</v>
      </c>
      <c r="C49" s="53" t="s">
        <v>32</v>
      </c>
      <c r="D49" s="53" t="s">
        <v>45</v>
      </c>
      <c r="E49" s="53">
        <f t="shared" si="0"/>
        <v>0.609043</v>
      </c>
      <c r="F49" s="53">
        <v>0.44561099999999998</v>
      </c>
      <c r="G49" s="53">
        <v>3.3017999999999999E-2</v>
      </c>
      <c r="H49" s="53">
        <v>0.130414</v>
      </c>
      <c r="I49" s="89">
        <v>0.6</v>
      </c>
      <c r="J49" s="89">
        <f>I49/SUM($I$49:$I$50)</f>
        <v>0.63829787234042556</v>
      </c>
    </row>
    <row r="50" spans="1:10" x14ac:dyDescent="0.45">
      <c r="A50" s="48">
        <v>49</v>
      </c>
      <c r="B50" s="52" t="s">
        <v>32</v>
      </c>
      <c r="C50" s="53" t="s">
        <v>32</v>
      </c>
      <c r="D50" s="53" t="s">
        <v>57</v>
      </c>
      <c r="E50" s="53">
        <f t="shared" si="0"/>
        <v>0.92317300000000002</v>
      </c>
      <c r="F50" s="53">
        <v>0.49074200000000001</v>
      </c>
      <c r="G50" s="53">
        <v>3.2978E-2</v>
      </c>
      <c r="H50" s="53">
        <v>0.399453</v>
      </c>
      <c r="I50" s="89">
        <v>0.34</v>
      </c>
      <c r="J50" s="89">
        <f>I50/SUM($I$49:$I$50)</f>
        <v>0.36170212765957449</v>
      </c>
    </row>
    <row r="51" spans="1:10" x14ac:dyDescent="0.45">
      <c r="A51" s="48">
        <v>50</v>
      </c>
      <c r="B51" s="54" t="s">
        <v>31</v>
      </c>
      <c r="C51" s="55" t="s">
        <v>31</v>
      </c>
      <c r="D51" s="55" t="s">
        <v>70</v>
      </c>
      <c r="E51" s="55">
        <f t="shared" si="0"/>
        <v>2.5333420000000002</v>
      </c>
      <c r="F51" s="55">
        <v>2.6889720000000001</v>
      </c>
      <c r="G51" s="55">
        <v>-0.18823500000000001</v>
      </c>
      <c r="H51" s="55">
        <v>3.2605000000000002E-2</v>
      </c>
      <c r="I51" s="88">
        <v>0.4</v>
      </c>
      <c r="J51" s="88">
        <f>I51/SUM($I$51:$I$53)</f>
        <v>0.43478260869565222</v>
      </c>
    </row>
    <row r="52" spans="1:10" x14ac:dyDescent="0.45">
      <c r="A52" s="48">
        <v>51</v>
      </c>
      <c r="B52" s="54" t="s">
        <v>31</v>
      </c>
      <c r="C52" s="55" t="s">
        <v>31</v>
      </c>
      <c r="D52" s="55" t="s">
        <v>66</v>
      </c>
      <c r="E52" s="55">
        <f t="shared" si="0"/>
        <v>2.6716380000000002</v>
      </c>
      <c r="F52" s="55">
        <v>2.9543300000000001</v>
      </c>
      <c r="G52" s="55">
        <v>-0.33082</v>
      </c>
      <c r="H52" s="55">
        <v>4.8127999999999997E-2</v>
      </c>
      <c r="I52" s="88">
        <v>0.28999999999999998</v>
      </c>
      <c r="J52" s="88">
        <f>I52/SUM($I$51:$I$53)</f>
        <v>0.31521739130434784</v>
      </c>
    </row>
    <row r="53" spans="1:10" x14ac:dyDescent="0.45">
      <c r="A53" s="48">
        <v>52</v>
      </c>
      <c r="B53" s="54" t="s">
        <v>31</v>
      </c>
      <c r="C53" s="55" t="s">
        <v>31</v>
      </c>
      <c r="D53" s="55" t="s">
        <v>71</v>
      </c>
      <c r="E53" s="55">
        <f t="shared" si="0"/>
        <v>2.5184839999999999</v>
      </c>
      <c r="F53" s="55">
        <v>2.6889720000000001</v>
      </c>
      <c r="G53" s="55">
        <v>-0.221641</v>
      </c>
      <c r="H53" s="55">
        <v>5.1152999999999997E-2</v>
      </c>
      <c r="I53" s="88">
        <v>0.23</v>
      </c>
      <c r="J53" s="88">
        <f>I53/SUM($I$51:$I$53)</f>
        <v>0.25000000000000006</v>
      </c>
    </row>
    <row r="54" spans="1:10" x14ac:dyDescent="0.45">
      <c r="A54" s="48">
        <v>53</v>
      </c>
      <c r="B54" s="52" t="s">
        <v>72</v>
      </c>
      <c r="C54" s="53" t="s">
        <v>73</v>
      </c>
      <c r="D54" s="53" t="s">
        <v>62</v>
      </c>
      <c r="E54" s="53">
        <f t="shared" si="0"/>
        <v>0.429894</v>
      </c>
      <c r="F54" s="53">
        <v>0.240616</v>
      </c>
      <c r="G54" s="53">
        <v>0.100878</v>
      </c>
      <c r="H54" s="56">
        <v>8.8400000000000006E-2</v>
      </c>
      <c r="I54" s="214" t="s">
        <v>136</v>
      </c>
      <c r="J54" s="215"/>
    </row>
    <row r="55" spans="1:10" x14ac:dyDescent="0.45">
      <c r="A55" s="48">
        <v>54</v>
      </c>
      <c r="B55" s="52" t="s">
        <v>72</v>
      </c>
      <c r="C55" s="53" t="s">
        <v>73</v>
      </c>
      <c r="D55" s="53" t="s">
        <v>41</v>
      </c>
      <c r="E55" s="53">
        <f t="shared" si="0"/>
        <v>0.43299799999999999</v>
      </c>
      <c r="F55" s="53">
        <v>0.253411</v>
      </c>
      <c r="G55" s="53">
        <v>0.10198699999999999</v>
      </c>
      <c r="H55" s="57">
        <v>7.7600000000000002E-2</v>
      </c>
      <c r="I55" s="215"/>
      <c r="J55" s="215"/>
    </row>
    <row r="56" spans="1:10" x14ac:dyDescent="0.45">
      <c r="A56" s="48">
        <v>55</v>
      </c>
      <c r="B56" s="52" t="s">
        <v>72</v>
      </c>
      <c r="C56" s="53" t="s">
        <v>73</v>
      </c>
      <c r="D56" s="53" t="s">
        <v>50</v>
      </c>
      <c r="E56" s="53">
        <f t="shared" si="0"/>
        <v>0.34267999999999998</v>
      </c>
      <c r="F56" s="53">
        <v>0.23880199999999999</v>
      </c>
      <c r="G56" s="53">
        <v>0.100878</v>
      </c>
      <c r="H56" s="57">
        <v>3.0000000000000001E-3</v>
      </c>
      <c r="I56" s="215"/>
      <c r="J56" s="215"/>
    </row>
    <row r="57" spans="1:10" x14ac:dyDescent="0.45">
      <c r="A57" s="48">
        <v>56</v>
      </c>
      <c r="B57" s="52" t="s">
        <v>72</v>
      </c>
      <c r="C57" s="53" t="s">
        <v>74</v>
      </c>
      <c r="D57" s="53" t="s">
        <v>41</v>
      </c>
      <c r="E57" s="53">
        <f t="shared" si="0"/>
        <v>0.27349400000000001</v>
      </c>
      <c r="F57" s="53">
        <v>9.3198000000000003E-2</v>
      </c>
      <c r="G57" s="53">
        <v>0.102448</v>
      </c>
      <c r="H57" s="53">
        <v>7.7848000000000001E-2</v>
      </c>
      <c r="I57" s="215"/>
      <c r="J57" s="215"/>
    </row>
    <row r="58" spans="1:10" x14ac:dyDescent="0.45">
      <c r="A58" s="48">
        <v>57</v>
      </c>
      <c r="B58" s="52" t="s">
        <v>72</v>
      </c>
      <c r="C58" s="53" t="s">
        <v>74</v>
      </c>
      <c r="D58" s="53" t="s">
        <v>50</v>
      </c>
      <c r="E58" s="53">
        <f t="shared" si="0"/>
        <v>0.18901899999999999</v>
      </c>
      <c r="F58" s="53">
        <v>8.4638000000000005E-2</v>
      </c>
      <c r="G58" s="53">
        <v>0.10133399999999999</v>
      </c>
      <c r="H58" s="53">
        <v>3.0469999999999998E-3</v>
      </c>
      <c r="I58" s="215"/>
      <c r="J58" s="215"/>
    </row>
    <row r="59" spans="1:10" x14ac:dyDescent="0.45">
      <c r="A59" s="48">
        <v>58</v>
      </c>
      <c r="B59" s="52" t="s">
        <v>72</v>
      </c>
      <c r="C59" s="53" t="s">
        <v>75</v>
      </c>
      <c r="D59" s="53" t="s">
        <v>41</v>
      </c>
      <c r="E59" s="53">
        <f t="shared" si="0"/>
        <v>0.46926399999999996</v>
      </c>
      <c r="F59" s="53">
        <v>0.28902699999999998</v>
      </c>
      <c r="G59" s="53">
        <v>0.10198699999999999</v>
      </c>
      <c r="H59" s="53">
        <v>7.825E-2</v>
      </c>
      <c r="I59" s="215"/>
      <c r="J59" s="215"/>
    </row>
    <row r="60" spans="1:10" x14ac:dyDescent="0.45">
      <c r="A60" s="48">
        <v>59</v>
      </c>
      <c r="B60" s="52" t="s">
        <v>72</v>
      </c>
      <c r="C60" s="53" t="s">
        <v>75</v>
      </c>
      <c r="D60" s="53" t="s">
        <v>46</v>
      </c>
      <c r="E60" s="53">
        <f t="shared" si="0"/>
        <v>0.44530500000000001</v>
      </c>
      <c r="F60" s="53">
        <v>0.29070800000000002</v>
      </c>
      <c r="G60" s="53">
        <v>0.10198699999999999</v>
      </c>
      <c r="H60" s="53">
        <v>5.2609999999999997E-2</v>
      </c>
      <c r="I60" s="215"/>
      <c r="J60" s="215"/>
    </row>
    <row r="61" spans="1:10" ht="28.5" x14ac:dyDescent="0.45">
      <c r="A61" s="48">
        <v>60</v>
      </c>
      <c r="B61" s="52" t="s">
        <v>72</v>
      </c>
      <c r="C61" s="53" t="s">
        <v>75</v>
      </c>
      <c r="D61" s="52" t="s">
        <v>76</v>
      </c>
      <c r="E61" s="53">
        <f t="shared" si="0"/>
        <v>0.37559099999999995</v>
      </c>
      <c r="F61" s="53">
        <v>0.27157199999999998</v>
      </c>
      <c r="G61" s="53">
        <v>0.100878</v>
      </c>
      <c r="H61" s="53">
        <v>3.1410000000000001E-3</v>
      </c>
      <c r="I61" s="215"/>
      <c r="J61" s="215"/>
    </row>
    <row r="62" spans="1:10" ht="28.5" x14ac:dyDescent="0.45">
      <c r="A62" s="48">
        <v>61</v>
      </c>
      <c r="B62" s="52" t="s">
        <v>72</v>
      </c>
      <c r="C62" s="53" t="s">
        <v>75</v>
      </c>
      <c r="D62" s="52" t="s">
        <v>77</v>
      </c>
      <c r="E62" s="53">
        <f t="shared" si="0"/>
        <v>0.42231399999999997</v>
      </c>
      <c r="F62" s="53">
        <v>0.31795699999999999</v>
      </c>
      <c r="G62" s="53">
        <v>0.10133399999999999</v>
      </c>
      <c r="H62" s="53">
        <v>3.0230000000000001E-3</v>
      </c>
      <c r="I62" s="215"/>
      <c r="J62" s="215"/>
    </row>
    <row r="63" spans="1:10" ht="28.5" x14ac:dyDescent="0.45">
      <c r="A63" s="48">
        <v>62</v>
      </c>
      <c r="B63" s="52" t="s">
        <v>72</v>
      </c>
      <c r="C63" s="53" t="s">
        <v>75</v>
      </c>
      <c r="D63" s="52" t="s">
        <v>78</v>
      </c>
      <c r="E63" s="53">
        <f t="shared" si="0"/>
        <v>0.26782999999999996</v>
      </c>
      <c r="F63" s="53">
        <v>0.16390399999999999</v>
      </c>
      <c r="G63" s="53">
        <v>0.100878</v>
      </c>
      <c r="H63" s="53">
        <v>3.0479999999999999E-3</v>
      </c>
      <c r="I63" s="215"/>
      <c r="J63" s="215"/>
    </row>
    <row r="64" spans="1:10" ht="28.5" x14ac:dyDescent="0.45">
      <c r="A64" s="48">
        <v>63</v>
      </c>
      <c r="B64" s="52" t="s">
        <v>72</v>
      </c>
      <c r="C64" s="53" t="s">
        <v>75</v>
      </c>
      <c r="D64" s="52" t="s">
        <v>79</v>
      </c>
      <c r="E64" s="53">
        <f t="shared" si="0"/>
        <v>1.5373620000000001</v>
      </c>
      <c r="F64" s="53">
        <v>1.433359</v>
      </c>
      <c r="G64" s="53">
        <v>0.100878</v>
      </c>
      <c r="H64" s="53">
        <v>3.1250000000000002E-3</v>
      </c>
      <c r="I64" s="215"/>
      <c r="J64" s="215"/>
    </row>
    <row r="65" spans="1:10" x14ac:dyDescent="0.45">
      <c r="A65" s="48">
        <v>64</v>
      </c>
      <c r="B65" s="54" t="s">
        <v>26</v>
      </c>
      <c r="C65" s="55" t="s">
        <v>80</v>
      </c>
      <c r="D65" s="55" t="s">
        <v>71</v>
      </c>
      <c r="E65" s="55">
        <f t="shared" si="0"/>
        <v>5.6848479999999997</v>
      </c>
      <c r="F65" s="55">
        <v>4.5770249999999999</v>
      </c>
      <c r="G65" s="55">
        <v>1.020249</v>
      </c>
      <c r="H65" s="55">
        <v>8.7573999999999999E-2</v>
      </c>
      <c r="I65" s="212" t="s">
        <v>137</v>
      </c>
      <c r="J65" s="213"/>
    </row>
    <row r="66" spans="1:10" x14ac:dyDescent="0.45">
      <c r="A66" s="48">
        <v>65</v>
      </c>
      <c r="B66" s="54" t="s">
        <v>26</v>
      </c>
      <c r="C66" s="55" t="s">
        <v>81</v>
      </c>
      <c r="D66" s="55" t="s">
        <v>82</v>
      </c>
      <c r="E66" s="55">
        <f t="shared" si="0"/>
        <v>13.573368</v>
      </c>
      <c r="F66" s="55">
        <v>1.6381209999999999</v>
      </c>
      <c r="G66" s="55">
        <v>0.120767</v>
      </c>
      <c r="H66" s="55">
        <v>11.81448</v>
      </c>
      <c r="I66" s="213"/>
      <c r="J66" s="213"/>
    </row>
    <row r="67" spans="1:10" x14ac:dyDescent="0.45">
      <c r="A67" s="48">
        <v>66</v>
      </c>
      <c r="B67" s="54" t="s">
        <v>26</v>
      </c>
      <c r="C67" s="55" t="s">
        <v>83</v>
      </c>
      <c r="D67" s="55" t="s">
        <v>82</v>
      </c>
      <c r="E67" s="55">
        <f t="shared" ref="E67:E90" si="4">SUM(F67:H67)</f>
        <v>2.2942670000000001</v>
      </c>
      <c r="F67" s="55">
        <v>1.715716</v>
      </c>
      <c r="G67" s="55">
        <v>0.15206900000000001</v>
      </c>
      <c r="H67" s="55">
        <v>0.42648200000000003</v>
      </c>
      <c r="I67" s="213"/>
      <c r="J67" s="213"/>
    </row>
    <row r="68" spans="1:10" x14ac:dyDescent="0.45">
      <c r="A68" s="48">
        <v>67</v>
      </c>
      <c r="B68" s="54" t="s">
        <v>26</v>
      </c>
      <c r="C68" s="55" t="s">
        <v>83</v>
      </c>
      <c r="D68" s="55" t="s">
        <v>84</v>
      </c>
      <c r="E68" s="55">
        <f t="shared" si="4"/>
        <v>2.2537609999999999</v>
      </c>
      <c r="F68" s="55">
        <v>1.6983520000000001</v>
      </c>
      <c r="G68" s="55">
        <v>0.46017599999999997</v>
      </c>
      <c r="H68" s="55">
        <v>9.5232999999999998E-2</v>
      </c>
      <c r="I68" s="213"/>
      <c r="J68" s="213"/>
    </row>
    <row r="69" spans="1:10" x14ac:dyDescent="0.45">
      <c r="A69" s="48">
        <v>68</v>
      </c>
      <c r="B69" s="54" t="s">
        <v>26</v>
      </c>
      <c r="C69" s="55" t="s">
        <v>85</v>
      </c>
      <c r="D69" s="55" t="s">
        <v>82</v>
      </c>
      <c r="E69" s="55">
        <f t="shared" si="4"/>
        <v>4.6855399999999996</v>
      </c>
      <c r="F69" s="55">
        <v>3.8360919999999998</v>
      </c>
      <c r="G69" s="55">
        <v>0.44528499999999999</v>
      </c>
      <c r="H69" s="55">
        <v>0.40416299999999999</v>
      </c>
      <c r="I69" s="213"/>
      <c r="J69" s="213"/>
    </row>
    <row r="70" spans="1:10" x14ac:dyDescent="0.45">
      <c r="A70" s="48">
        <v>69</v>
      </c>
      <c r="B70" s="54" t="s">
        <v>26</v>
      </c>
      <c r="C70" s="55" t="s">
        <v>85</v>
      </c>
      <c r="D70" s="55" t="s">
        <v>62</v>
      </c>
      <c r="E70" s="55">
        <f t="shared" si="4"/>
        <v>5.5576039999999995</v>
      </c>
      <c r="F70" s="55">
        <v>3.8948079999999998</v>
      </c>
      <c r="G70" s="55">
        <v>1.5669139999999999</v>
      </c>
      <c r="H70" s="55">
        <v>9.5881999999999995E-2</v>
      </c>
      <c r="I70" s="213"/>
      <c r="J70" s="213"/>
    </row>
    <row r="71" spans="1:10" x14ac:dyDescent="0.45">
      <c r="A71" s="48">
        <v>70</v>
      </c>
      <c r="B71" s="54" t="s">
        <v>26</v>
      </c>
      <c r="C71" s="55" t="s">
        <v>85</v>
      </c>
      <c r="D71" s="55" t="s">
        <v>86</v>
      </c>
      <c r="E71" s="55">
        <f t="shared" si="4"/>
        <v>5.1716309999999996</v>
      </c>
      <c r="F71" s="55">
        <v>3.8948079999999998</v>
      </c>
      <c r="G71" s="55">
        <v>1.0966009999999999</v>
      </c>
      <c r="H71" s="55">
        <v>0.18022199999999999</v>
      </c>
      <c r="I71" s="213"/>
      <c r="J71" s="213"/>
    </row>
    <row r="72" spans="1:10" x14ac:dyDescent="0.45">
      <c r="A72" s="48">
        <v>71</v>
      </c>
      <c r="B72" s="54" t="s">
        <v>26</v>
      </c>
      <c r="C72" s="55" t="s">
        <v>87</v>
      </c>
      <c r="D72" s="55" t="s">
        <v>50</v>
      </c>
      <c r="E72" s="55">
        <f t="shared" si="4"/>
        <v>3.7301799999999998</v>
      </c>
      <c r="F72" s="55">
        <v>2.9317169999999999</v>
      </c>
      <c r="G72" s="55">
        <v>0.79142299999999999</v>
      </c>
      <c r="H72" s="55">
        <v>7.0400000000000003E-3</v>
      </c>
      <c r="I72" s="213"/>
      <c r="J72" s="213"/>
    </row>
    <row r="73" spans="1:10" x14ac:dyDescent="0.45">
      <c r="A73" s="48">
        <v>72</v>
      </c>
      <c r="B73" s="54" t="s">
        <v>26</v>
      </c>
      <c r="C73" s="55" t="s">
        <v>88</v>
      </c>
      <c r="D73" s="55" t="s">
        <v>50</v>
      </c>
      <c r="E73" s="55">
        <f t="shared" si="4"/>
        <v>4.262753</v>
      </c>
      <c r="F73" s="55">
        <v>3.348328</v>
      </c>
      <c r="G73" s="55">
        <v>0.89125399999999999</v>
      </c>
      <c r="H73" s="55">
        <v>2.3171000000000001E-2</v>
      </c>
      <c r="I73" s="213"/>
      <c r="J73" s="213"/>
    </row>
    <row r="74" spans="1:10" x14ac:dyDescent="0.45">
      <c r="A74" s="48">
        <v>73</v>
      </c>
      <c r="B74" s="52" t="s">
        <v>27</v>
      </c>
      <c r="C74" s="53" t="s">
        <v>89</v>
      </c>
      <c r="D74" s="53" t="s">
        <v>71</v>
      </c>
      <c r="E74" s="53">
        <f t="shared" si="4"/>
        <v>5.8283054500000002</v>
      </c>
      <c r="F74" s="53">
        <v>4.6900983800000002</v>
      </c>
      <c r="G74" s="53">
        <v>1.0417997999999999</v>
      </c>
      <c r="H74" s="53">
        <v>9.6407270000000003E-2</v>
      </c>
      <c r="I74" s="214" t="s">
        <v>138</v>
      </c>
      <c r="J74" s="215"/>
    </row>
    <row r="75" spans="1:10" x14ac:dyDescent="0.45">
      <c r="A75" s="48">
        <v>74</v>
      </c>
      <c r="B75" s="52" t="s">
        <v>27</v>
      </c>
      <c r="C75" s="53" t="s">
        <v>89</v>
      </c>
      <c r="D75" s="53" t="s">
        <v>41</v>
      </c>
      <c r="E75" s="53">
        <f t="shared" si="4"/>
        <v>5.9016710300000002</v>
      </c>
      <c r="F75" s="53">
        <v>4.7533466300000002</v>
      </c>
      <c r="G75" s="53">
        <v>1.0619243</v>
      </c>
      <c r="H75" s="53">
        <v>8.6400099999999994E-2</v>
      </c>
      <c r="I75" s="215"/>
      <c r="J75" s="215"/>
    </row>
    <row r="76" spans="1:10" x14ac:dyDescent="0.45">
      <c r="A76" s="48">
        <v>75</v>
      </c>
      <c r="B76" s="52" t="s">
        <v>27</v>
      </c>
      <c r="C76" s="53" t="s">
        <v>89</v>
      </c>
      <c r="D76" s="53" t="s">
        <v>46</v>
      </c>
      <c r="E76" s="53">
        <f t="shared" si="4"/>
        <v>6.488153650000001</v>
      </c>
      <c r="F76" s="53">
        <v>5.2182964500000004</v>
      </c>
      <c r="G76" s="53">
        <v>1.2098633000000001</v>
      </c>
      <c r="H76" s="53">
        <v>5.9993900000000003E-2</v>
      </c>
      <c r="I76" s="215"/>
      <c r="J76" s="215"/>
    </row>
    <row r="77" spans="1:10" x14ac:dyDescent="0.45">
      <c r="A77" s="48">
        <v>76</v>
      </c>
      <c r="B77" s="52" t="s">
        <v>27</v>
      </c>
      <c r="C77" s="53" t="s">
        <v>89</v>
      </c>
      <c r="D77" s="53" t="s">
        <v>62</v>
      </c>
      <c r="E77" s="53">
        <f t="shared" si="4"/>
        <v>7.2232415300000001</v>
      </c>
      <c r="F77" s="53">
        <v>5.8551775900000003</v>
      </c>
      <c r="G77" s="53">
        <v>1.2781811999999999</v>
      </c>
      <c r="H77" s="53">
        <v>8.9882740000000003E-2</v>
      </c>
      <c r="I77" s="215"/>
      <c r="J77" s="215"/>
    </row>
    <row r="78" spans="1:10" x14ac:dyDescent="0.45">
      <c r="A78" s="48">
        <v>77</v>
      </c>
      <c r="B78" s="52" t="s">
        <v>27</v>
      </c>
      <c r="C78" s="53" t="s">
        <v>89</v>
      </c>
      <c r="D78" s="53" t="s">
        <v>50</v>
      </c>
      <c r="E78" s="53">
        <f t="shared" si="4"/>
        <v>5.1386244200000002</v>
      </c>
      <c r="F78" s="53">
        <v>4.5079172600000001</v>
      </c>
      <c r="G78" s="53">
        <v>0.61092601000000002</v>
      </c>
      <c r="H78" s="53">
        <v>1.9781150000000001E-2</v>
      </c>
      <c r="I78" s="215"/>
      <c r="J78" s="215"/>
    </row>
    <row r="79" spans="1:10" x14ac:dyDescent="0.45">
      <c r="A79" s="48">
        <v>78</v>
      </c>
      <c r="B79" s="52" t="s">
        <v>27</v>
      </c>
      <c r="C79" s="53" t="s">
        <v>90</v>
      </c>
      <c r="D79" s="53" t="s">
        <v>46</v>
      </c>
      <c r="E79" s="53">
        <f t="shared" si="4"/>
        <v>4.8643129299999996</v>
      </c>
      <c r="F79" s="53">
        <v>3.28595477</v>
      </c>
      <c r="G79" s="53">
        <v>1.3523988899999999</v>
      </c>
      <c r="H79" s="53">
        <v>0.22595926999999999</v>
      </c>
      <c r="I79" s="215"/>
      <c r="J79" s="215"/>
    </row>
    <row r="80" spans="1:10" x14ac:dyDescent="0.45">
      <c r="A80" s="48">
        <v>79</v>
      </c>
      <c r="B80" s="52" t="s">
        <v>27</v>
      </c>
      <c r="C80" s="53" t="s">
        <v>90</v>
      </c>
      <c r="D80" s="53" t="s">
        <v>52</v>
      </c>
      <c r="E80" s="53">
        <f t="shared" si="4"/>
        <v>4.9684077999999996</v>
      </c>
      <c r="F80" s="53">
        <v>3.28595477</v>
      </c>
      <c r="G80" s="53">
        <v>1.3196891399999999</v>
      </c>
      <c r="H80" s="53">
        <v>0.36276388999999998</v>
      </c>
      <c r="I80" s="215"/>
      <c r="J80" s="215"/>
    </row>
    <row r="81" spans="1:10" x14ac:dyDescent="0.45">
      <c r="A81" s="48">
        <v>80</v>
      </c>
      <c r="B81" s="52" t="s">
        <v>27</v>
      </c>
      <c r="C81" s="53" t="s">
        <v>90</v>
      </c>
      <c r="D81" s="53" t="s">
        <v>66</v>
      </c>
      <c r="E81" s="53">
        <f t="shared" si="4"/>
        <v>5.0447311099999999</v>
      </c>
      <c r="F81" s="53">
        <v>3.28595477</v>
      </c>
      <c r="G81" s="53">
        <v>1.3988526800000001</v>
      </c>
      <c r="H81" s="53">
        <v>0.35992365999999998</v>
      </c>
      <c r="I81" s="215"/>
      <c r="J81" s="215"/>
    </row>
    <row r="82" spans="1:10" x14ac:dyDescent="0.45">
      <c r="A82" s="48">
        <v>81</v>
      </c>
      <c r="B82" s="52" t="s">
        <v>27</v>
      </c>
      <c r="C82" s="53" t="s">
        <v>91</v>
      </c>
      <c r="D82" s="53" t="s">
        <v>46</v>
      </c>
      <c r="E82" s="53">
        <f t="shared" si="4"/>
        <v>4.7981276300000006</v>
      </c>
      <c r="F82" s="53">
        <v>3.28595477</v>
      </c>
      <c r="G82" s="53">
        <v>1.32956783</v>
      </c>
      <c r="H82" s="53">
        <v>0.18260503</v>
      </c>
      <c r="I82" s="215"/>
      <c r="J82" s="215"/>
    </row>
    <row r="83" spans="1:10" x14ac:dyDescent="0.45">
      <c r="A83" s="48">
        <v>82</v>
      </c>
      <c r="B83" s="52" t="s">
        <v>27</v>
      </c>
      <c r="C83" s="53" t="s">
        <v>91</v>
      </c>
      <c r="D83" s="53" t="s">
        <v>52</v>
      </c>
      <c r="E83" s="53">
        <f t="shared" si="4"/>
        <v>4.8447730199999999</v>
      </c>
      <c r="F83" s="53">
        <v>3.28595477</v>
      </c>
      <c r="G83" s="53">
        <v>1.2968580700000001</v>
      </c>
      <c r="H83" s="53">
        <v>0.26196017999999999</v>
      </c>
      <c r="I83" s="215"/>
      <c r="J83" s="215"/>
    </row>
    <row r="84" spans="1:10" x14ac:dyDescent="0.45">
      <c r="A84" s="48">
        <v>83</v>
      </c>
      <c r="B84" s="52" t="s">
        <v>27</v>
      </c>
      <c r="C84" s="53" t="s">
        <v>91</v>
      </c>
      <c r="D84" s="53" t="s">
        <v>66</v>
      </c>
      <c r="E84" s="53">
        <f t="shared" si="4"/>
        <v>4.9222890599999998</v>
      </c>
      <c r="F84" s="53">
        <v>3.28595477</v>
      </c>
      <c r="G84" s="53">
        <v>1.3760216199999999</v>
      </c>
      <c r="H84" s="53">
        <v>0.26031267000000002</v>
      </c>
      <c r="I84" s="215"/>
      <c r="J84" s="215"/>
    </row>
    <row r="85" spans="1:10" x14ac:dyDescent="0.45">
      <c r="A85" s="48">
        <v>84</v>
      </c>
      <c r="B85" s="52" t="s">
        <v>27</v>
      </c>
      <c r="C85" s="53" t="s">
        <v>92</v>
      </c>
      <c r="D85" s="53" t="s">
        <v>41</v>
      </c>
      <c r="E85" s="53">
        <f t="shared" si="4"/>
        <v>4.76347232</v>
      </c>
      <c r="F85" s="53">
        <v>4.6062284599999996</v>
      </c>
      <c r="G85" s="53">
        <v>6.4783439999999998E-2</v>
      </c>
      <c r="H85" s="53">
        <v>9.2460420000000001E-2</v>
      </c>
      <c r="I85" s="215"/>
      <c r="J85" s="215"/>
    </row>
    <row r="86" spans="1:10" x14ac:dyDescent="0.45">
      <c r="A86" s="48">
        <v>85</v>
      </c>
      <c r="B86" s="52" t="s">
        <v>27</v>
      </c>
      <c r="C86" s="53" t="s">
        <v>92</v>
      </c>
      <c r="D86" s="53" t="s">
        <v>46</v>
      </c>
      <c r="E86" s="53">
        <f t="shared" si="4"/>
        <v>4.7386509700000001</v>
      </c>
      <c r="F86" s="53">
        <v>4.6062284599999996</v>
      </c>
      <c r="G86" s="53">
        <v>6.4783439999999998E-2</v>
      </c>
      <c r="H86" s="53">
        <v>6.7639069999999996E-2</v>
      </c>
      <c r="I86" s="215"/>
      <c r="J86" s="215"/>
    </row>
    <row r="87" spans="1:10" x14ac:dyDescent="0.45">
      <c r="A87" s="48">
        <v>86</v>
      </c>
      <c r="B87" s="52" t="s">
        <v>27</v>
      </c>
      <c r="C87" s="53" t="s">
        <v>92</v>
      </c>
      <c r="D87" s="53" t="s">
        <v>62</v>
      </c>
      <c r="E87" s="53">
        <f t="shared" si="4"/>
        <v>4.9005926200000003</v>
      </c>
      <c r="F87" s="53">
        <v>4.7717385700000001</v>
      </c>
      <c r="G87" s="53">
        <v>3.7696470000000003E-2</v>
      </c>
      <c r="H87" s="53">
        <v>9.1157580000000002E-2</v>
      </c>
      <c r="I87" s="215"/>
      <c r="J87" s="215"/>
    </row>
    <row r="88" spans="1:10" x14ac:dyDescent="0.45">
      <c r="A88" s="48">
        <v>87</v>
      </c>
      <c r="B88" s="52" t="s">
        <v>27</v>
      </c>
      <c r="C88" s="53" t="s">
        <v>93</v>
      </c>
      <c r="D88" s="53" t="s">
        <v>41</v>
      </c>
      <c r="E88" s="53">
        <f t="shared" si="4"/>
        <v>4.9424914700000002</v>
      </c>
      <c r="F88" s="53">
        <v>4.6062284599999996</v>
      </c>
      <c r="G88" s="53">
        <v>0.24492955</v>
      </c>
      <c r="H88" s="53">
        <v>9.1333460000000005E-2</v>
      </c>
      <c r="I88" s="215"/>
      <c r="J88" s="215"/>
    </row>
    <row r="89" spans="1:10" x14ac:dyDescent="0.45">
      <c r="A89" s="48">
        <v>88</v>
      </c>
      <c r="B89" s="52" t="s">
        <v>27</v>
      </c>
      <c r="C89" s="53" t="s">
        <v>93</v>
      </c>
      <c r="D89" s="53" t="s">
        <v>46</v>
      </c>
      <c r="E89" s="53">
        <f t="shared" si="4"/>
        <v>4.9143997800000001</v>
      </c>
      <c r="F89" s="53">
        <v>4.6062284599999996</v>
      </c>
      <c r="G89" s="53">
        <v>0.24492955</v>
      </c>
      <c r="H89" s="53">
        <v>6.3241770000000003E-2</v>
      </c>
      <c r="I89" s="215"/>
      <c r="J89" s="215"/>
    </row>
    <row r="90" spans="1:10" x14ac:dyDescent="0.45">
      <c r="A90" s="48">
        <v>89</v>
      </c>
      <c r="B90" s="52" t="s">
        <v>27</v>
      </c>
      <c r="C90" s="53" t="s">
        <v>93</v>
      </c>
      <c r="D90" s="53" t="s">
        <v>62</v>
      </c>
      <c r="E90" s="53">
        <f t="shared" si="4"/>
        <v>5.0733858400000003</v>
      </c>
      <c r="F90" s="53">
        <v>4.7717385700000001</v>
      </c>
      <c r="G90" s="53">
        <v>0.21048969000000001</v>
      </c>
      <c r="H90" s="53">
        <v>9.1157580000000002E-2</v>
      </c>
      <c r="I90" s="215"/>
      <c r="J90" s="215"/>
    </row>
    <row r="91" spans="1:10" x14ac:dyDescent="0.45">
      <c r="B91" s="3"/>
    </row>
    <row r="92" spans="1:10" x14ac:dyDescent="0.45">
      <c r="B92" s="3"/>
    </row>
    <row r="93" spans="1:10" x14ac:dyDescent="0.45">
      <c r="B93" s="3"/>
    </row>
    <row r="94" spans="1:10" x14ac:dyDescent="0.45">
      <c r="B94" s="3"/>
    </row>
    <row r="95" spans="1:10" x14ac:dyDescent="0.45">
      <c r="B95" s="3"/>
    </row>
    <row r="96" spans="1:10" x14ac:dyDescent="0.45">
      <c r="B96" s="3"/>
    </row>
    <row r="97" spans="2:2" x14ac:dyDescent="0.45">
      <c r="B97" s="3"/>
    </row>
    <row r="98" spans="2:2" x14ac:dyDescent="0.45">
      <c r="B98" s="3"/>
    </row>
    <row r="99" spans="2:2" x14ac:dyDescent="0.45">
      <c r="B99" s="3"/>
    </row>
  </sheetData>
  <mergeCells count="5">
    <mergeCell ref="I33:J48"/>
    <mergeCell ref="I54:J64"/>
    <mergeCell ref="I65:J73"/>
    <mergeCell ref="I74:J90"/>
    <mergeCell ref="K1:L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26868-6B06-4B24-AF3C-A9C3EEA57A81}">
  <sheetPr codeName="Sheet13">
    <tabColor theme="0"/>
  </sheetPr>
  <dimension ref="B1:N86"/>
  <sheetViews>
    <sheetView zoomScale="85" zoomScaleNormal="85" workbookViewId="0">
      <selection activeCell="F20" sqref="F20"/>
    </sheetView>
  </sheetViews>
  <sheetFormatPr defaultColWidth="8.73046875" defaultRowHeight="13.15" x14ac:dyDescent="0.4"/>
  <cols>
    <col min="1" max="1" width="2.3984375" style="5" customWidth="1"/>
    <col min="2" max="2" width="28.86328125" style="5" customWidth="1"/>
    <col min="3" max="3" width="27.59765625" style="5" bestFit="1" customWidth="1"/>
    <col min="4" max="4" width="21" style="5" customWidth="1"/>
    <col min="5" max="5" width="31.1328125" style="5" customWidth="1"/>
    <col min="6" max="6" width="30.73046875" style="5" customWidth="1"/>
    <col min="7" max="7" width="25.265625" style="5" customWidth="1"/>
    <col min="8" max="9" width="30.73046875" style="5" customWidth="1"/>
    <col min="10" max="13" width="21.59765625" style="5" customWidth="1"/>
    <col min="14" max="14" width="25.86328125" style="5" customWidth="1"/>
    <col min="15" max="15" width="11.265625" style="5" customWidth="1"/>
    <col min="16" max="16" width="8.73046875" style="5"/>
    <col min="17" max="17" width="12.1328125" style="5" customWidth="1"/>
    <col min="18" max="18" width="28.3984375" style="5" customWidth="1"/>
    <col min="19" max="19" width="27.59765625" style="5" customWidth="1"/>
    <col min="20" max="16384" width="8.73046875" style="5"/>
  </cols>
  <sheetData>
    <row r="1" spans="2:14" x14ac:dyDescent="0.4">
      <c r="B1" s="22" t="s">
        <v>0</v>
      </c>
      <c r="E1" s="31"/>
      <c r="F1" s="31"/>
      <c r="G1" s="31"/>
    </row>
    <row r="2" spans="2:14" x14ac:dyDescent="0.4">
      <c r="B2" s="31"/>
      <c r="C2" s="31"/>
      <c r="D2" s="31"/>
      <c r="E2" s="31"/>
      <c r="F2" s="31"/>
      <c r="G2" s="31"/>
    </row>
    <row r="3" spans="2:14" ht="26.25" x14ac:dyDescent="0.4">
      <c r="B3" s="73" t="s">
        <v>1</v>
      </c>
      <c r="C3" s="119">
        <f>SUM(F23:F35)</f>
        <v>929.41751284347936</v>
      </c>
      <c r="D3" s="31"/>
      <c r="E3" s="31"/>
      <c r="F3" s="31"/>
      <c r="G3" s="31"/>
      <c r="J3" s="83">
        <v>929.41751284347959</v>
      </c>
      <c r="K3" s="28"/>
      <c r="L3" s="28"/>
      <c r="M3" s="28"/>
      <c r="N3" s="28">
        <f>(J3-C3)/J3*100</f>
        <v>2.4464104915303375E-14</v>
      </c>
    </row>
    <row r="4" spans="2:14" x14ac:dyDescent="0.4">
      <c r="E4" s="31"/>
      <c r="F4" s="31"/>
      <c r="G4" s="31"/>
    </row>
    <row r="5" spans="2:14" x14ac:dyDescent="0.4">
      <c r="B5" s="22" t="s">
        <v>3</v>
      </c>
      <c r="E5" s="31"/>
      <c r="F5" s="31"/>
      <c r="G5" s="31"/>
      <c r="H5" s="34"/>
      <c r="I5" s="34"/>
      <c r="J5" s="28"/>
    </row>
    <row r="6" spans="2:14" x14ac:dyDescent="0.4">
      <c r="B6" s="22"/>
      <c r="E6" s="31"/>
      <c r="F6" s="31"/>
      <c r="G6" s="31"/>
      <c r="H6" s="34"/>
      <c r="I6" s="34"/>
      <c r="J6" s="28"/>
    </row>
    <row r="7" spans="2:14" ht="26.25" x14ac:dyDescent="0.4">
      <c r="B7" s="33" t="s">
        <v>2</v>
      </c>
      <c r="C7" s="66">
        <v>365</v>
      </c>
      <c r="D7" s="32"/>
    </row>
    <row r="8" spans="2:14" x14ac:dyDescent="0.4">
      <c r="B8" s="22"/>
      <c r="E8" s="31"/>
      <c r="F8" s="34"/>
      <c r="G8" s="34"/>
      <c r="H8" s="34"/>
      <c r="I8" s="34"/>
      <c r="J8" s="28"/>
    </row>
    <row r="9" spans="2:14" x14ac:dyDescent="0.4">
      <c r="B9" s="16" t="s">
        <v>4</v>
      </c>
      <c r="D9" s="69" t="s">
        <v>139</v>
      </c>
      <c r="E9" s="31"/>
      <c r="F9" s="34"/>
      <c r="G9" s="34"/>
      <c r="H9" s="34"/>
      <c r="I9" s="34"/>
      <c r="J9" s="28"/>
    </row>
    <row r="10" spans="2:14" x14ac:dyDescent="0.4">
      <c r="B10" s="23" t="s">
        <v>6</v>
      </c>
      <c r="C10" s="30">
        <f>SUM(C23:C30)</f>
        <v>0.29041095890410956</v>
      </c>
      <c r="D10" s="67">
        <v>0.25</v>
      </c>
      <c r="E10" s="31"/>
      <c r="F10" s="34"/>
      <c r="G10" s="34"/>
      <c r="H10" s="34"/>
      <c r="I10" s="34"/>
      <c r="J10" s="28"/>
    </row>
    <row r="11" spans="2:14" x14ac:dyDescent="0.4">
      <c r="B11" s="23" t="s">
        <v>7</v>
      </c>
      <c r="C11" s="30">
        <f>SUM(C34:C35)</f>
        <v>0.24931506849315072</v>
      </c>
      <c r="D11" s="67">
        <v>0.25</v>
      </c>
      <c r="E11" s="31"/>
      <c r="F11" s="34"/>
      <c r="G11" s="34"/>
      <c r="H11" s="34"/>
      <c r="I11" s="34"/>
      <c r="J11" s="28"/>
    </row>
    <row r="12" spans="2:14" x14ac:dyDescent="0.4">
      <c r="B12" s="23" t="s">
        <v>8</v>
      </c>
      <c r="C12" s="30">
        <f>SUM(C31:C33)</f>
        <v>0.46027397260273972</v>
      </c>
      <c r="D12" s="67">
        <v>0.5</v>
      </c>
      <c r="E12" s="31"/>
      <c r="F12" s="34"/>
      <c r="G12" s="34"/>
      <c r="H12" s="34"/>
      <c r="I12" s="34"/>
      <c r="J12" s="28"/>
    </row>
    <row r="13" spans="2:14" x14ac:dyDescent="0.4">
      <c r="E13" s="31"/>
      <c r="F13" s="34"/>
      <c r="G13" s="34"/>
      <c r="H13" s="34"/>
      <c r="I13" s="34"/>
      <c r="J13" s="28"/>
    </row>
    <row r="14" spans="2:14" x14ac:dyDescent="0.4">
      <c r="B14" s="16" t="s">
        <v>140</v>
      </c>
      <c r="D14" s="69" t="s">
        <v>139</v>
      </c>
      <c r="E14" s="31"/>
      <c r="F14" s="34"/>
      <c r="G14" s="34"/>
      <c r="H14" s="34"/>
      <c r="I14" s="34"/>
      <c r="J14" s="28"/>
    </row>
    <row r="15" spans="2:14" x14ac:dyDescent="0.4">
      <c r="B15" s="18" t="s">
        <v>141</v>
      </c>
      <c r="C15" s="64">
        <f>((F61*D28)+(F72*D33)+(F79*D32)+(F81*D29)+(F83*D30))/C7</f>
        <v>2.610958904109589E-2</v>
      </c>
      <c r="D15" s="68">
        <v>0.3</v>
      </c>
      <c r="E15" s="31"/>
      <c r="F15" s="34"/>
      <c r="G15" s="34"/>
      <c r="H15" s="34"/>
      <c r="I15" s="34"/>
      <c r="J15" s="63"/>
    </row>
    <row r="16" spans="2:14" x14ac:dyDescent="0.4">
      <c r="B16" s="18" t="s">
        <v>142</v>
      </c>
      <c r="C16" s="64">
        <f>(SUM(F40:F42)*D26+SUM(F43:F44)*D27+SUM(F45:F46)*D24+SUM(F47:F53)*D25+SUM(F54:F59)*D23+SUM(F60)*D28+SUM(F62:F70)*D31+SUM(F71)*D33+SUM(F73:F74)*D35+SUM(F75:F77)*D34+SUM(F78)*D32+SUM(F80)*D29+SUM(F82)*D30)/C7</f>
        <v>0.97389041095890405</v>
      </c>
      <c r="D16" s="68">
        <v>0.7</v>
      </c>
      <c r="E16" s="31"/>
      <c r="F16" s="34"/>
      <c r="G16" s="34"/>
      <c r="H16" s="34"/>
      <c r="I16" s="34"/>
      <c r="J16" s="28"/>
    </row>
    <row r="17" spans="2:14" x14ac:dyDescent="0.4">
      <c r="B17" s="39"/>
      <c r="C17" s="70"/>
      <c r="D17" s="71"/>
      <c r="E17" s="31"/>
      <c r="F17" s="34"/>
      <c r="G17" s="34"/>
      <c r="H17" s="34"/>
      <c r="I17" s="34"/>
      <c r="J17" s="28"/>
    </row>
    <row r="18" spans="2:14" x14ac:dyDescent="0.4">
      <c r="B18" s="39"/>
      <c r="C18" s="70"/>
      <c r="D18" s="71"/>
      <c r="E18" s="31"/>
      <c r="F18" s="34"/>
      <c r="G18" s="34"/>
      <c r="H18" s="34"/>
      <c r="I18" s="34"/>
      <c r="J18" s="28"/>
    </row>
    <row r="19" spans="2:14" x14ac:dyDescent="0.4">
      <c r="B19" s="22" t="s">
        <v>13</v>
      </c>
      <c r="C19" s="37"/>
      <c r="J19" s="34"/>
      <c r="K19" s="34"/>
      <c r="L19" s="34"/>
      <c r="M19" s="34"/>
      <c r="N19" s="34"/>
    </row>
    <row r="20" spans="2:14" x14ac:dyDescent="0.4">
      <c r="B20" s="36"/>
      <c r="C20" s="37"/>
      <c r="J20" s="34"/>
      <c r="K20" s="34"/>
      <c r="L20" s="34"/>
      <c r="M20" s="34"/>
      <c r="N20" s="34"/>
    </row>
    <row r="21" spans="2:14" x14ac:dyDescent="0.4">
      <c r="B21" s="39" t="s">
        <v>14</v>
      </c>
      <c r="J21" s="34"/>
      <c r="K21" s="34"/>
      <c r="L21" s="34"/>
      <c r="M21" s="34"/>
      <c r="N21" s="34"/>
    </row>
    <row r="22" spans="2:14" ht="39.4" x14ac:dyDescent="0.4">
      <c r="B22" s="21" t="s">
        <v>15</v>
      </c>
      <c r="C22" s="26" t="s">
        <v>16</v>
      </c>
      <c r="D22" s="26" t="s">
        <v>17</v>
      </c>
      <c r="E22" s="26" t="s">
        <v>18</v>
      </c>
      <c r="F22" s="26" t="s">
        <v>19</v>
      </c>
      <c r="I22" s="34"/>
      <c r="J22" s="34"/>
      <c r="K22" s="34"/>
      <c r="L22" s="34"/>
      <c r="M22" s="34"/>
      <c r="N22" s="34"/>
    </row>
    <row r="23" spans="2:14" x14ac:dyDescent="0.4">
      <c r="B23" s="20" t="s">
        <v>20</v>
      </c>
      <c r="C23" s="91">
        <f>H54+H55+H56+H57+H58+H59</f>
        <v>8.2191780821917783E-3</v>
      </c>
      <c r="D23" s="24">
        <v>2.9999999999999996</v>
      </c>
      <c r="E23" s="49">
        <f>SUM(N54:N59)</f>
        <v>24.291314857142858</v>
      </c>
      <c r="F23" s="49">
        <f>SUM(I54:I59)</f>
        <v>72.873944571428567</v>
      </c>
      <c r="I23" s="34"/>
      <c r="J23" s="34"/>
      <c r="K23" s="34"/>
      <c r="L23" s="34"/>
      <c r="M23" s="34"/>
      <c r="N23" s="34"/>
    </row>
    <row r="24" spans="2:14" x14ac:dyDescent="0.4">
      <c r="B24" s="20" t="s">
        <v>21</v>
      </c>
      <c r="C24" s="91">
        <f>H45+H46</f>
        <v>5.4794520547945206E-3</v>
      </c>
      <c r="D24" s="24">
        <v>2</v>
      </c>
      <c r="E24" s="49">
        <f>SUM(N45:N46)</f>
        <v>16.406103899999998</v>
      </c>
      <c r="F24" s="49">
        <f>SUM(I45:I46)</f>
        <v>32.812207799999996</v>
      </c>
      <c r="I24" s="34"/>
      <c r="J24" s="34"/>
      <c r="K24" s="34"/>
      <c r="L24" s="34"/>
      <c r="M24" s="34"/>
      <c r="N24" s="34"/>
    </row>
    <row r="25" spans="2:14" x14ac:dyDescent="0.4">
      <c r="B25" s="20" t="s">
        <v>22</v>
      </c>
      <c r="C25" s="91">
        <f>H47+H48+H49+H50+H51+H52+H53</f>
        <v>6.0273972602739721E-2</v>
      </c>
      <c r="D25" s="24">
        <v>22</v>
      </c>
      <c r="E25" s="49">
        <f>SUM(N47:N53)</f>
        <v>11.945393876296295</v>
      </c>
      <c r="F25" s="49">
        <f>SUM(I47:I53)</f>
        <v>262.79866527851846</v>
      </c>
      <c r="I25" s="34"/>
      <c r="J25" s="34"/>
      <c r="K25" s="34"/>
      <c r="L25" s="34"/>
      <c r="M25" s="34"/>
      <c r="N25" s="34"/>
    </row>
    <row r="26" spans="2:14" x14ac:dyDescent="0.4">
      <c r="B26" s="20" t="s">
        <v>23</v>
      </c>
      <c r="C26" s="91">
        <f>H40+H41+H42</f>
        <v>9.3150684931506855E-2</v>
      </c>
      <c r="D26" s="24">
        <v>34</v>
      </c>
      <c r="E26" s="49">
        <f>SUM(N40:N42)</f>
        <v>3.5247584216867471</v>
      </c>
      <c r="F26" s="49">
        <f>SUM(I40:I42)</f>
        <v>119.84178633734939</v>
      </c>
      <c r="I26" s="34"/>
      <c r="J26" s="34"/>
      <c r="K26" s="34"/>
      <c r="L26" s="34"/>
      <c r="M26" s="34"/>
      <c r="N26" s="34"/>
    </row>
    <row r="27" spans="2:14" x14ac:dyDescent="0.4">
      <c r="B27" s="20" t="s">
        <v>24</v>
      </c>
      <c r="C27" s="91">
        <f>H43+H44</f>
        <v>5.4794520547945206E-3</v>
      </c>
      <c r="D27" s="24">
        <v>2</v>
      </c>
      <c r="E27" s="49">
        <f>SUM(N43:N44)</f>
        <v>4.2112411489361712</v>
      </c>
      <c r="F27" s="49">
        <f>SUM(I43:I44)</f>
        <v>8.4224822978723424</v>
      </c>
      <c r="I27" s="34"/>
      <c r="J27" s="34"/>
      <c r="K27" s="34"/>
      <c r="L27" s="34"/>
      <c r="M27" s="34"/>
      <c r="N27" s="34"/>
    </row>
    <row r="28" spans="2:14" x14ac:dyDescent="0.4">
      <c r="B28" s="20" t="s">
        <v>25</v>
      </c>
      <c r="C28" s="91">
        <f>H60+H61</f>
        <v>6.0273972602739728E-2</v>
      </c>
      <c r="D28" s="24">
        <v>22</v>
      </c>
      <c r="E28" s="49">
        <f>SUM(N60:N61)</f>
        <v>3.0794528699999999</v>
      </c>
      <c r="F28" s="49">
        <f>SUM(I60:I61)</f>
        <v>67.747963139999996</v>
      </c>
      <c r="I28" s="34"/>
      <c r="J28" s="34"/>
      <c r="K28" s="34"/>
      <c r="L28" s="34"/>
      <c r="M28" s="34"/>
      <c r="N28" s="34"/>
    </row>
    <row r="29" spans="2:14" x14ac:dyDescent="0.4">
      <c r="B29" s="20" t="s">
        <v>26</v>
      </c>
      <c r="C29" s="91">
        <f>H80+H81</f>
        <v>4.1095890410958902E-2</v>
      </c>
      <c r="D29" s="24">
        <v>15</v>
      </c>
      <c r="E29" s="49">
        <f>SUM(N80:N81)</f>
        <v>5.5226759035714279</v>
      </c>
      <c r="F29" s="49">
        <f>SUM(I80:I81)</f>
        <v>82.840138553571421</v>
      </c>
      <c r="I29" s="34"/>
      <c r="J29" s="34"/>
      <c r="K29" s="34"/>
      <c r="L29" s="34"/>
      <c r="M29" s="34"/>
      <c r="N29" s="34"/>
    </row>
    <row r="30" spans="2:14" x14ac:dyDescent="0.4">
      <c r="B30" s="20" t="s">
        <v>27</v>
      </c>
      <c r="C30" s="91">
        <f>H82+H83</f>
        <v>1.643835616438356E-2</v>
      </c>
      <c r="D30" s="24">
        <v>5.9999999999999991</v>
      </c>
      <c r="E30" s="49">
        <f>SUM(N82:N83)</f>
        <v>5.2610641187624996</v>
      </c>
      <c r="F30" s="49">
        <f>SUM(I82:I83)</f>
        <v>31.566384712574994</v>
      </c>
      <c r="I30" s="34"/>
      <c r="J30" s="34"/>
      <c r="K30" s="34"/>
      <c r="L30" s="34"/>
      <c r="M30" s="34"/>
      <c r="N30" s="34"/>
    </row>
    <row r="31" spans="2:14" x14ac:dyDescent="0.4">
      <c r="B31" s="20" t="s">
        <v>28</v>
      </c>
      <c r="C31" s="91">
        <f>H62+H63+H64+H65+H66+H67+H68+H69+H70</f>
        <v>0.19726027397260273</v>
      </c>
      <c r="D31" s="24">
        <v>72</v>
      </c>
      <c r="E31" s="49">
        <f>SUM(N62:N70)</f>
        <v>0.4049254074889867</v>
      </c>
      <c r="F31" s="49">
        <f>SUM(I62:I70)</f>
        <v>29.154629339207048</v>
      </c>
      <c r="I31" s="34"/>
      <c r="J31" s="34"/>
      <c r="K31" s="34"/>
      <c r="L31" s="34"/>
      <c r="M31" s="34"/>
      <c r="N31" s="34"/>
    </row>
    <row r="32" spans="2:14" x14ac:dyDescent="0.4">
      <c r="B32" s="20" t="s">
        <v>29</v>
      </c>
      <c r="C32" s="91">
        <f>H78+H79</f>
        <v>4.3835616438356165E-2</v>
      </c>
      <c r="D32" s="24">
        <v>16</v>
      </c>
      <c r="E32" s="49">
        <f>SUM(N78:N79)</f>
        <v>0.42478675000000005</v>
      </c>
      <c r="F32" s="49">
        <f>SUM(I78:I79)</f>
        <v>6.7965880000000007</v>
      </c>
      <c r="I32" s="34"/>
      <c r="J32" s="34"/>
      <c r="K32" s="34"/>
      <c r="L32" s="34"/>
      <c r="M32" s="34"/>
      <c r="N32" s="34"/>
    </row>
    <row r="33" spans="2:14" x14ac:dyDescent="0.4">
      <c r="B33" s="20" t="s">
        <v>30</v>
      </c>
      <c r="C33" s="91">
        <f>H71+H72</f>
        <v>0.21917808219178081</v>
      </c>
      <c r="D33" s="24">
        <v>80</v>
      </c>
      <c r="E33" s="49">
        <f>SUM(N71:N72)</f>
        <v>0.81906525133333319</v>
      </c>
      <c r="F33" s="49">
        <f>SUM(I71:I72)</f>
        <v>65.525220106666652</v>
      </c>
      <c r="I33" s="34"/>
      <c r="J33" s="34"/>
      <c r="K33" s="34"/>
      <c r="L33" s="34"/>
      <c r="M33" s="34"/>
      <c r="N33" s="34"/>
    </row>
    <row r="34" spans="2:14" x14ac:dyDescent="0.4">
      <c r="B34" s="20" t="s">
        <v>31</v>
      </c>
      <c r="C34" s="91">
        <f>H75+H76+H77</f>
        <v>0.12328767123287673</v>
      </c>
      <c r="D34" s="24">
        <v>45</v>
      </c>
      <c r="E34" s="49">
        <f>SUM(N75:N77)</f>
        <v>2.5732208043478266</v>
      </c>
      <c r="F34" s="49">
        <f>SUM(I75:I77)</f>
        <v>115.79493619565218</v>
      </c>
      <c r="I34" s="34"/>
      <c r="J34" s="34"/>
      <c r="K34" s="34"/>
      <c r="L34" s="34"/>
      <c r="M34" s="34"/>
      <c r="N34" s="34"/>
    </row>
    <row r="35" spans="2:14" x14ac:dyDescent="0.4">
      <c r="B35" s="20" t="s">
        <v>32</v>
      </c>
      <c r="C35" s="91">
        <f>H73+H74</f>
        <v>0.12602739726027398</v>
      </c>
      <c r="D35" s="24">
        <v>46</v>
      </c>
      <c r="E35" s="49">
        <f>SUM(N73:N74)</f>
        <v>0.72266448936170213</v>
      </c>
      <c r="F35" s="49">
        <f>SUM(I73:I74)</f>
        <v>33.242566510638298</v>
      </c>
      <c r="I35" s="34"/>
      <c r="J35" s="34"/>
      <c r="K35" s="34"/>
      <c r="L35" s="34"/>
      <c r="M35" s="34"/>
      <c r="N35" s="34"/>
    </row>
    <row r="36" spans="2:14" s="14" customFormat="1" x14ac:dyDescent="0.4">
      <c r="D36" s="75"/>
    </row>
    <row r="37" spans="2:14" x14ac:dyDescent="0.4">
      <c r="C37" s="61"/>
      <c r="D37" s="25"/>
    </row>
    <row r="38" spans="2:14" x14ac:dyDescent="0.4">
      <c r="B38" s="22" t="s">
        <v>143</v>
      </c>
      <c r="J38" s="25"/>
    </row>
    <row r="39" spans="2:14" ht="26.25" x14ac:dyDescent="0.4">
      <c r="B39" s="117" t="s">
        <v>33</v>
      </c>
      <c r="C39" s="117" t="s">
        <v>15</v>
      </c>
      <c r="D39" s="117" t="s">
        <v>34</v>
      </c>
      <c r="E39" s="117" t="s">
        <v>35</v>
      </c>
      <c r="F39" s="118" t="s">
        <v>144</v>
      </c>
      <c r="G39" s="118" t="s">
        <v>145</v>
      </c>
      <c r="H39" s="118" t="s">
        <v>146</v>
      </c>
      <c r="I39" s="118" t="s">
        <v>147</v>
      </c>
      <c r="J39" s="118" t="s">
        <v>148</v>
      </c>
      <c r="K39" s="118" t="s">
        <v>149</v>
      </c>
      <c r="L39" s="118" t="s">
        <v>150</v>
      </c>
      <c r="M39" s="118" t="s">
        <v>151</v>
      </c>
      <c r="N39" s="118" t="s">
        <v>152</v>
      </c>
    </row>
    <row r="40" spans="2:14" x14ac:dyDescent="0.4">
      <c r="B40" s="92">
        <v>1</v>
      </c>
      <c r="C40" s="93" t="s">
        <v>23</v>
      </c>
      <c r="D40" s="92" t="s">
        <v>40</v>
      </c>
      <c r="E40" s="93" t="s">
        <v>41</v>
      </c>
      <c r="F40" s="94">
        <v>0.4337349397590361</v>
      </c>
      <c r="G40" s="95">
        <f>F40*D$26</f>
        <v>14.746987951807228</v>
      </c>
      <c r="H40" s="96">
        <f>G40/$C$7</f>
        <v>4.0402706717280072E-2</v>
      </c>
      <c r="I40" s="97">
        <f t="shared" ref="I40:I86" si="0">G40*M40</f>
        <v>49.850246168674694</v>
      </c>
      <c r="J40" s="98">
        <v>2.995031</v>
      </c>
      <c r="K40" s="98">
        <v>0.38144</v>
      </c>
      <c r="L40" s="98">
        <v>3.8969999999999999E-3</v>
      </c>
      <c r="M40" s="98">
        <f>SUM(J40:L40)</f>
        <v>3.3803679999999998</v>
      </c>
      <c r="N40" s="99">
        <f t="shared" ref="N40:N86" si="1">F40*M40</f>
        <v>1.4661837108433733</v>
      </c>
    </row>
    <row r="41" spans="2:14" x14ac:dyDescent="0.4">
      <c r="B41" s="92">
        <v>2</v>
      </c>
      <c r="C41" s="93" t="s">
        <v>23</v>
      </c>
      <c r="D41" s="92" t="s">
        <v>42</v>
      </c>
      <c r="E41" s="92" t="s">
        <v>41</v>
      </c>
      <c r="F41" s="100">
        <v>1.2048192771084336E-2</v>
      </c>
      <c r="G41" s="95">
        <f t="shared" ref="G41:G42" si="2">F41*D$26</f>
        <v>0.40963855421686746</v>
      </c>
      <c r="H41" s="96">
        <f t="shared" ref="H41:H83" si="3">G41/$C$7</f>
        <v>1.1222974088133356E-3</v>
      </c>
      <c r="I41" s="97">
        <f t="shared" si="0"/>
        <v>1.5414784819277108</v>
      </c>
      <c r="J41" s="98">
        <v>2.9989279999999998</v>
      </c>
      <c r="K41" s="98">
        <v>0.76137900000000003</v>
      </c>
      <c r="L41" s="98">
        <v>2.7139999999999998E-3</v>
      </c>
      <c r="M41" s="98">
        <f t="shared" ref="M41:M86" si="4">SUM(J41:L41)</f>
        <v>3.7630210000000002</v>
      </c>
      <c r="N41" s="99">
        <f t="shared" si="1"/>
        <v>4.533760240963855E-2</v>
      </c>
    </row>
    <row r="42" spans="2:14" x14ac:dyDescent="0.4">
      <c r="B42" s="92">
        <v>3</v>
      </c>
      <c r="C42" s="93" t="s">
        <v>23</v>
      </c>
      <c r="D42" s="92" t="s">
        <v>42</v>
      </c>
      <c r="E42" s="92" t="s">
        <v>43</v>
      </c>
      <c r="F42" s="100">
        <v>0.55421686746987953</v>
      </c>
      <c r="G42" s="95">
        <f t="shared" si="2"/>
        <v>18.843373493975903</v>
      </c>
      <c r="H42" s="96">
        <f t="shared" si="3"/>
        <v>5.1625680805413438E-2</v>
      </c>
      <c r="I42" s="97">
        <f t="shared" si="0"/>
        <v>68.450061686746992</v>
      </c>
      <c r="J42" s="98">
        <v>2.5277020000000001</v>
      </c>
      <c r="K42" s="98">
        <v>0.68049199999999999</v>
      </c>
      <c r="L42" s="98">
        <v>0.42438599999999999</v>
      </c>
      <c r="M42" s="98">
        <f t="shared" si="4"/>
        <v>3.6325800000000004</v>
      </c>
      <c r="N42" s="99">
        <f t="shared" si="1"/>
        <v>2.013237108433735</v>
      </c>
    </row>
    <row r="43" spans="2:14" ht="13.15" hidden="1" customHeight="1" x14ac:dyDescent="0.4">
      <c r="B43" s="101">
        <v>4</v>
      </c>
      <c r="C43" s="102" t="s">
        <v>24</v>
      </c>
      <c r="D43" s="101" t="s">
        <v>40</v>
      </c>
      <c r="E43" s="102" t="s">
        <v>41</v>
      </c>
      <c r="F43" s="103">
        <v>0.36170212765957449</v>
      </c>
      <c r="G43" s="104">
        <f>F43*D$27</f>
        <v>0.72340425531914898</v>
      </c>
      <c r="H43" s="105">
        <f t="shared" si="3"/>
        <v>1.9819294666278053E-3</v>
      </c>
      <c r="I43" s="106">
        <f t="shared" si="0"/>
        <v>2.9964793191489369</v>
      </c>
      <c r="J43" s="107">
        <v>3.812459</v>
      </c>
      <c r="K43" s="107">
        <v>0.32567699999999999</v>
      </c>
      <c r="L43" s="107">
        <v>4.0559999999999997E-3</v>
      </c>
      <c r="M43" s="107">
        <f t="shared" si="4"/>
        <v>4.1421920000000005</v>
      </c>
      <c r="N43" s="108">
        <f t="shared" si="1"/>
        <v>1.4982396595744685</v>
      </c>
    </row>
    <row r="44" spans="2:14" ht="13.15" hidden="1" customHeight="1" x14ac:dyDescent="0.4">
      <c r="B44" s="101">
        <v>5</v>
      </c>
      <c r="C44" s="102" t="s">
        <v>24</v>
      </c>
      <c r="D44" s="101" t="s">
        <v>42</v>
      </c>
      <c r="E44" s="102" t="s">
        <v>41</v>
      </c>
      <c r="F44" s="103">
        <v>0.63829787234042556</v>
      </c>
      <c r="G44" s="104">
        <f>F44*D$27</f>
        <v>1.2765957446808511</v>
      </c>
      <c r="H44" s="105">
        <f t="shared" si="3"/>
        <v>3.4975225881667153E-3</v>
      </c>
      <c r="I44" s="106">
        <f t="shared" si="0"/>
        <v>5.426002978723405</v>
      </c>
      <c r="J44" s="107">
        <v>3.812459</v>
      </c>
      <c r="K44" s="107">
        <v>0.43385400000000002</v>
      </c>
      <c r="L44" s="107">
        <v>4.0559999999999997E-3</v>
      </c>
      <c r="M44" s="107">
        <f t="shared" si="4"/>
        <v>4.2503690000000001</v>
      </c>
      <c r="N44" s="108">
        <f t="shared" si="1"/>
        <v>2.7130014893617025</v>
      </c>
    </row>
    <row r="45" spans="2:14" ht="13.15" hidden="1" customHeight="1" x14ac:dyDescent="0.4">
      <c r="B45" s="92">
        <v>6</v>
      </c>
      <c r="C45" s="93" t="s">
        <v>21</v>
      </c>
      <c r="D45" s="92" t="s">
        <v>44</v>
      </c>
      <c r="E45" s="92" t="s">
        <v>45</v>
      </c>
      <c r="F45" s="100">
        <v>0.3</v>
      </c>
      <c r="G45" s="109">
        <f>F45*D$24</f>
        <v>0.6</v>
      </c>
      <c r="H45" s="96">
        <f t="shared" si="3"/>
        <v>1.643835616438356E-3</v>
      </c>
      <c r="I45" s="97">
        <f t="shared" si="0"/>
        <v>12.732062399999998</v>
      </c>
      <c r="J45" s="98">
        <v>13.19894</v>
      </c>
      <c r="K45" s="98">
        <v>0.90092099999999997</v>
      </c>
      <c r="L45" s="98">
        <v>7.1202430000000003</v>
      </c>
      <c r="M45" s="98">
        <f t="shared" si="4"/>
        <v>21.220103999999999</v>
      </c>
      <c r="N45" s="99">
        <f t="shared" si="1"/>
        <v>6.3660311999999992</v>
      </c>
    </row>
    <row r="46" spans="2:14" ht="13.15" hidden="1" customHeight="1" x14ac:dyDescent="0.4">
      <c r="B46" s="92">
        <v>7</v>
      </c>
      <c r="C46" s="93" t="s">
        <v>21</v>
      </c>
      <c r="D46" s="92" t="s">
        <v>42</v>
      </c>
      <c r="E46" s="92" t="s">
        <v>45</v>
      </c>
      <c r="F46" s="100">
        <v>0.7</v>
      </c>
      <c r="G46" s="109">
        <f>F46*D$24</f>
        <v>1.4</v>
      </c>
      <c r="H46" s="96">
        <f t="shared" si="3"/>
        <v>3.8356164383561643E-3</v>
      </c>
      <c r="I46" s="97">
        <f t="shared" si="0"/>
        <v>20.080145399999999</v>
      </c>
      <c r="J46" s="98">
        <v>13.19894</v>
      </c>
      <c r="K46" s="98">
        <v>0.96768900000000002</v>
      </c>
      <c r="L46" s="98">
        <v>0.17633199999999999</v>
      </c>
      <c r="M46" s="98">
        <f t="shared" si="4"/>
        <v>14.342961000000001</v>
      </c>
      <c r="N46" s="99">
        <f t="shared" si="1"/>
        <v>10.0400727</v>
      </c>
    </row>
    <row r="47" spans="2:14" x14ac:dyDescent="0.4">
      <c r="B47" s="101">
        <v>8</v>
      </c>
      <c r="C47" s="102" t="s">
        <v>22</v>
      </c>
      <c r="D47" s="101" t="s">
        <v>40</v>
      </c>
      <c r="E47" s="102" t="s">
        <v>46</v>
      </c>
      <c r="F47" s="103">
        <v>0.20987654320987653</v>
      </c>
      <c r="G47" s="104">
        <f>F47*D$25</f>
        <v>4.617283950617284</v>
      </c>
      <c r="H47" s="105">
        <f t="shared" si="3"/>
        <v>1.2650093015389819E-2</v>
      </c>
      <c r="I47" s="106">
        <f t="shared" si="0"/>
        <v>41.598714693827162</v>
      </c>
      <c r="J47" s="107">
        <v>7.22039819</v>
      </c>
      <c r="K47" s="107">
        <v>1.7484542000000001</v>
      </c>
      <c r="L47" s="107">
        <v>4.0494910000000002E-2</v>
      </c>
      <c r="M47" s="107">
        <f t="shared" si="4"/>
        <v>9.0093472999999999</v>
      </c>
      <c r="N47" s="108">
        <f t="shared" si="1"/>
        <v>1.8908506679012345</v>
      </c>
    </row>
    <row r="48" spans="2:14" x14ac:dyDescent="0.4">
      <c r="B48" s="101">
        <v>9</v>
      </c>
      <c r="C48" s="102" t="s">
        <v>22</v>
      </c>
      <c r="D48" s="101" t="s">
        <v>44</v>
      </c>
      <c r="E48" s="101" t="s">
        <v>43</v>
      </c>
      <c r="F48" s="110">
        <v>0.12345679012345678</v>
      </c>
      <c r="G48" s="104">
        <f t="shared" ref="G48:G53" si="5">F48*D$25</f>
        <v>2.716049382716049</v>
      </c>
      <c r="H48" s="105">
        <f t="shared" si="3"/>
        <v>7.4412311855234217E-3</v>
      </c>
      <c r="I48" s="106">
        <f t="shared" si="0"/>
        <v>73.262804999999986</v>
      </c>
      <c r="J48" s="107">
        <v>7.2956225999999997</v>
      </c>
      <c r="K48" s="107">
        <v>0.81951735000000003</v>
      </c>
      <c r="L48" s="107">
        <v>18.8588928</v>
      </c>
      <c r="M48" s="107">
        <f t="shared" si="4"/>
        <v>26.974032749999999</v>
      </c>
      <c r="N48" s="108">
        <f t="shared" si="1"/>
        <v>3.3301274999999997</v>
      </c>
    </row>
    <row r="49" spans="2:14" x14ac:dyDescent="0.4">
      <c r="B49" s="101">
        <v>10</v>
      </c>
      <c r="C49" s="102" t="s">
        <v>22</v>
      </c>
      <c r="D49" s="101" t="s">
        <v>44</v>
      </c>
      <c r="E49" s="101" t="s">
        <v>45</v>
      </c>
      <c r="F49" s="110">
        <v>4.9382716049382713E-2</v>
      </c>
      <c r="G49" s="104">
        <f t="shared" si="5"/>
        <v>1.0864197530864197</v>
      </c>
      <c r="H49" s="105">
        <f t="shared" si="3"/>
        <v>2.9764924742093691E-3</v>
      </c>
      <c r="I49" s="106">
        <f t="shared" si="0"/>
        <v>19.913945550617285</v>
      </c>
      <c r="J49" s="107">
        <v>7.1395445799999999</v>
      </c>
      <c r="K49" s="107">
        <v>4.0700936900000002</v>
      </c>
      <c r="L49" s="107">
        <v>7.1202434300000004</v>
      </c>
      <c r="M49" s="107">
        <f t="shared" si="4"/>
        <v>18.329881700000001</v>
      </c>
      <c r="N49" s="108">
        <f t="shared" si="1"/>
        <v>0.90517934320987659</v>
      </c>
    </row>
    <row r="50" spans="2:14" x14ac:dyDescent="0.4">
      <c r="B50" s="101">
        <v>11</v>
      </c>
      <c r="C50" s="102" t="s">
        <v>22</v>
      </c>
      <c r="D50" s="101" t="s">
        <v>42</v>
      </c>
      <c r="E50" s="101" t="s">
        <v>43</v>
      </c>
      <c r="F50" s="110">
        <v>0.29629629629629628</v>
      </c>
      <c r="G50" s="104">
        <f t="shared" si="5"/>
        <v>6.5185185185185182</v>
      </c>
      <c r="H50" s="105">
        <f t="shared" si="3"/>
        <v>1.7858954845256216E-2</v>
      </c>
      <c r="I50" s="106">
        <f t="shared" si="0"/>
        <v>55.837654074074074</v>
      </c>
      <c r="J50" s="107">
        <v>7.2956225999999997</v>
      </c>
      <c r="K50" s="107">
        <v>0.84836555000000002</v>
      </c>
      <c r="L50" s="107">
        <v>0.42201559999999999</v>
      </c>
      <c r="M50" s="107">
        <f t="shared" si="4"/>
        <v>8.5660037500000001</v>
      </c>
      <c r="N50" s="108">
        <f t="shared" si="1"/>
        <v>2.538075185185185</v>
      </c>
    </row>
    <row r="51" spans="2:14" x14ac:dyDescent="0.4">
      <c r="B51" s="101">
        <v>12</v>
      </c>
      <c r="C51" s="102" t="s">
        <v>22</v>
      </c>
      <c r="D51" s="101" t="s">
        <v>42</v>
      </c>
      <c r="E51" s="101" t="s">
        <v>45</v>
      </c>
      <c r="F51" s="110">
        <v>9.8765432098765427E-2</v>
      </c>
      <c r="G51" s="104">
        <f t="shared" si="5"/>
        <v>2.1728395061728394</v>
      </c>
      <c r="H51" s="105">
        <f t="shared" si="3"/>
        <v>5.9529849484187382E-3</v>
      </c>
      <c r="I51" s="106">
        <f t="shared" si="0"/>
        <v>24.950074257777775</v>
      </c>
      <c r="J51" s="107">
        <v>7.1395445799999999</v>
      </c>
      <c r="K51" s="107">
        <v>4.1668280099999997</v>
      </c>
      <c r="L51" s="107">
        <v>0.17633204</v>
      </c>
      <c r="M51" s="107">
        <f t="shared" si="4"/>
        <v>11.482704629999999</v>
      </c>
      <c r="N51" s="108">
        <f t="shared" si="1"/>
        <v>1.1340942844444444</v>
      </c>
    </row>
    <row r="52" spans="2:14" x14ac:dyDescent="0.4">
      <c r="B52" s="101">
        <v>13</v>
      </c>
      <c r="C52" s="102" t="s">
        <v>22</v>
      </c>
      <c r="D52" s="101" t="s">
        <v>42</v>
      </c>
      <c r="E52" s="101" t="s">
        <v>47</v>
      </c>
      <c r="F52" s="110">
        <v>0.14814814814814814</v>
      </c>
      <c r="G52" s="104">
        <f t="shared" si="5"/>
        <v>3.2592592592592591</v>
      </c>
      <c r="H52" s="105">
        <f t="shared" si="3"/>
        <v>8.9294774226281078E-3</v>
      </c>
      <c r="I52" s="106">
        <f t="shared" si="0"/>
        <v>31.976668044444438</v>
      </c>
      <c r="J52" s="107">
        <v>7.0857764300000001</v>
      </c>
      <c r="K52" s="107">
        <v>2.3632220799999999</v>
      </c>
      <c r="L52" s="107">
        <v>0.36202464000000001</v>
      </c>
      <c r="M52" s="107">
        <f t="shared" si="4"/>
        <v>9.8110231499999987</v>
      </c>
      <c r="N52" s="108">
        <f t="shared" si="1"/>
        <v>1.4534849111111108</v>
      </c>
    </row>
    <row r="53" spans="2:14" x14ac:dyDescent="0.4">
      <c r="B53" s="101">
        <v>14</v>
      </c>
      <c r="C53" s="102" t="s">
        <v>22</v>
      </c>
      <c r="D53" s="101" t="s">
        <v>42</v>
      </c>
      <c r="E53" s="101" t="s">
        <v>48</v>
      </c>
      <c r="F53" s="110">
        <v>7.407407407407407E-2</v>
      </c>
      <c r="G53" s="104">
        <f t="shared" si="5"/>
        <v>1.6296296296296295</v>
      </c>
      <c r="H53" s="105">
        <f t="shared" si="3"/>
        <v>4.4647387113140539E-3</v>
      </c>
      <c r="I53" s="106">
        <f t="shared" si="0"/>
        <v>15.258803657777776</v>
      </c>
      <c r="J53" s="107">
        <v>7.2956225999999997</v>
      </c>
      <c r="K53" s="107">
        <v>1.77765705</v>
      </c>
      <c r="L53" s="107">
        <v>0.29007714000000001</v>
      </c>
      <c r="M53" s="107">
        <f t="shared" si="4"/>
        <v>9.3633567899999992</v>
      </c>
      <c r="N53" s="108">
        <f t="shared" si="1"/>
        <v>0.6935819844444443</v>
      </c>
    </row>
    <row r="54" spans="2:14" x14ac:dyDescent="0.4">
      <c r="B54" s="92">
        <v>15</v>
      </c>
      <c r="C54" s="93" t="s">
        <v>20</v>
      </c>
      <c r="D54" s="92" t="s">
        <v>44</v>
      </c>
      <c r="E54" s="92" t="s">
        <v>43</v>
      </c>
      <c r="F54" s="100">
        <v>0.17582417582417581</v>
      </c>
      <c r="G54" s="109">
        <f>F54*D$23</f>
        <v>0.52747252747252737</v>
      </c>
      <c r="H54" s="96">
        <f t="shared" si="3"/>
        <v>1.4451302122534997E-3</v>
      </c>
      <c r="I54" s="97">
        <f t="shared" si="0"/>
        <v>20.248207120879115</v>
      </c>
      <c r="J54" s="98">
        <v>18.833870000000001</v>
      </c>
      <c r="K54" s="98">
        <v>0.69446600000000003</v>
      </c>
      <c r="L54" s="98">
        <v>18.858889999999999</v>
      </c>
      <c r="M54" s="98">
        <f t="shared" si="4"/>
        <v>38.387225999999998</v>
      </c>
      <c r="N54" s="99">
        <f t="shared" si="1"/>
        <v>6.7494023736263724</v>
      </c>
    </row>
    <row r="55" spans="2:14" x14ac:dyDescent="0.4">
      <c r="B55" s="92">
        <v>16</v>
      </c>
      <c r="C55" s="93" t="s">
        <v>20</v>
      </c>
      <c r="D55" s="92" t="s">
        <v>44</v>
      </c>
      <c r="E55" s="92" t="s">
        <v>45</v>
      </c>
      <c r="F55" s="100">
        <v>8.7912087912087905E-2</v>
      </c>
      <c r="G55" s="109">
        <f t="shared" ref="G55:G58" si="6">F55*D$23</f>
        <v>0.26373626373626369</v>
      </c>
      <c r="H55" s="96">
        <f t="shared" si="3"/>
        <v>7.2256510612674985E-4</v>
      </c>
      <c r="I55" s="97">
        <f t="shared" si="0"/>
        <v>7.2519072527472508</v>
      </c>
      <c r="J55" s="98">
        <v>18.857240000000001</v>
      </c>
      <c r="K55" s="98">
        <v>1.5193319999999999</v>
      </c>
      <c r="L55" s="98">
        <v>7.1202430000000003</v>
      </c>
      <c r="M55" s="98">
        <f t="shared" si="4"/>
        <v>27.496814999999998</v>
      </c>
      <c r="N55" s="99">
        <f t="shared" si="1"/>
        <v>2.4173024175824174</v>
      </c>
    </row>
    <row r="56" spans="2:14" x14ac:dyDescent="0.4">
      <c r="B56" s="92">
        <v>17</v>
      </c>
      <c r="C56" s="93" t="s">
        <v>20</v>
      </c>
      <c r="D56" s="92" t="s">
        <v>44</v>
      </c>
      <c r="E56" s="92" t="s">
        <v>49</v>
      </c>
      <c r="F56" s="100">
        <v>3.2967032967032968E-2</v>
      </c>
      <c r="G56" s="109">
        <f t="shared" si="6"/>
        <v>9.8901098901098883E-2</v>
      </c>
      <c r="H56" s="96">
        <f t="shared" si="3"/>
        <v>2.7096191479753119E-4</v>
      </c>
      <c r="I56" s="97">
        <f t="shared" si="0"/>
        <v>2.8968907252747247</v>
      </c>
      <c r="J56" s="98">
        <v>18.760680000000001</v>
      </c>
      <c r="K56" s="98">
        <v>0.63292700000000002</v>
      </c>
      <c r="L56" s="98">
        <v>9.8971769999999992</v>
      </c>
      <c r="M56" s="98">
        <f t="shared" si="4"/>
        <v>29.290783999999999</v>
      </c>
      <c r="N56" s="99">
        <f t="shared" si="1"/>
        <v>0.96563024175824175</v>
      </c>
    </row>
    <row r="57" spans="2:14" x14ac:dyDescent="0.4">
      <c r="B57" s="92">
        <v>18</v>
      </c>
      <c r="C57" s="93" t="s">
        <v>20</v>
      </c>
      <c r="D57" s="92" t="s">
        <v>42</v>
      </c>
      <c r="E57" s="92" t="s">
        <v>43</v>
      </c>
      <c r="F57" s="100">
        <v>0.39560439560439559</v>
      </c>
      <c r="G57" s="109">
        <f t="shared" si="6"/>
        <v>1.1868131868131866</v>
      </c>
      <c r="H57" s="96">
        <f t="shared" si="3"/>
        <v>3.2515429775703741E-3</v>
      </c>
      <c r="I57" s="97">
        <f t="shared" si="0"/>
        <v>23.700534725274721</v>
      </c>
      <c r="J57" s="98">
        <v>18.833870000000001</v>
      </c>
      <c r="K57" s="98">
        <v>0.714009</v>
      </c>
      <c r="L57" s="98">
        <v>0.422016</v>
      </c>
      <c r="M57" s="98">
        <f t="shared" si="4"/>
        <v>19.969895000000001</v>
      </c>
      <c r="N57" s="99">
        <f t="shared" si="1"/>
        <v>7.9001782417582422</v>
      </c>
    </row>
    <row r="58" spans="2:14" x14ac:dyDescent="0.4">
      <c r="B58" s="92">
        <v>19</v>
      </c>
      <c r="C58" s="93" t="s">
        <v>20</v>
      </c>
      <c r="D58" s="92" t="s">
        <v>42</v>
      </c>
      <c r="E58" s="92" t="s">
        <v>45</v>
      </c>
      <c r="F58" s="100">
        <v>0.21978021978021978</v>
      </c>
      <c r="G58" s="109">
        <f t="shared" si="6"/>
        <v>0.65934065934065922</v>
      </c>
      <c r="H58" s="96">
        <f t="shared" si="3"/>
        <v>1.8064127653168746E-3</v>
      </c>
      <c r="I58" s="97">
        <f t="shared" si="0"/>
        <v>13.595388131868129</v>
      </c>
      <c r="J58" s="98">
        <v>18.857240000000001</v>
      </c>
      <c r="K58" s="98">
        <v>1.5861000000000001</v>
      </c>
      <c r="L58" s="98">
        <v>0.17633199999999999</v>
      </c>
      <c r="M58" s="98">
        <f t="shared" si="4"/>
        <v>20.619671999999998</v>
      </c>
      <c r="N58" s="99">
        <f t="shared" si="1"/>
        <v>4.5317960439560432</v>
      </c>
    </row>
    <row r="59" spans="2:14" x14ac:dyDescent="0.4">
      <c r="B59" s="92">
        <v>20</v>
      </c>
      <c r="C59" s="93" t="s">
        <v>20</v>
      </c>
      <c r="D59" s="92" t="s">
        <v>42</v>
      </c>
      <c r="E59" s="92" t="s">
        <v>49</v>
      </c>
      <c r="F59" s="100">
        <v>8.7912087912087905E-2</v>
      </c>
      <c r="G59" s="109">
        <f>F59*D$23</f>
        <v>0.26373626373626369</v>
      </c>
      <c r="H59" s="96">
        <f t="shared" si="3"/>
        <v>7.2256510612674985E-4</v>
      </c>
      <c r="I59" s="97">
        <f t="shared" si="0"/>
        <v>5.1810166153846149</v>
      </c>
      <c r="J59" s="98">
        <v>18.760680000000001</v>
      </c>
      <c r="K59" s="98">
        <v>0.64853400000000005</v>
      </c>
      <c r="L59" s="98">
        <v>0.23547399999999999</v>
      </c>
      <c r="M59" s="98">
        <f t="shared" si="4"/>
        <v>19.644688000000002</v>
      </c>
      <c r="N59" s="99">
        <f t="shared" si="1"/>
        <v>1.7270055384615386</v>
      </c>
    </row>
    <row r="60" spans="2:14" x14ac:dyDescent="0.4">
      <c r="B60" s="101">
        <v>21</v>
      </c>
      <c r="C60" s="102" t="s">
        <v>25</v>
      </c>
      <c r="D60" s="101" t="s">
        <v>40</v>
      </c>
      <c r="E60" s="101" t="s">
        <v>41</v>
      </c>
      <c r="F60" s="110">
        <v>0.81</v>
      </c>
      <c r="G60" s="111">
        <f>F60*D$28</f>
        <v>17.82</v>
      </c>
      <c r="H60" s="105">
        <f t="shared" si="3"/>
        <v>4.8821917808219178E-2</v>
      </c>
      <c r="I60" s="106">
        <f t="shared" si="0"/>
        <v>55.393291799999993</v>
      </c>
      <c r="J60" s="107">
        <v>3.0457689999999999</v>
      </c>
      <c r="K60" s="107">
        <v>5.5363000000000002E-2</v>
      </c>
      <c r="L60" s="107">
        <v>7.358E-3</v>
      </c>
      <c r="M60" s="107">
        <f t="shared" si="4"/>
        <v>3.1084899999999998</v>
      </c>
      <c r="N60" s="108">
        <f t="shared" si="1"/>
        <v>2.5178769000000001</v>
      </c>
    </row>
    <row r="61" spans="2:14" s="62" customFormat="1" x14ac:dyDescent="0.4">
      <c r="B61" s="101">
        <v>22</v>
      </c>
      <c r="C61" s="102" t="s">
        <v>25</v>
      </c>
      <c r="D61" s="101" t="s">
        <v>40</v>
      </c>
      <c r="E61" s="101" t="s">
        <v>50</v>
      </c>
      <c r="F61" s="110">
        <v>0.19</v>
      </c>
      <c r="G61" s="111">
        <f>F61*D$28</f>
        <v>4.18</v>
      </c>
      <c r="H61" s="105">
        <f t="shared" si="3"/>
        <v>1.1452054794520548E-2</v>
      </c>
      <c r="I61" s="106">
        <f t="shared" si="0"/>
        <v>12.354671339999999</v>
      </c>
      <c r="J61" s="107">
        <v>2.924229</v>
      </c>
      <c r="K61" s="107">
        <v>3.1273000000000002E-2</v>
      </c>
      <c r="L61" s="107">
        <v>1.6100000000000001E-4</v>
      </c>
      <c r="M61" s="107">
        <f t="shared" si="4"/>
        <v>2.9556629999999999</v>
      </c>
      <c r="N61" s="108">
        <f t="shared" si="1"/>
        <v>0.56157597000000004</v>
      </c>
    </row>
    <row r="62" spans="2:14" x14ac:dyDescent="0.4">
      <c r="B62" s="92">
        <v>23</v>
      </c>
      <c r="C62" s="93" t="s">
        <v>28</v>
      </c>
      <c r="D62" s="92" t="s">
        <v>51</v>
      </c>
      <c r="E62" s="92" t="s">
        <v>41</v>
      </c>
      <c r="F62" s="100">
        <v>9.0308370044052858E-2</v>
      </c>
      <c r="G62" s="109">
        <f>F62*D$31</f>
        <v>6.5022026431718061</v>
      </c>
      <c r="H62" s="96">
        <f t="shared" si="3"/>
        <v>1.7814253816909056E-2</v>
      </c>
      <c r="I62" s="97">
        <f t="shared" si="0"/>
        <v>2.4878402643171809</v>
      </c>
      <c r="J62" s="98">
        <v>0.19164700000000001</v>
      </c>
      <c r="K62" s="98">
        <v>0.10198699999999999</v>
      </c>
      <c r="L62" s="98">
        <v>8.8981000000000005E-2</v>
      </c>
      <c r="M62" s="98">
        <f t="shared" si="4"/>
        <v>0.38261500000000004</v>
      </c>
      <c r="N62" s="99">
        <f t="shared" si="1"/>
        <v>3.4553337004405285E-2</v>
      </c>
    </row>
    <row r="63" spans="2:14" x14ac:dyDescent="0.4">
      <c r="B63" s="92">
        <v>24</v>
      </c>
      <c r="C63" s="93" t="s">
        <v>28</v>
      </c>
      <c r="D63" s="92" t="s">
        <v>51</v>
      </c>
      <c r="E63" s="92" t="s">
        <v>52</v>
      </c>
      <c r="F63" s="100">
        <v>9.2511013215859028E-2</v>
      </c>
      <c r="G63" s="109">
        <f t="shared" ref="G63:G70" si="7">F63*D$31</f>
        <v>6.6607929515418505</v>
      </c>
      <c r="H63" s="96">
        <f t="shared" si="3"/>
        <v>1.8248747812443424E-2</v>
      </c>
      <c r="I63" s="97">
        <f t="shared" si="0"/>
        <v>2.6038305198237888</v>
      </c>
      <c r="J63" s="98">
        <v>0.199766</v>
      </c>
      <c r="K63" s="98">
        <v>0.10198699999999999</v>
      </c>
      <c r="L63" s="98">
        <v>8.9165999999999995E-2</v>
      </c>
      <c r="M63" s="98">
        <f t="shared" si="4"/>
        <v>0.39091900000000002</v>
      </c>
      <c r="N63" s="99">
        <f t="shared" si="1"/>
        <v>3.6164312775330394E-2</v>
      </c>
    </row>
    <row r="64" spans="2:14" x14ac:dyDescent="0.4">
      <c r="B64" s="92">
        <v>25</v>
      </c>
      <c r="C64" s="93" t="s">
        <v>28</v>
      </c>
      <c r="D64" s="92" t="s">
        <v>53</v>
      </c>
      <c r="E64" s="92" t="s">
        <v>41</v>
      </c>
      <c r="F64" s="100">
        <v>0.21806167400881057</v>
      </c>
      <c r="G64" s="109">
        <f t="shared" si="7"/>
        <v>15.700440528634362</v>
      </c>
      <c r="H64" s="96">
        <f t="shared" si="3"/>
        <v>4.3014905557902362E-2</v>
      </c>
      <c r="I64" s="97">
        <f t="shared" si="0"/>
        <v>4.9987376563876653</v>
      </c>
      <c r="J64" s="98">
        <v>0.127414</v>
      </c>
      <c r="K64" s="98">
        <v>0.10198699999999999</v>
      </c>
      <c r="L64" s="98">
        <v>8.8981000000000005E-2</v>
      </c>
      <c r="M64" s="98">
        <f t="shared" si="4"/>
        <v>0.318382</v>
      </c>
      <c r="N64" s="99">
        <f t="shared" si="1"/>
        <v>6.9426911894273122E-2</v>
      </c>
    </row>
    <row r="65" spans="2:14" x14ac:dyDescent="0.4">
      <c r="B65" s="92">
        <v>26</v>
      </c>
      <c r="C65" s="93" t="s">
        <v>28</v>
      </c>
      <c r="D65" s="92" t="s">
        <v>54</v>
      </c>
      <c r="E65" s="92" t="s">
        <v>41</v>
      </c>
      <c r="F65" s="100">
        <v>0.21365638766519823</v>
      </c>
      <c r="G65" s="109">
        <f t="shared" si="7"/>
        <v>15.383259911894273</v>
      </c>
      <c r="H65" s="96">
        <f t="shared" si="3"/>
        <v>4.2145917566833627E-2</v>
      </c>
      <c r="I65" s="97">
        <f t="shared" si="0"/>
        <v>5.1542842995594711</v>
      </c>
      <c r="J65" s="98">
        <v>0.14409</v>
      </c>
      <c r="K65" s="98">
        <v>0.10198699999999999</v>
      </c>
      <c r="L65" s="98">
        <v>8.8981000000000005E-2</v>
      </c>
      <c r="M65" s="98">
        <f t="shared" si="4"/>
        <v>0.33505799999999997</v>
      </c>
      <c r="N65" s="99">
        <f t="shared" si="1"/>
        <v>7.1587281938325989E-2</v>
      </c>
    </row>
    <row r="66" spans="2:14" x14ac:dyDescent="0.4">
      <c r="B66" s="92">
        <v>27</v>
      </c>
      <c r="C66" s="93" t="s">
        <v>28</v>
      </c>
      <c r="D66" s="92" t="s">
        <v>55</v>
      </c>
      <c r="E66" s="92" t="s">
        <v>41</v>
      </c>
      <c r="F66" s="100">
        <v>0.18502202643171806</v>
      </c>
      <c r="G66" s="109">
        <f t="shared" si="7"/>
        <v>13.321585903083701</v>
      </c>
      <c r="H66" s="96">
        <f t="shared" si="3"/>
        <v>3.6497495624886848E-2</v>
      </c>
      <c r="I66" s="97">
        <f t="shared" si="0"/>
        <v>3.7843961233480177</v>
      </c>
      <c r="J66" s="98">
        <v>9.3112E-2</v>
      </c>
      <c r="K66" s="98">
        <v>0.10198699999999999</v>
      </c>
      <c r="L66" s="98">
        <v>8.8981000000000005E-2</v>
      </c>
      <c r="M66" s="98">
        <f t="shared" si="4"/>
        <v>0.28408</v>
      </c>
      <c r="N66" s="99">
        <f t="shared" si="1"/>
        <v>5.2561057268722462E-2</v>
      </c>
    </row>
    <row r="67" spans="2:14" x14ac:dyDescent="0.4">
      <c r="B67" s="92">
        <v>28</v>
      </c>
      <c r="C67" s="93" t="s">
        <v>28</v>
      </c>
      <c r="D67" s="92" t="s">
        <v>56</v>
      </c>
      <c r="E67" s="92" t="s">
        <v>45</v>
      </c>
      <c r="F67" s="100">
        <v>5.2863436123348012E-2</v>
      </c>
      <c r="G67" s="109">
        <f t="shared" si="7"/>
        <v>3.8061674008810567</v>
      </c>
      <c r="H67" s="96">
        <f t="shared" si="3"/>
        <v>1.0427855892824812E-2</v>
      </c>
      <c r="I67" s="97">
        <f t="shared" si="0"/>
        <v>1.9041494273127753</v>
      </c>
      <c r="J67" s="98">
        <v>0.19825000000000001</v>
      </c>
      <c r="K67" s="98">
        <v>9.6673999999999996E-2</v>
      </c>
      <c r="L67" s="98">
        <v>0.20535600000000001</v>
      </c>
      <c r="M67" s="98">
        <f t="shared" si="4"/>
        <v>0.50028000000000006</v>
      </c>
      <c r="N67" s="99">
        <f t="shared" si="1"/>
        <v>2.6446519823788546E-2</v>
      </c>
    </row>
    <row r="68" spans="2:14" x14ac:dyDescent="0.4">
      <c r="B68" s="92">
        <v>29</v>
      </c>
      <c r="C68" s="93" t="s">
        <v>28</v>
      </c>
      <c r="D68" s="92" t="s">
        <v>56</v>
      </c>
      <c r="E68" s="92" t="s">
        <v>57</v>
      </c>
      <c r="F68" s="100">
        <v>6.8281938325991193E-2</v>
      </c>
      <c r="G68" s="109">
        <f t="shared" si="7"/>
        <v>4.9162995594713657</v>
      </c>
      <c r="H68" s="96">
        <f t="shared" si="3"/>
        <v>1.3469313861565385E-2</v>
      </c>
      <c r="I68" s="97">
        <f t="shared" si="0"/>
        <v>4.9008918766519827</v>
      </c>
      <c r="J68" s="98">
        <v>0.156613</v>
      </c>
      <c r="K68" s="98">
        <v>9.6673999999999996E-2</v>
      </c>
      <c r="L68" s="98">
        <v>0.74357899999999999</v>
      </c>
      <c r="M68" s="98">
        <f t="shared" si="4"/>
        <v>0.99686600000000003</v>
      </c>
      <c r="N68" s="99">
        <f t="shared" si="1"/>
        <v>6.8067942731277545E-2</v>
      </c>
    </row>
    <row r="69" spans="2:14" x14ac:dyDescent="0.4">
      <c r="B69" s="92">
        <v>30</v>
      </c>
      <c r="C69" s="93" t="s">
        <v>28</v>
      </c>
      <c r="D69" s="92" t="s">
        <v>56</v>
      </c>
      <c r="E69" s="92" t="s">
        <v>58</v>
      </c>
      <c r="F69" s="100">
        <v>4.405286343612335E-2</v>
      </c>
      <c r="G69" s="109">
        <f t="shared" si="7"/>
        <v>3.1718061674008813</v>
      </c>
      <c r="H69" s="96">
        <f t="shared" si="3"/>
        <v>8.689879910687346E-3</v>
      </c>
      <c r="I69" s="97">
        <f t="shared" si="0"/>
        <v>1.8836151541850221</v>
      </c>
      <c r="J69" s="98">
        <v>0.196074</v>
      </c>
      <c r="K69" s="98">
        <v>0.10198699999999999</v>
      </c>
      <c r="L69" s="98">
        <v>0.29580099999999998</v>
      </c>
      <c r="M69" s="98">
        <f t="shared" si="4"/>
        <v>0.593862</v>
      </c>
      <c r="N69" s="99">
        <f t="shared" si="1"/>
        <v>2.6161321585903084E-2</v>
      </c>
    </row>
    <row r="70" spans="2:14" x14ac:dyDescent="0.4">
      <c r="B70" s="92">
        <v>31</v>
      </c>
      <c r="C70" s="93" t="s">
        <v>28</v>
      </c>
      <c r="D70" s="92" t="s">
        <v>56</v>
      </c>
      <c r="E70" s="92" t="s">
        <v>59</v>
      </c>
      <c r="F70" s="100">
        <v>3.5242290748898682E-2</v>
      </c>
      <c r="G70" s="109">
        <f t="shared" si="7"/>
        <v>2.537444933920705</v>
      </c>
      <c r="H70" s="96">
        <f t="shared" si="3"/>
        <v>6.9519039285498765E-3</v>
      </c>
      <c r="I70" s="97">
        <f t="shared" si="0"/>
        <v>1.4368840176211455</v>
      </c>
      <c r="J70" s="98">
        <v>0.18069099999999999</v>
      </c>
      <c r="K70" s="98">
        <v>0.10312</v>
      </c>
      <c r="L70" s="98">
        <v>0.28246100000000002</v>
      </c>
      <c r="M70" s="98">
        <f t="shared" si="4"/>
        <v>0.566272</v>
      </c>
      <c r="N70" s="99">
        <f t="shared" si="1"/>
        <v>1.9956722466960355E-2</v>
      </c>
    </row>
    <row r="71" spans="2:14" x14ac:dyDescent="0.4">
      <c r="B71" s="101">
        <v>32</v>
      </c>
      <c r="C71" s="102" t="s">
        <v>30</v>
      </c>
      <c r="D71" s="101" t="s">
        <v>119</v>
      </c>
      <c r="E71" s="101" t="s">
        <v>153</v>
      </c>
      <c r="F71" s="110">
        <v>0.97</v>
      </c>
      <c r="G71" s="111">
        <f>F71*D$33</f>
        <v>77.599999999999994</v>
      </c>
      <c r="H71" s="105">
        <f t="shared" si="3"/>
        <v>0.21260273972602739</v>
      </c>
      <c r="I71" s="106">
        <f t="shared" si="0"/>
        <v>64.935504106666656</v>
      </c>
      <c r="J71" s="107">
        <v>0.50836139999999996</v>
      </c>
      <c r="K71" s="107">
        <v>0.1616524</v>
      </c>
      <c r="L71" s="107">
        <v>0.16678393333333333</v>
      </c>
      <c r="M71" s="107">
        <f t="shared" si="4"/>
        <v>0.83679773333333329</v>
      </c>
      <c r="N71" s="108">
        <f t="shared" si="1"/>
        <v>0.81169380133333324</v>
      </c>
    </row>
    <row r="72" spans="2:14" x14ac:dyDescent="0.4">
      <c r="B72" s="101">
        <v>33</v>
      </c>
      <c r="C72" s="102" t="s">
        <v>30</v>
      </c>
      <c r="D72" s="101" t="s">
        <v>119</v>
      </c>
      <c r="E72" s="101" t="s">
        <v>50</v>
      </c>
      <c r="F72" s="110">
        <v>0.03</v>
      </c>
      <c r="G72" s="111">
        <f>F72*D$33</f>
        <v>2.4</v>
      </c>
      <c r="H72" s="105">
        <f t="shared" si="3"/>
        <v>6.5753424657534242E-3</v>
      </c>
      <c r="I72" s="106">
        <f t="shared" si="0"/>
        <v>0.58971599999999991</v>
      </c>
      <c r="J72" s="107">
        <v>4.8299000000000002E-2</v>
      </c>
      <c r="K72" s="107">
        <v>0.18532499999999999</v>
      </c>
      <c r="L72" s="107">
        <v>1.2090999999999999E-2</v>
      </c>
      <c r="M72" s="107">
        <f t="shared" si="4"/>
        <v>0.24571499999999999</v>
      </c>
      <c r="N72" s="108">
        <f t="shared" si="1"/>
        <v>7.371449999999999E-3</v>
      </c>
    </row>
    <row r="73" spans="2:14" x14ac:dyDescent="0.4">
      <c r="B73" s="92">
        <v>48</v>
      </c>
      <c r="C73" s="93" t="s">
        <v>32</v>
      </c>
      <c r="D73" s="92" t="s">
        <v>32</v>
      </c>
      <c r="E73" s="92" t="s">
        <v>45</v>
      </c>
      <c r="F73" s="100">
        <v>0.63829787234042556</v>
      </c>
      <c r="G73" s="109">
        <f>F73*D$35</f>
        <v>29.361702127659576</v>
      </c>
      <c r="H73" s="96">
        <f t="shared" si="3"/>
        <v>8.0443019527834461E-2</v>
      </c>
      <c r="I73" s="97">
        <f t="shared" si="0"/>
        <v>17.882539148936171</v>
      </c>
      <c r="J73" s="98">
        <v>0.44561099999999998</v>
      </c>
      <c r="K73" s="98">
        <v>3.3017999999999999E-2</v>
      </c>
      <c r="L73" s="98">
        <v>0.130414</v>
      </c>
      <c r="M73" s="98">
        <f t="shared" si="4"/>
        <v>0.609043</v>
      </c>
      <c r="N73" s="99">
        <f t="shared" si="1"/>
        <v>0.38875085106382978</v>
      </c>
    </row>
    <row r="74" spans="2:14" x14ac:dyDescent="0.4">
      <c r="B74" s="92">
        <v>49</v>
      </c>
      <c r="C74" s="93" t="s">
        <v>32</v>
      </c>
      <c r="D74" s="92" t="s">
        <v>32</v>
      </c>
      <c r="E74" s="92" t="s">
        <v>57</v>
      </c>
      <c r="F74" s="100">
        <v>0.36170212765957449</v>
      </c>
      <c r="G74" s="109">
        <f>F74*D$35</f>
        <v>16.638297872340427</v>
      </c>
      <c r="H74" s="96">
        <f t="shared" si="3"/>
        <v>4.5584377732439528E-2</v>
      </c>
      <c r="I74" s="97">
        <f t="shared" si="0"/>
        <v>15.36002736170213</v>
      </c>
      <c r="J74" s="98">
        <v>0.49074200000000001</v>
      </c>
      <c r="K74" s="98">
        <v>3.2978E-2</v>
      </c>
      <c r="L74" s="98">
        <v>0.399453</v>
      </c>
      <c r="M74" s="98">
        <f t="shared" si="4"/>
        <v>0.92317300000000002</v>
      </c>
      <c r="N74" s="99">
        <f t="shared" si="1"/>
        <v>0.33391363829787235</v>
      </c>
    </row>
    <row r="75" spans="2:14" x14ac:dyDescent="0.4">
      <c r="B75" s="101">
        <v>50</v>
      </c>
      <c r="C75" s="102" t="s">
        <v>31</v>
      </c>
      <c r="D75" s="101" t="s">
        <v>31</v>
      </c>
      <c r="E75" s="101" t="s">
        <v>70</v>
      </c>
      <c r="F75" s="110">
        <v>0.43478260869565222</v>
      </c>
      <c r="G75" s="111">
        <f>F75*D$34</f>
        <v>19.565217391304351</v>
      </c>
      <c r="H75" s="105">
        <f t="shared" si="3"/>
        <v>5.3603335318642059E-2</v>
      </c>
      <c r="I75" s="106">
        <f t="shared" si="0"/>
        <v>49.565386956521749</v>
      </c>
      <c r="J75" s="107">
        <v>2.6889720000000001</v>
      </c>
      <c r="K75" s="107">
        <v>-0.18823500000000001</v>
      </c>
      <c r="L75" s="107">
        <v>3.2605000000000002E-2</v>
      </c>
      <c r="M75" s="107">
        <f t="shared" si="4"/>
        <v>2.5333420000000002</v>
      </c>
      <c r="N75" s="108">
        <f t="shared" si="1"/>
        <v>1.101453043478261</v>
      </c>
    </row>
    <row r="76" spans="2:14" x14ac:dyDescent="0.4">
      <c r="B76" s="101">
        <v>51</v>
      </c>
      <c r="C76" s="102" t="s">
        <v>31</v>
      </c>
      <c r="D76" s="101" t="s">
        <v>31</v>
      </c>
      <c r="E76" s="101" t="s">
        <v>66</v>
      </c>
      <c r="F76" s="110">
        <v>0.31521739130434784</v>
      </c>
      <c r="G76" s="111">
        <f>F76*D$34</f>
        <v>14.184782608695652</v>
      </c>
      <c r="H76" s="105">
        <f t="shared" si="3"/>
        <v>3.8862418106015484E-2</v>
      </c>
      <c r="I76" s="106">
        <f t="shared" si="0"/>
        <v>37.89660423913044</v>
      </c>
      <c r="J76" s="107">
        <v>2.9543300000000001</v>
      </c>
      <c r="K76" s="107">
        <v>-0.33082</v>
      </c>
      <c r="L76" s="107">
        <v>4.8127999999999997E-2</v>
      </c>
      <c r="M76" s="107">
        <f t="shared" si="4"/>
        <v>2.6716380000000002</v>
      </c>
      <c r="N76" s="108">
        <f t="shared" si="1"/>
        <v>0.8421467608695653</v>
      </c>
    </row>
    <row r="77" spans="2:14" x14ac:dyDescent="0.4">
      <c r="B77" s="101">
        <v>52</v>
      </c>
      <c r="C77" s="102" t="s">
        <v>31</v>
      </c>
      <c r="D77" s="101" t="s">
        <v>31</v>
      </c>
      <c r="E77" s="101" t="s">
        <v>71</v>
      </c>
      <c r="F77" s="110">
        <v>0.25000000000000006</v>
      </c>
      <c r="G77" s="111">
        <f>F77*D$34</f>
        <v>11.250000000000002</v>
      </c>
      <c r="H77" s="105">
        <f t="shared" si="3"/>
        <v>3.0821917808219183E-2</v>
      </c>
      <c r="I77" s="106">
        <f t="shared" si="0"/>
        <v>28.332945000000002</v>
      </c>
      <c r="J77" s="107">
        <v>2.6889720000000001</v>
      </c>
      <c r="K77" s="107">
        <v>-0.221641</v>
      </c>
      <c r="L77" s="107">
        <v>5.1152999999999997E-2</v>
      </c>
      <c r="M77" s="107">
        <f t="shared" si="4"/>
        <v>2.5184839999999999</v>
      </c>
      <c r="N77" s="108">
        <f t="shared" si="1"/>
        <v>0.6296210000000001</v>
      </c>
    </row>
    <row r="78" spans="2:14" x14ac:dyDescent="0.4">
      <c r="B78" s="92">
        <v>53</v>
      </c>
      <c r="C78" s="93" t="s">
        <v>125</v>
      </c>
      <c r="D78" s="92" t="s">
        <v>119</v>
      </c>
      <c r="E78" s="92" t="s">
        <v>153</v>
      </c>
      <c r="F78" s="100">
        <v>0.87</v>
      </c>
      <c r="G78" s="109">
        <f>F78*D$32</f>
        <v>13.92</v>
      </c>
      <c r="H78" s="96">
        <f t="shared" si="3"/>
        <v>3.8136986301369864E-2</v>
      </c>
      <c r="I78" s="97">
        <f t="shared" si="0"/>
        <v>5.7098587200000006</v>
      </c>
      <c r="J78" s="98">
        <v>0.23339199999999999</v>
      </c>
      <c r="K78" s="98">
        <v>0.10185740000000001</v>
      </c>
      <c r="L78" s="112">
        <v>7.4941599999999997E-2</v>
      </c>
      <c r="M78" s="98">
        <f t="shared" si="4"/>
        <v>0.41019100000000003</v>
      </c>
      <c r="N78" s="99">
        <f t="shared" si="1"/>
        <v>0.35686617000000004</v>
      </c>
    </row>
    <row r="79" spans="2:14" s="62" customFormat="1" x14ac:dyDescent="0.4">
      <c r="B79" s="92">
        <v>55</v>
      </c>
      <c r="C79" s="93" t="s">
        <v>125</v>
      </c>
      <c r="D79" s="92" t="s">
        <v>119</v>
      </c>
      <c r="E79" s="92" t="s">
        <v>50</v>
      </c>
      <c r="F79" s="100">
        <v>0.13</v>
      </c>
      <c r="G79" s="109">
        <f>F79*D$32</f>
        <v>2.08</v>
      </c>
      <c r="H79" s="96">
        <f t="shared" si="3"/>
        <v>5.6986301369863013E-3</v>
      </c>
      <c r="I79" s="97">
        <f t="shared" si="0"/>
        <v>1.0867292799999999</v>
      </c>
      <c r="J79" s="98">
        <v>0.41837200000000002</v>
      </c>
      <c r="K79" s="98">
        <v>0.10102999999999999</v>
      </c>
      <c r="L79" s="98">
        <v>3.0640000000000003E-3</v>
      </c>
      <c r="M79" s="98">
        <f t="shared" si="4"/>
        <v>0.52246599999999999</v>
      </c>
      <c r="N79" s="99">
        <f t="shared" si="1"/>
        <v>6.7920579999999994E-2</v>
      </c>
    </row>
    <row r="80" spans="2:14" x14ac:dyDescent="0.4">
      <c r="B80" s="101">
        <v>64</v>
      </c>
      <c r="C80" s="102" t="s">
        <v>26</v>
      </c>
      <c r="D80" s="101" t="s">
        <v>119</v>
      </c>
      <c r="E80" s="101" t="s">
        <v>153</v>
      </c>
      <c r="F80" s="110">
        <v>0.95</v>
      </c>
      <c r="G80" s="111">
        <f>F80*D$29</f>
        <v>14.25</v>
      </c>
      <c r="H80" s="105">
        <f t="shared" si="3"/>
        <v>3.9041095890410958E-2</v>
      </c>
      <c r="I80" s="106">
        <f t="shared" si="0"/>
        <v>79.842788678571424</v>
      </c>
      <c r="J80" s="107">
        <v>3.0364174285714287</v>
      </c>
      <c r="K80" s="107">
        <v>0.69458014285714287</v>
      </c>
      <c r="L80" s="107">
        <v>1.8720051428571429</v>
      </c>
      <c r="M80" s="107">
        <f t="shared" si="4"/>
        <v>5.6030027142857142</v>
      </c>
      <c r="N80" s="108">
        <f t="shared" si="1"/>
        <v>5.3228525785714282</v>
      </c>
    </row>
    <row r="81" spans="2:14" s="62" customFormat="1" x14ac:dyDescent="0.4">
      <c r="B81" s="101">
        <v>72</v>
      </c>
      <c r="C81" s="102" t="s">
        <v>26</v>
      </c>
      <c r="D81" s="101" t="s">
        <v>119</v>
      </c>
      <c r="E81" s="101" t="s">
        <v>50</v>
      </c>
      <c r="F81" s="110">
        <v>0.05</v>
      </c>
      <c r="G81" s="111">
        <f>F81*D$29</f>
        <v>0.75</v>
      </c>
      <c r="H81" s="105">
        <f t="shared" si="3"/>
        <v>2.054794520547945E-3</v>
      </c>
      <c r="I81" s="106">
        <f t="shared" si="0"/>
        <v>2.9973498749999998</v>
      </c>
      <c r="J81" s="107">
        <v>3.1400224999999997</v>
      </c>
      <c r="K81" s="107">
        <v>0.84133849999999999</v>
      </c>
      <c r="L81" s="107">
        <v>1.5105500000000001E-2</v>
      </c>
      <c r="M81" s="107">
        <f t="shared" si="4"/>
        <v>3.9964664999999999</v>
      </c>
      <c r="N81" s="108">
        <f t="shared" si="1"/>
        <v>0.199823325</v>
      </c>
    </row>
    <row r="82" spans="2:14" x14ac:dyDescent="0.4">
      <c r="B82" s="92">
        <v>73</v>
      </c>
      <c r="C82" s="93" t="s">
        <v>27</v>
      </c>
      <c r="D82" s="92" t="s">
        <v>119</v>
      </c>
      <c r="E82" s="92" t="s">
        <v>153</v>
      </c>
      <c r="F82" s="100">
        <v>0.98</v>
      </c>
      <c r="G82" s="109">
        <f>F82*D$30</f>
        <v>5.879999999999999</v>
      </c>
      <c r="H82" s="96">
        <f t="shared" si="3"/>
        <v>1.6109589041095888E-2</v>
      </c>
      <c r="I82" s="97">
        <f t="shared" si="0"/>
        <v>30.949749782174994</v>
      </c>
      <c r="J82" s="98">
        <v>4.2625649156249992</v>
      </c>
      <c r="K82" s="98">
        <v>0.84579806062499996</v>
      </c>
      <c r="L82" s="98">
        <v>0.15519991187499996</v>
      </c>
      <c r="M82" s="98">
        <f t="shared" si="4"/>
        <v>5.2635628881249996</v>
      </c>
      <c r="N82" s="99">
        <f t="shared" si="1"/>
        <v>5.1582916303624993</v>
      </c>
    </row>
    <row r="83" spans="2:14" s="62" customFormat="1" x14ac:dyDescent="0.4">
      <c r="B83" s="92">
        <v>77</v>
      </c>
      <c r="C83" s="93" t="s">
        <v>27</v>
      </c>
      <c r="D83" s="92" t="s">
        <v>119</v>
      </c>
      <c r="E83" s="92" t="s">
        <v>50</v>
      </c>
      <c r="F83" s="100">
        <v>0.02</v>
      </c>
      <c r="G83" s="109">
        <f>F83*D$30</f>
        <v>0.11999999999999998</v>
      </c>
      <c r="H83" s="96">
        <f t="shared" si="3"/>
        <v>3.2876712328767119E-4</v>
      </c>
      <c r="I83" s="97">
        <f t="shared" si="0"/>
        <v>0.61663493039999995</v>
      </c>
      <c r="J83" s="98">
        <v>4.5079172600000001</v>
      </c>
      <c r="K83" s="98">
        <v>0.61092601000000002</v>
      </c>
      <c r="L83" s="98">
        <v>1.9781150000000001E-2</v>
      </c>
      <c r="M83" s="98">
        <f t="shared" si="4"/>
        <v>5.1386244200000002</v>
      </c>
      <c r="N83" s="99">
        <f t="shared" si="1"/>
        <v>0.1027724884</v>
      </c>
    </row>
    <row r="84" spans="2:14" x14ac:dyDescent="0.4">
      <c r="B84" s="113">
        <v>78</v>
      </c>
      <c r="C84" s="113" t="s">
        <v>154</v>
      </c>
      <c r="D84" s="113" t="s">
        <v>119</v>
      </c>
      <c r="E84" s="113" t="s">
        <v>50</v>
      </c>
      <c r="F84" s="114">
        <v>1</v>
      </c>
      <c r="G84" s="113"/>
      <c r="H84" s="105"/>
      <c r="I84" s="106">
        <f t="shared" si="0"/>
        <v>0</v>
      </c>
      <c r="J84" s="113">
        <v>1.9</v>
      </c>
      <c r="K84" s="113">
        <v>1.6</v>
      </c>
      <c r="L84" s="113">
        <v>0.02</v>
      </c>
      <c r="M84" s="107">
        <f t="shared" si="4"/>
        <v>3.52</v>
      </c>
      <c r="N84" s="108">
        <f t="shared" si="1"/>
        <v>3.52</v>
      </c>
    </row>
    <row r="85" spans="2:14" x14ac:dyDescent="0.4">
      <c r="B85" s="115">
        <v>79</v>
      </c>
      <c r="C85" s="115" t="s">
        <v>155</v>
      </c>
      <c r="D85" s="115" t="s">
        <v>119</v>
      </c>
      <c r="E85" s="115" t="s">
        <v>50</v>
      </c>
      <c r="F85" s="116">
        <v>1</v>
      </c>
      <c r="G85" s="115"/>
      <c r="H85" s="96"/>
      <c r="I85" s="97">
        <f t="shared" si="0"/>
        <v>0</v>
      </c>
      <c r="J85" s="115">
        <v>7.5</v>
      </c>
      <c r="K85" s="115">
        <v>1.6</v>
      </c>
      <c r="L85" s="115">
        <v>0.02</v>
      </c>
      <c r="M85" s="98">
        <f t="shared" si="4"/>
        <v>9.1199999999999992</v>
      </c>
      <c r="N85" s="99">
        <f t="shared" si="1"/>
        <v>9.1199999999999992</v>
      </c>
    </row>
    <row r="86" spans="2:14" x14ac:dyDescent="0.4">
      <c r="B86" s="113">
        <v>80</v>
      </c>
      <c r="C86" s="113" t="s">
        <v>156</v>
      </c>
      <c r="D86" s="113" t="s">
        <v>119</v>
      </c>
      <c r="E86" s="113" t="s">
        <v>50</v>
      </c>
      <c r="F86" s="114">
        <v>1</v>
      </c>
      <c r="G86" s="113"/>
      <c r="H86" s="105"/>
      <c r="I86" s="106">
        <f t="shared" si="0"/>
        <v>0</v>
      </c>
      <c r="J86" s="113">
        <v>7.0000000000000007E-2</v>
      </c>
      <c r="K86" s="113">
        <v>1.6</v>
      </c>
      <c r="L86" s="113">
        <v>3.0000000000000001E-3</v>
      </c>
      <c r="M86" s="107">
        <f t="shared" si="4"/>
        <v>1.673</v>
      </c>
      <c r="N86" s="108">
        <f t="shared" si="1"/>
        <v>1.673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A80E-4508-4C6E-91CB-4C867F077DD5}">
  <sheetPr codeName="Sheet7">
    <tabColor theme="0"/>
  </sheetPr>
  <dimension ref="B1:M77"/>
  <sheetViews>
    <sheetView showGridLines="0" tabSelected="1" topLeftCell="A7" zoomScale="85" zoomScaleNormal="85" workbookViewId="0">
      <selection activeCell="E13" sqref="E13"/>
    </sheetView>
  </sheetViews>
  <sheetFormatPr defaultColWidth="8.73046875" defaultRowHeight="13.15" x14ac:dyDescent="0.4"/>
  <cols>
    <col min="1" max="1" width="2.3984375" style="5" customWidth="1"/>
    <col min="2" max="2" width="28.86328125" style="5" customWidth="1"/>
    <col min="3" max="4" width="19.3984375" style="5" customWidth="1"/>
    <col min="5" max="5" width="22.1328125" style="5" customWidth="1"/>
    <col min="6" max="6" width="19.3984375" style="5" customWidth="1"/>
    <col min="7" max="11" width="19.73046875" style="5" customWidth="1"/>
    <col min="12" max="13" width="18" style="5" customWidth="1"/>
    <col min="14" max="14" width="12.73046875" style="5" customWidth="1"/>
    <col min="15" max="16384" width="8.73046875" style="5"/>
  </cols>
  <sheetData>
    <row r="1" spans="2:13" x14ac:dyDescent="0.4">
      <c r="B1" s="22" t="s">
        <v>0</v>
      </c>
    </row>
    <row r="2" spans="2:13" x14ac:dyDescent="0.4">
      <c r="B2" s="22"/>
      <c r="C2" s="123" t="s">
        <v>157</v>
      </c>
      <c r="D2" s="123" t="s">
        <v>158</v>
      </c>
      <c r="E2" s="123" t="s">
        <v>159</v>
      </c>
    </row>
    <row r="3" spans="2:13" ht="28.5" x14ac:dyDescent="0.4">
      <c r="B3" s="130" t="s">
        <v>1</v>
      </c>
      <c r="C3" s="119">
        <f>SUM(F17:F29)</f>
        <v>929.41751284347959</v>
      </c>
      <c r="D3" s="128">
        <v>929.41751284347959</v>
      </c>
      <c r="E3" s="129">
        <f>(D3-C3)/D3</f>
        <v>0</v>
      </c>
    </row>
    <row r="5" spans="2:13" x14ac:dyDescent="0.4">
      <c r="B5" s="22" t="s">
        <v>3</v>
      </c>
      <c r="E5" s="31"/>
      <c r="F5" s="34"/>
      <c r="G5" s="28"/>
    </row>
    <row r="6" spans="2:13" x14ac:dyDescent="0.4">
      <c r="B6" s="22"/>
      <c r="C6" s="122" t="s">
        <v>160</v>
      </c>
      <c r="E6" s="31"/>
      <c r="F6" s="34"/>
      <c r="G6" s="28"/>
    </row>
    <row r="7" spans="2:13" ht="26.25" x14ac:dyDescent="0.4">
      <c r="B7" s="33" t="s">
        <v>2</v>
      </c>
      <c r="C7" s="35">
        <v>365</v>
      </c>
      <c r="D7" s="32"/>
    </row>
    <row r="8" spans="2:13" x14ac:dyDescent="0.4">
      <c r="B8" s="22"/>
      <c r="E8" s="31"/>
      <c r="F8" s="34"/>
      <c r="G8" s="28"/>
    </row>
    <row r="9" spans="2:13" x14ac:dyDescent="0.4">
      <c r="B9" s="16" t="s">
        <v>4</v>
      </c>
      <c r="D9" s="122" t="s">
        <v>139</v>
      </c>
      <c r="E9" s="31"/>
      <c r="F9" s="34"/>
      <c r="G9" s="28"/>
    </row>
    <row r="10" spans="2:13" x14ac:dyDescent="0.4">
      <c r="B10" s="23" t="s">
        <v>6</v>
      </c>
      <c r="C10" s="30">
        <f>SUM(C17:C24)</f>
        <v>0.29041095890410956</v>
      </c>
      <c r="D10" s="15">
        <v>0.25</v>
      </c>
      <c r="E10" s="31"/>
      <c r="F10" s="34"/>
      <c r="G10" s="28"/>
    </row>
    <row r="11" spans="2:13" x14ac:dyDescent="0.4">
      <c r="B11" s="23" t="s">
        <v>7</v>
      </c>
      <c r="C11" s="30">
        <f>SUM(C28:C29)</f>
        <v>0.24931506849315069</v>
      </c>
      <c r="D11" s="15">
        <v>0.25</v>
      </c>
      <c r="E11" s="31"/>
      <c r="F11" s="34"/>
      <c r="G11" s="28"/>
    </row>
    <row r="12" spans="2:13" x14ac:dyDescent="0.4">
      <c r="B12" s="23" t="s">
        <v>8</v>
      </c>
      <c r="C12" s="30">
        <f>SUM(C25:C27)</f>
        <v>0.46027397260273972</v>
      </c>
      <c r="D12" s="15">
        <v>0.5</v>
      </c>
      <c r="E12" s="31"/>
      <c r="F12" s="34"/>
      <c r="G12" s="28"/>
    </row>
    <row r="13" spans="2:13" x14ac:dyDescent="0.4">
      <c r="E13" s="31"/>
      <c r="F13" s="34"/>
      <c r="G13" s="28"/>
    </row>
    <row r="14" spans="2:13" x14ac:dyDescent="0.4">
      <c r="B14" s="22" t="s">
        <v>13</v>
      </c>
      <c r="C14" s="37"/>
      <c r="G14" s="38"/>
      <c r="H14" s="22"/>
    </row>
    <row r="15" spans="2:13" x14ac:dyDescent="0.4">
      <c r="B15" s="39"/>
      <c r="C15" s="122" t="s">
        <v>161</v>
      </c>
      <c r="G15" s="123" t="s">
        <v>162</v>
      </c>
      <c r="H15" s="230" t="s">
        <v>240</v>
      </c>
      <c r="J15" s="121" t="s">
        <v>163</v>
      </c>
    </row>
    <row r="16" spans="2:13" ht="39.4" x14ac:dyDescent="0.4">
      <c r="B16" s="21" t="s">
        <v>15</v>
      </c>
      <c r="C16" s="120" t="s">
        <v>164</v>
      </c>
      <c r="D16" s="26" t="s">
        <v>17</v>
      </c>
      <c r="E16" s="26" t="s">
        <v>18</v>
      </c>
      <c r="F16" s="26" t="s">
        <v>19</v>
      </c>
      <c r="G16" s="124" t="s">
        <v>165</v>
      </c>
      <c r="H16" s="124" t="s">
        <v>166</v>
      </c>
      <c r="J16" s="21" t="s">
        <v>15</v>
      </c>
      <c r="K16" s="26" t="s">
        <v>167</v>
      </c>
      <c r="L16" s="26" t="s">
        <v>168</v>
      </c>
      <c r="M16" s="26" t="s">
        <v>169</v>
      </c>
    </row>
    <row r="17" spans="2:13" x14ac:dyDescent="0.4">
      <c r="B17" s="20" t="s">
        <v>20</v>
      </c>
      <c r="C17" s="126">
        <v>8.21917808219178E-3</v>
      </c>
      <c r="D17" s="24">
        <f t="shared" ref="D17:D29" si="0">C17*$C$7</f>
        <v>2.9999999999999996</v>
      </c>
      <c r="E17" s="49">
        <f>SUM(K48:K53)</f>
        <v>24.291314857142858</v>
      </c>
      <c r="F17" s="49">
        <f t="shared" ref="F17:F29" si="1">D17*E17</f>
        <v>72.873944571428567</v>
      </c>
      <c r="G17" s="126">
        <v>8.21917808219178E-3</v>
      </c>
      <c r="H17" s="127">
        <f>G17-C17</f>
        <v>0</v>
      </c>
      <c r="J17" s="20" t="s">
        <v>20</v>
      </c>
      <c r="K17" s="27">
        <f>0.821917808219178%*(1-M17)</f>
        <v>6.5753424657534242E-3</v>
      </c>
      <c r="L17" s="65">
        <f>SUM(F48:F53)</f>
        <v>1</v>
      </c>
      <c r="M17" s="76">
        <v>0.2</v>
      </c>
    </row>
    <row r="18" spans="2:13" x14ac:dyDescent="0.4">
      <c r="B18" s="20" t="s">
        <v>21</v>
      </c>
      <c r="C18" s="126">
        <v>5.4794520547945206E-3</v>
      </c>
      <c r="D18" s="24">
        <f t="shared" si="0"/>
        <v>2</v>
      </c>
      <c r="E18" s="49">
        <f>SUM(K39:K40)</f>
        <v>16.406103899999998</v>
      </c>
      <c r="F18" s="49">
        <f t="shared" si="1"/>
        <v>32.812207799999996</v>
      </c>
      <c r="G18" s="126">
        <v>5.4794520547945206E-3</v>
      </c>
      <c r="H18" s="127">
        <f t="shared" ref="H18:H29" si="2">G18-C18</f>
        <v>0</v>
      </c>
      <c r="J18" s="20" t="s">
        <v>21</v>
      </c>
      <c r="K18" s="27">
        <f>0.547945205479452%*(1-M18)</f>
        <v>4.383561643835617E-3</v>
      </c>
      <c r="L18" s="65">
        <f>SUM(F39:F40)</f>
        <v>1</v>
      </c>
      <c r="M18" s="76">
        <v>0.2</v>
      </c>
    </row>
    <row r="19" spans="2:13" x14ac:dyDescent="0.4">
      <c r="B19" s="20" t="s">
        <v>22</v>
      </c>
      <c r="C19" s="126">
        <v>6.0273972602739728E-2</v>
      </c>
      <c r="D19" s="24">
        <f t="shared" si="0"/>
        <v>22</v>
      </c>
      <c r="E19" s="49">
        <f>SUM(K41:K47)</f>
        <v>11.945393876296295</v>
      </c>
      <c r="F19" s="49">
        <f t="shared" si="1"/>
        <v>262.79866527851851</v>
      </c>
      <c r="G19" s="126">
        <v>6.0273972602739728E-2</v>
      </c>
      <c r="H19" s="127">
        <f t="shared" si="2"/>
        <v>0</v>
      </c>
      <c r="J19" s="20" t="s">
        <v>22</v>
      </c>
      <c r="K19" s="27">
        <f>6.02739726027397%*(1-M19)</f>
        <v>4.8219178082191762E-2</v>
      </c>
      <c r="L19" s="65">
        <f>SUM(F41:F47)</f>
        <v>0.99999999999999989</v>
      </c>
      <c r="M19" s="76">
        <v>0.2</v>
      </c>
    </row>
    <row r="20" spans="2:13" x14ac:dyDescent="0.4">
      <c r="B20" s="20" t="s">
        <v>23</v>
      </c>
      <c r="C20" s="126">
        <v>9.3150684931506855E-2</v>
      </c>
      <c r="D20" s="24">
        <f t="shared" si="0"/>
        <v>34</v>
      </c>
      <c r="E20" s="49">
        <f>SUM(K34:K36)</f>
        <v>3.5247584216867471</v>
      </c>
      <c r="F20" s="49">
        <f t="shared" si="1"/>
        <v>119.8417863373494</v>
      </c>
      <c r="G20" s="126">
        <v>9.3150684931506855E-2</v>
      </c>
      <c r="H20" s="127">
        <f t="shared" si="2"/>
        <v>0</v>
      </c>
      <c r="J20" s="20" t="s">
        <v>23</v>
      </c>
      <c r="K20" s="27">
        <f>9.31506849315068%*(1-M20)</f>
        <v>7.4520547945205448E-2</v>
      </c>
      <c r="L20" s="65">
        <f>SUM(F34:F36)</f>
        <v>1</v>
      </c>
      <c r="M20" s="76">
        <v>0.2</v>
      </c>
    </row>
    <row r="21" spans="2:13" x14ac:dyDescent="0.4">
      <c r="B21" s="20" t="s">
        <v>24</v>
      </c>
      <c r="C21" s="126">
        <v>5.4794520547945206E-3</v>
      </c>
      <c r="D21" s="24">
        <f t="shared" si="0"/>
        <v>2</v>
      </c>
      <c r="E21" s="49">
        <f>SUM(K37:K38)</f>
        <v>4.2112411489361712</v>
      </c>
      <c r="F21" s="49">
        <f t="shared" si="1"/>
        <v>8.4224822978723424</v>
      </c>
      <c r="G21" s="126">
        <v>5.4794520547945206E-3</v>
      </c>
      <c r="H21" s="127">
        <f t="shared" si="2"/>
        <v>0</v>
      </c>
      <c r="J21" s="20" t="s">
        <v>24</v>
      </c>
      <c r="K21" s="27">
        <f>0.547945205479452%*(1-M21)</f>
        <v>4.383561643835617E-3</v>
      </c>
      <c r="L21" s="65">
        <f>SUM(F37:F38)</f>
        <v>1</v>
      </c>
      <c r="M21" s="76">
        <v>0.2</v>
      </c>
    </row>
    <row r="22" spans="2:13" x14ac:dyDescent="0.4">
      <c r="B22" s="20" t="s">
        <v>25</v>
      </c>
      <c r="C22" s="126">
        <v>6.0273972602739728E-2</v>
      </c>
      <c r="D22" s="24">
        <f t="shared" si="0"/>
        <v>22</v>
      </c>
      <c r="E22" s="49">
        <f>SUM(K54:K55)</f>
        <v>3.0794528699999999</v>
      </c>
      <c r="F22" s="49">
        <f t="shared" si="1"/>
        <v>67.747963139999996</v>
      </c>
      <c r="G22" s="126">
        <v>6.0273972602739728E-2</v>
      </c>
      <c r="H22" s="127">
        <f t="shared" si="2"/>
        <v>0</v>
      </c>
      <c r="J22" s="20" t="s">
        <v>25</v>
      </c>
      <c r="K22" s="27">
        <f>6.02739726027397%*(1-M22)</f>
        <v>4.8219178082191762E-2</v>
      </c>
      <c r="L22" s="65">
        <f>SUM(F54:F55)</f>
        <v>1</v>
      </c>
      <c r="M22" s="76">
        <v>0.2</v>
      </c>
    </row>
    <row r="23" spans="2:13" x14ac:dyDescent="0.4">
      <c r="B23" s="20" t="s">
        <v>26</v>
      </c>
      <c r="C23" s="126">
        <v>4.1095890410958902E-2</v>
      </c>
      <c r="D23" s="24">
        <f t="shared" si="0"/>
        <v>15</v>
      </c>
      <c r="E23" s="49">
        <f>SUM(K74:K75)</f>
        <v>5.5226759035714279</v>
      </c>
      <c r="F23" s="49">
        <f t="shared" si="1"/>
        <v>82.840138553571421</v>
      </c>
      <c r="G23" s="126">
        <v>4.1095890410958902E-2</v>
      </c>
      <c r="H23" s="127">
        <f t="shared" si="2"/>
        <v>0</v>
      </c>
      <c r="J23" s="20" t="s">
        <v>26</v>
      </c>
      <c r="K23" s="27">
        <f>4.10958904109589%*(1-M23)</f>
        <v>3.287671232876712E-2</v>
      </c>
      <c r="L23" s="65">
        <f>SUM(F74:F75)</f>
        <v>1</v>
      </c>
      <c r="M23" s="76">
        <v>0.2</v>
      </c>
    </row>
    <row r="24" spans="2:13" x14ac:dyDescent="0.4">
      <c r="B24" s="20" t="s">
        <v>27</v>
      </c>
      <c r="C24" s="126">
        <v>1.643835616438356E-2</v>
      </c>
      <c r="D24" s="24">
        <f t="shared" si="0"/>
        <v>5.9999999999999991</v>
      </c>
      <c r="E24" s="49">
        <f>SUM(K76:K77)</f>
        <v>5.2610641187624996</v>
      </c>
      <c r="F24" s="49">
        <f t="shared" si="1"/>
        <v>31.566384712574994</v>
      </c>
      <c r="G24" s="126">
        <v>1.643835616438356E-2</v>
      </c>
      <c r="H24" s="127">
        <f t="shared" si="2"/>
        <v>0</v>
      </c>
      <c r="J24" s="20" t="s">
        <v>27</v>
      </c>
      <c r="K24" s="27">
        <f>1.64383561643836%*(1-M24)</f>
        <v>1.3150684931506881E-2</v>
      </c>
      <c r="L24" s="65">
        <f>SUM(F76:F77)</f>
        <v>1</v>
      </c>
      <c r="M24" s="76">
        <v>0.2</v>
      </c>
    </row>
    <row r="25" spans="2:13" x14ac:dyDescent="0.4">
      <c r="B25" s="20" t="s">
        <v>28</v>
      </c>
      <c r="C25" s="126">
        <v>0.19726027397260273</v>
      </c>
      <c r="D25" s="24">
        <f t="shared" si="0"/>
        <v>72</v>
      </c>
      <c r="E25" s="49">
        <f>SUM(K56:K64)</f>
        <v>0.4049254074889867</v>
      </c>
      <c r="F25" s="49">
        <f t="shared" si="1"/>
        <v>29.154629339207041</v>
      </c>
      <c r="G25" s="126">
        <v>0.19726027397260273</v>
      </c>
      <c r="H25" s="127">
        <f t="shared" si="2"/>
        <v>0</v>
      </c>
      <c r="J25" s="20" t="s">
        <v>28</v>
      </c>
      <c r="K25" s="27">
        <f>19.7260273972603%*(1-M25)</f>
        <v>0.15780821917808241</v>
      </c>
      <c r="L25" s="65">
        <f>SUM(F56:F64)</f>
        <v>1</v>
      </c>
      <c r="M25" s="76">
        <v>0.2</v>
      </c>
    </row>
    <row r="26" spans="2:13" x14ac:dyDescent="0.4">
      <c r="B26" s="20" t="s">
        <v>29</v>
      </c>
      <c r="C26" s="126">
        <v>4.3835616438356165E-2</v>
      </c>
      <c r="D26" s="24">
        <f t="shared" si="0"/>
        <v>16</v>
      </c>
      <c r="E26" s="49">
        <f>SUM(K72:K73)</f>
        <v>0.42478675000000005</v>
      </c>
      <c r="F26" s="49">
        <f t="shared" si="1"/>
        <v>6.7965880000000007</v>
      </c>
      <c r="G26" s="126">
        <v>4.3835616438356165E-2</v>
      </c>
      <c r="H26" s="127">
        <f t="shared" si="2"/>
        <v>0</v>
      </c>
      <c r="J26" s="20" t="s">
        <v>29</v>
      </c>
      <c r="K26" s="27">
        <f>4.38356164383562%*(1-M26)</f>
        <v>3.5068493150684964E-2</v>
      </c>
      <c r="L26" s="65">
        <f>SUM(F72:F73)</f>
        <v>1</v>
      </c>
      <c r="M26" s="76">
        <v>0.2</v>
      </c>
    </row>
    <row r="27" spans="2:13" x14ac:dyDescent="0.4">
      <c r="B27" s="20" t="s">
        <v>30</v>
      </c>
      <c r="C27" s="126">
        <v>0.21917808219178081</v>
      </c>
      <c r="D27" s="24">
        <f t="shared" si="0"/>
        <v>80</v>
      </c>
      <c r="E27" s="49">
        <f>SUM(K65:K66)</f>
        <v>0.81906525133333319</v>
      </c>
      <c r="F27" s="49">
        <f t="shared" si="1"/>
        <v>65.525220106666652</v>
      </c>
      <c r="G27" s="126">
        <v>0.21917808219178081</v>
      </c>
      <c r="H27" s="127">
        <f t="shared" si="2"/>
        <v>0</v>
      </c>
      <c r="J27" s="20" t="s">
        <v>30</v>
      </c>
      <c r="K27" s="27">
        <f>21.9178082191781%*(1-M27)</f>
        <v>0.1753424657534248</v>
      </c>
      <c r="L27" s="65">
        <f>SUM(F65:F66)</f>
        <v>1</v>
      </c>
      <c r="M27" s="76">
        <v>0.2</v>
      </c>
    </row>
    <row r="28" spans="2:13" x14ac:dyDescent="0.4">
      <c r="B28" s="20" t="s">
        <v>31</v>
      </c>
      <c r="C28" s="126">
        <v>0.12328767123287671</v>
      </c>
      <c r="D28" s="24">
        <f t="shared" si="0"/>
        <v>45</v>
      </c>
      <c r="E28" s="49">
        <f>SUM(K69:K71)</f>
        <v>2.5732208043478266</v>
      </c>
      <c r="F28" s="49">
        <f t="shared" si="1"/>
        <v>115.7949361956522</v>
      </c>
      <c r="G28" s="126">
        <v>0.12328767123287671</v>
      </c>
      <c r="H28" s="127">
        <f t="shared" si="2"/>
        <v>0</v>
      </c>
      <c r="J28" s="20" t="s">
        <v>31</v>
      </c>
      <c r="K28" s="27">
        <f>12.3287671232877%*(1-M28)</f>
        <v>9.8630136986301603E-2</v>
      </c>
      <c r="L28" s="65">
        <f>SUM(F69:F71)</f>
        <v>1</v>
      </c>
      <c r="M28" s="76">
        <v>0.2</v>
      </c>
    </row>
    <row r="29" spans="2:13" x14ac:dyDescent="0.4">
      <c r="B29" s="20" t="s">
        <v>32</v>
      </c>
      <c r="C29" s="126">
        <v>0.12602739726027398</v>
      </c>
      <c r="D29" s="24">
        <f t="shared" si="0"/>
        <v>46</v>
      </c>
      <c r="E29" s="49">
        <f>SUM(K67:K68)</f>
        <v>0.72266448936170213</v>
      </c>
      <c r="F29" s="49">
        <f t="shared" si="1"/>
        <v>33.242566510638298</v>
      </c>
      <c r="G29" s="126">
        <v>0.12602739726027398</v>
      </c>
      <c r="H29" s="127">
        <f t="shared" si="2"/>
        <v>0</v>
      </c>
      <c r="J29" s="20" t="s">
        <v>32</v>
      </c>
      <c r="K29" s="27">
        <f>12.6027397260274%*(1-M29)</f>
        <v>0.10082191780821921</v>
      </c>
      <c r="L29" s="65">
        <f>SUM(F67:F68)</f>
        <v>1</v>
      </c>
      <c r="M29" s="76">
        <v>0.2</v>
      </c>
    </row>
    <row r="30" spans="2:13" s="14" customFormat="1" x14ac:dyDescent="0.4"/>
    <row r="31" spans="2:13" x14ac:dyDescent="0.4">
      <c r="C31" s="61"/>
      <c r="D31" s="25"/>
    </row>
    <row r="32" spans="2:13" x14ac:dyDescent="0.4">
      <c r="B32" s="22" t="s">
        <v>143</v>
      </c>
    </row>
    <row r="33" spans="2:11" ht="50.65" customHeight="1" x14ac:dyDescent="0.4">
      <c r="B33" s="133" t="s">
        <v>33</v>
      </c>
      <c r="C33" s="133" t="s">
        <v>15</v>
      </c>
      <c r="D33" s="133" t="s">
        <v>34</v>
      </c>
      <c r="E33" s="133" t="s">
        <v>35</v>
      </c>
      <c r="F33" s="134" t="s">
        <v>144</v>
      </c>
      <c r="G33" s="134" t="s">
        <v>148</v>
      </c>
      <c r="H33" s="134" t="s">
        <v>149</v>
      </c>
      <c r="I33" s="134" t="s">
        <v>150</v>
      </c>
      <c r="J33" s="134" t="s">
        <v>151</v>
      </c>
      <c r="K33" s="134" t="s">
        <v>152</v>
      </c>
    </row>
    <row r="34" spans="2:11" x14ac:dyDescent="0.4">
      <c r="B34" s="92">
        <v>1</v>
      </c>
      <c r="C34" s="93" t="s">
        <v>23</v>
      </c>
      <c r="D34" s="92" t="s">
        <v>40</v>
      </c>
      <c r="E34" s="93" t="s">
        <v>41</v>
      </c>
      <c r="F34" s="94">
        <v>0.4337349397590361</v>
      </c>
      <c r="G34" s="98">
        <v>2.995031</v>
      </c>
      <c r="H34" s="98">
        <v>0.38144</v>
      </c>
      <c r="I34" s="98">
        <v>3.8969999999999999E-3</v>
      </c>
      <c r="J34" s="98">
        <f>SUM(G34:I34)</f>
        <v>3.3803679999999998</v>
      </c>
      <c r="K34" s="99">
        <f t="shared" ref="K34:K77" si="3">F34*J34</f>
        <v>1.4661837108433733</v>
      </c>
    </row>
    <row r="35" spans="2:11" x14ac:dyDescent="0.4">
      <c r="B35" s="92">
        <v>2</v>
      </c>
      <c r="C35" s="93" t="s">
        <v>23</v>
      </c>
      <c r="D35" s="92" t="s">
        <v>42</v>
      </c>
      <c r="E35" s="92" t="s">
        <v>41</v>
      </c>
      <c r="F35" s="100">
        <v>1.2048192771084336E-2</v>
      </c>
      <c r="G35" s="98">
        <v>2.9989279999999998</v>
      </c>
      <c r="H35" s="98">
        <v>0.76137900000000003</v>
      </c>
      <c r="I35" s="98">
        <v>2.7139999999999998E-3</v>
      </c>
      <c r="J35" s="98">
        <f t="shared" ref="J35:J77" si="4">SUM(G35:I35)</f>
        <v>3.7630210000000002</v>
      </c>
      <c r="K35" s="99">
        <f t="shared" si="3"/>
        <v>4.533760240963855E-2</v>
      </c>
    </row>
    <row r="36" spans="2:11" x14ac:dyDescent="0.4">
      <c r="B36" s="92">
        <v>3</v>
      </c>
      <c r="C36" s="93" t="s">
        <v>23</v>
      </c>
      <c r="D36" s="92" t="s">
        <v>42</v>
      </c>
      <c r="E36" s="92" t="s">
        <v>43</v>
      </c>
      <c r="F36" s="100">
        <v>0.55421686746987953</v>
      </c>
      <c r="G36" s="98">
        <v>2.5277020000000001</v>
      </c>
      <c r="H36" s="98">
        <v>0.68049199999999999</v>
      </c>
      <c r="I36" s="98">
        <v>0.42438599999999999</v>
      </c>
      <c r="J36" s="98">
        <f t="shared" si="4"/>
        <v>3.6325800000000004</v>
      </c>
      <c r="K36" s="99">
        <f t="shared" si="3"/>
        <v>2.013237108433735</v>
      </c>
    </row>
    <row r="37" spans="2:11" x14ac:dyDescent="0.4">
      <c r="B37" s="101">
        <v>4</v>
      </c>
      <c r="C37" s="102" t="s">
        <v>24</v>
      </c>
      <c r="D37" s="101" t="s">
        <v>40</v>
      </c>
      <c r="E37" s="102" t="s">
        <v>41</v>
      </c>
      <c r="F37" s="103">
        <v>0.36170212765957449</v>
      </c>
      <c r="G37" s="107">
        <v>3.812459</v>
      </c>
      <c r="H37" s="107">
        <v>0.32567699999999999</v>
      </c>
      <c r="I37" s="107">
        <v>4.0559999999999997E-3</v>
      </c>
      <c r="J37" s="107">
        <f t="shared" si="4"/>
        <v>4.1421920000000005</v>
      </c>
      <c r="K37" s="108">
        <f t="shared" si="3"/>
        <v>1.4982396595744685</v>
      </c>
    </row>
    <row r="38" spans="2:11" x14ac:dyDescent="0.4">
      <c r="B38" s="101">
        <v>5</v>
      </c>
      <c r="C38" s="102" t="s">
        <v>24</v>
      </c>
      <c r="D38" s="101" t="s">
        <v>42</v>
      </c>
      <c r="E38" s="102" t="s">
        <v>41</v>
      </c>
      <c r="F38" s="103">
        <v>0.63829787234042556</v>
      </c>
      <c r="G38" s="107">
        <v>3.812459</v>
      </c>
      <c r="H38" s="107">
        <v>0.43385400000000002</v>
      </c>
      <c r="I38" s="107">
        <v>4.0559999999999997E-3</v>
      </c>
      <c r="J38" s="107">
        <f t="shared" si="4"/>
        <v>4.2503690000000001</v>
      </c>
      <c r="K38" s="108">
        <f t="shared" si="3"/>
        <v>2.7130014893617025</v>
      </c>
    </row>
    <row r="39" spans="2:11" x14ac:dyDescent="0.4">
      <c r="B39" s="92">
        <v>6</v>
      </c>
      <c r="C39" s="93" t="s">
        <v>21</v>
      </c>
      <c r="D39" s="92" t="s">
        <v>44</v>
      </c>
      <c r="E39" s="92" t="s">
        <v>45</v>
      </c>
      <c r="F39" s="100">
        <v>0.3</v>
      </c>
      <c r="G39" s="98">
        <v>13.19894</v>
      </c>
      <c r="H39" s="98">
        <v>0.90092099999999997</v>
      </c>
      <c r="I39" s="98">
        <v>7.1202430000000003</v>
      </c>
      <c r="J39" s="98">
        <f t="shared" si="4"/>
        <v>21.220103999999999</v>
      </c>
      <c r="K39" s="99">
        <f t="shared" si="3"/>
        <v>6.3660311999999992</v>
      </c>
    </row>
    <row r="40" spans="2:11" x14ac:dyDescent="0.4">
      <c r="B40" s="92">
        <v>7</v>
      </c>
      <c r="C40" s="93" t="s">
        <v>21</v>
      </c>
      <c r="D40" s="92" t="s">
        <v>42</v>
      </c>
      <c r="E40" s="92" t="s">
        <v>45</v>
      </c>
      <c r="F40" s="100">
        <v>0.7</v>
      </c>
      <c r="G40" s="98">
        <v>13.19894</v>
      </c>
      <c r="H40" s="98">
        <v>0.96768900000000002</v>
      </c>
      <c r="I40" s="98">
        <v>0.17633199999999999</v>
      </c>
      <c r="J40" s="98">
        <f t="shared" si="4"/>
        <v>14.342961000000001</v>
      </c>
      <c r="K40" s="99">
        <f t="shared" si="3"/>
        <v>10.0400727</v>
      </c>
    </row>
    <row r="41" spans="2:11" x14ac:dyDescent="0.4">
      <c r="B41" s="101">
        <v>8</v>
      </c>
      <c r="C41" s="102" t="s">
        <v>22</v>
      </c>
      <c r="D41" s="101" t="s">
        <v>40</v>
      </c>
      <c r="E41" s="102" t="s">
        <v>46</v>
      </c>
      <c r="F41" s="103">
        <v>0.20987654320987653</v>
      </c>
      <c r="G41" s="107">
        <v>7.22039819</v>
      </c>
      <c r="H41" s="107">
        <v>1.7484542000000001</v>
      </c>
      <c r="I41" s="107">
        <v>4.0494910000000002E-2</v>
      </c>
      <c r="J41" s="107">
        <f t="shared" si="4"/>
        <v>9.0093472999999999</v>
      </c>
      <c r="K41" s="108">
        <f t="shared" si="3"/>
        <v>1.8908506679012345</v>
      </c>
    </row>
    <row r="42" spans="2:11" x14ac:dyDescent="0.4">
      <c r="B42" s="101">
        <v>9</v>
      </c>
      <c r="C42" s="102" t="s">
        <v>22</v>
      </c>
      <c r="D42" s="101" t="s">
        <v>44</v>
      </c>
      <c r="E42" s="101" t="s">
        <v>43</v>
      </c>
      <c r="F42" s="110">
        <v>0.12345679012345678</v>
      </c>
      <c r="G42" s="107">
        <v>7.2956225999999997</v>
      </c>
      <c r="H42" s="107">
        <v>0.81951735000000003</v>
      </c>
      <c r="I42" s="107">
        <v>18.8588928</v>
      </c>
      <c r="J42" s="107">
        <f t="shared" si="4"/>
        <v>26.974032749999999</v>
      </c>
      <c r="K42" s="108">
        <f t="shared" si="3"/>
        <v>3.3301274999999997</v>
      </c>
    </row>
    <row r="43" spans="2:11" x14ac:dyDescent="0.4">
      <c r="B43" s="101">
        <v>10</v>
      </c>
      <c r="C43" s="102" t="s">
        <v>22</v>
      </c>
      <c r="D43" s="101" t="s">
        <v>44</v>
      </c>
      <c r="E43" s="101" t="s">
        <v>45</v>
      </c>
      <c r="F43" s="110">
        <v>4.9382716049382713E-2</v>
      </c>
      <c r="G43" s="107">
        <v>7.1395445799999999</v>
      </c>
      <c r="H43" s="107">
        <v>4.0700936900000002</v>
      </c>
      <c r="I43" s="107">
        <v>7.1202434300000004</v>
      </c>
      <c r="J43" s="107">
        <f t="shared" si="4"/>
        <v>18.329881700000001</v>
      </c>
      <c r="K43" s="108">
        <f t="shared" si="3"/>
        <v>0.90517934320987659</v>
      </c>
    </row>
    <row r="44" spans="2:11" x14ac:dyDescent="0.4">
      <c r="B44" s="101">
        <v>11</v>
      </c>
      <c r="C44" s="102" t="s">
        <v>22</v>
      </c>
      <c r="D44" s="101" t="s">
        <v>42</v>
      </c>
      <c r="E44" s="101" t="s">
        <v>43</v>
      </c>
      <c r="F44" s="110">
        <v>0.29629629629629628</v>
      </c>
      <c r="G44" s="107">
        <v>7.2956225999999997</v>
      </c>
      <c r="H44" s="107">
        <v>0.84836555000000002</v>
      </c>
      <c r="I44" s="107">
        <v>0.42201559999999999</v>
      </c>
      <c r="J44" s="107">
        <f t="shared" si="4"/>
        <v>8.5660037500000001</v>
      </c>
      <c r="K44" s="108">
        <f t="shared" si="3"/>
        <v>2.538075185185185</v>
      </c>
    </row>
    <row r="45" spans="2:11" x14ac:dyDescent="0.4">
      <c r="B45" s="101">
        <v>12</v>
      </c>
      <c r="C45" s="102" t="s">
        <v>22</v>
      </c>
      <c r="D45" s="101" t="s">
        <v>42</v>
      </c>
      <c r="E45" s="101" t="s">
        <v>45</v>
      </c>
      <c r="F45" s="110">
        <v>9.8765432098765427E-2</v>
      </c>
      <c r="G45" s="107">
        <v>7.1395445799999999</v>
      </c>
      <c r="H45" s="107">
        <v>4.1668280099999997</v>
      </c>
      <c r="I45" s="107">
        <v>0.17633204</v>
      </c>
      <c r="J45" s="107">
        <f t="shared" si="4"/>
        <v>11.482704629999999</v>
      </c>
      <c r="K45" s="108">
        <f t="shared" si="3"/>
        <v>1.1340942844444444</v>
      </c>
    </row>
    <row r="46" spans="2:11" x14ac:dyDescent="0.4">
      <c r="B46" s="101">
        <v>13</v>
      </c>
      <c r="C46" s="102" t="s">
        <v>22</v>
      </c>
      <c r="D46" s="101" t="s">
        <v>42</v>
      </c>
      <c r="E46" s="101" t="s">
        <v>47</v>
      </c>
      <c r="F46" s="110">
        <v>0.14814814814814814</v>
      </c>
      <c r="G46" s="107">
        <v>7.0857764300000001</v>
      </c>
      <c r="H46" s="107">
        <v>2.3632220799999999</v>
      </c>
      <c r="I46" s="107">
        <v>0.36202464000000001</v>
      </c>
      <c r="J46" s="107">
        <f t="shared" si="4"/>
        <v>9.8110231499999987</v>
      </c>
      <c r="K46" s="108">
        <f t="shared" si="3"/>
        <v>1.4534849111111108</v>
      </c>
    </row>
    <row r="47" spans="2:11" x14ac:dyDescent="0.4">
      <c r="B47" s="101">
        <v>14</v>
      </c>
      <c r="C47" s="102" t="s">
        <v>22</v>
      </c>
      <c r="D47" s="101" t="s">
        <v>42</v>
      </c>
      <c r="E47" s="101" t="s">
        <v>48</v>
      </c>
      <c r="F47" s="110">
        <v>7.407407407407407E-2</v>
      </c>
      <c r="G47" s="107">
        <v>7.2956225999999997</v>
      </c>
      <c r="H47" s="107">
        <v>1.77765705</v>
      </c>
      <c r="I47" s="107">
        <v>0.29007714000000001</v>
      </c>
      <c r="J47" s="107">
        <f t="shared" si="4"/>
        <v>9.3633567899999992</v>
      </c>
      <c r="K47" s="108">
        <f t="shared" si="3"/>
        <v>0.6935819844444443</v>
      </c>
    </row>
    <row r="48" spans="2:11" x14ac:dyDescent="0.4">
      <c r="B48" s="92">
        <v>15</v>
      </c>
      <c r="C48" s="93" t="s">
        <v>20</v>
      </c>
      <c r="D48" s="92" t="s">
        <v>44</v>
      </c>
      <c r="E48" s="92" t="s">
        <v>43</v>
      </c>
      <c r="F48" s="100">
        <v>0.17582417582417581</v>
      </c>
      <c r="G48" s="98">
        <v>18.833870000000001</v>
      </c>
      <c r="H48" s="98">
        <v>0.69446600000000003</v>
      </c>
      <c r="I48" s="98">
        <v>18.858889999999999</v>
      </c>
      <c r="J48" s="98">
        <f t="shared" si="4"/>
        <v>38.387225999999998</v>
      </c>
      <c r="K48" s="99">
        <f t="shared" si="3"/>
        <v>6.7494023736263724</v>
      </c>
    </row>
    <row r="49" spans="2:11" x14ac:dyDescent="0.4">
      <c r="B49" s="92">
        <v>16</v>
      </c>
      <c r="C49" s="93" t="s">
        <v>20</v>
      </c>
      <c r="D49" s="92" t="s">
        <v>44</v>
      </c>
      <c r="E49" s="92" t="s">
        <v>45</v>
      </c>
      <c r="F49" s="100">
        <v>8.7912087912087905E-2</v>
      </c>
      <c r="G49" s="98">
        <v>18.857240000000001</v>
      </c>
      <c r="H49" s="98">
        <v>1.5193319999999999</v>
      </c>
      <c r="I49" s="98">
        <v>7.1202430000000003</v>
      </c>
      <c r="J49" s="98">
        <f t="shared" si="4"/>
        <v>27.496814999999998</v>
      </c>
      <c r="K49" s="99">
        <f t="shared" si="3"/>
        <v>2.4173024175824174</v>
      </c>
    </row>
    <row r="50" spans="2:11" x14ac:dyDescent="0.4">
      <c r="B50" s="92">
        <v>17</v>
      </c>
      <c r="C50" s="93" t="s">
        <v>20</v>
      </c>
      <c r="D50" s="92" t="s">
        <v>44</v>
      </c>
      <c r="E50" s="92" t="s">
        <v>49</v>
      </c>
      <c r="F50" s="100">
        <v>3.2967032967032968E-2</v>
      </c>
      <c r="G50" s="98">
        <v>18.760680000000001</v>
      </c>
      <c r="H50" s="98">
        <v>0.63292700000000002</v>
      </c>
      <c r="I50" s="98">
        <v>9.8971769999999992</v>
      </c>
      <c r="J50" s="98">
        <f t="shared" si="4"/>
        <v>29.290783999999999</v>
      </c>
      <c r="K50" s="99">
        <f t="shared" si="3"/>
        <v>0.96563024175824175</v>
      </c>
    </row>
    <row r="51" spans="2:11" x14ac:dyDescent="0.4">
      <c r="B51" s="92">
        <v>18</v>
      </c>
      <c r="C51" s="93" t="s">
        <v>20</v>
      </c>
      <c r="D51" s="92" t="s">
        <v>42</v>
      </c>
      <c r="E51" s="92" t="s">
        <v>43</v>
      </c>
      <c r="F51" s="100">
        <v>0.39560439560439559</v>
      </c>
      <c r="G51" s="98">
        <v>18.833870000000001</v>
      </c>
      <c r="H51" s="98">
        <v>0.714009</v>
      </c>
      <c r="I51" s="98">
        <v>0.422016</v>
      </c>
      <c r="J51" s="98">
        <f t="shared" si="4"/>
        <v>19.969895000000001</v>
      </c>
      <c r="K51" s="99">
        <f t="shared" si="3"/>
        <v>7.9001782417582422</v>
      </c>
    </row>
    <row r="52" spans="2:11" x14ac:dyDescent="0.4">
      <c r="B52" s="92">
        <v>19</v>
      </c>
      <c r="C52" s="93" t="s">
        <v>20</v>
      </c>
      <c r="D52" s="92" t="s">
        <v>42</v>
      </c>
      <c r="E52" s="92" t="s">
        <v>45</v>
      </c>
      <c r="F52" s="100">
        <v>0.21978021978021978</v>
      </c>
      <c r="G52" s="98">
        <v>18.857240000000001</v>
      </c>
      <c r="H52" s="98">
        <v>1.5861000000000001</v>
      </c>
      <c r="I52" s="98">
        <v>0.17633199999999999</v>
      </c>
      <c r="J52" s="98">
        <f t="shared" si="4"/>
        <v>20.619671999999998</v>
      </c>
      <c r="K52" s="99">
        <f t="shared" si="3"/>
        <v>4.5317960439560432</v>
      </c>
    </row>
    <row r="53" spans="2:11" x14ac:dyDescent="0.4">
      <c r="B53" s="92">
        <v>20</v>
      </c>
      <c r="C53" s="93" t="s">
        <v>20</v>
      </c>
      <c r="D53" s="92" t="s">
        <v>42</v>
      </c>
      <c r="E53" s="92" t="s">
        <v>49</v>
      </c>
      <c r="F53" s="100">
        <v>8.7912087912087905E-2</v>
      </c>
      <c r="G53" s="98">
        <v>18.760680000000001</v>
      </c>
      <c r="H53" s="98">
        <v>0.64853400000000005</v>
      </c>
      <c r="I53" s="98">
        <v>0.23547399999999999</v>
      </c>
      <c r="J53" s="98">
        <f t="shared" si="4"/>
        <v>19.644688000000002</v>
      </c>
      <c r="K53" s="99">
        <f t="shared" si="3"/>
        <v>1.7270055384615386</v>
      </c>
    </row>
    <row r="54" spans="2:11" x14ac:dyDescent="0.4">
      <c r="B54" s="101">
        <v>21</v>
      </c>
      <c r="C54" s="102" t="s">
        <v>25</v>
      </c>
      <c r="D54" s="101" t="s">
        <v>40</v>
      </c>
      <c r="E54" s="101" t="s">
        <v>41</v>
      </c>
      <c r="F54" s="110">
        <v>0.81</v>
      </c>
      <c r="G54" s="107">
        <v>3.0457689999999999</v>
      </c>
      <c r="H54" s="107">
        <v>5.5363000000000002E-2</v>
      </c>
      <c r="I54" s="107">
        <v>7.358E-3</v>
      </c>
      <c r="J54" s="107">
        <f t="shared" si="4"/>
        <v>3.1084899999999998</v>
      </c>
      <c r="K54" s="108">
        <f t="shared" si="3"/>
        <v>2.5178769000000001</v>
      </c>
    </row>
    <row r="55" spans="2:11" s="62" customFormat="1" x14ac:dyDescent="0.4">
      <c r="B55" s="101">
        <v>22</v>
      </c>
      <c r="C55" s="102" t="s">
        <v>25</v>
      </c>
      <c r="D55" s="101" t="s">
        <v>40</v>
      </c>
      <c r="E55" s="101" t="s">
        <v>50</v>
      </c>
      <c r="F55" s="110">
        <v>0.19</v>
      </c>
      <c r="G55" s="107">
        <v>2.924229</v>
      </c>
      <c r="H55" s="107">
        <v>3.1273000000000002E-2</v>
      </c>
      <c r="I55" s="107">
        <v>1.6100000000000001E-4</v>
      </c>
      <c r="J55" s="107">
        <f t="shared" si="4"/>
        <v>2.9556629999999999</v>
      </c>
      <c r="K55" s="108">
        <f t="shared" si="3"/>
        <v>0.56157597000000004</v>
      </c>
    </row>
    <row r="56" spans="2:11" x14ac:dyDescent="0.4">
      <c r="B56" s="92">
        <v>23</v>
      </c>
      <c r="C56" s="93" t="s">
        <v>28</v>
      </c>
      <c r="D56" s="92" t="s">
        <v>51</v>
      </c>
      <c r="E56" s="92" t="s">
        <v>41</v>
      </c>
      <c r="F56" s="100">
        <v>9.0308370044052858E-2</v>
      </c>
      <c r="G56" s="98">
        <v>0.19164700000000001</v>
      </c>
      <c r="H56" s="98">
        <v>0.10198699999999999</v>
      </c>
      <c r="I56" s="98">
        <v>8.8981000000000005E-2</v>
      </c>
      <c r="J56" s="98">
        <f t="shared" si="4"/>
        <v>0.38261500000000004</v>
      </c>
      <c r="K56" s="99">
        <f t="shared" si="3"/>
        <v>3.4553337004405285E-2</v>
      </c>
    </row>
    <row r="57" spans="2:11" x14ac:dyDescent="0.4">
      <c r="B57" s="92">
        <v>24</v>
      </c>
      <c r="C57" s="93" t="s">
        <v>28</v>
      </c>
      <c r="D57" s="92" t="s">
        <v>51</v>
      </c>
      <c r="E57" s="92" t="s">
        <v>52</v>
      </c>
      <c r="F57" s="100">
        <v>9.2511013215859028E-2</v>
      </c>
      <c r="G57" s="98">
        <v>0.199766</v>
      </c>
      <c r="H57" s="98">
        <v>0.10198699999999999</v>
      </c>
      <c r="I57" s="98">
        <v>8.9165999999999995E-2</v>
      </c>
      <c r="J57" s="98">
        <f t="shared" si="4"/>
        <v>0.39091900000000002</v>
      </c>
      <c r="K57" s="99">
        <f t="shared" si="3"/>
        <v>3.6164312775330394E-2</v>
      </c>
    </row>
    <row r="58" spans="2:11" x14ac:dyDescent="0.4">
      <c r="B58" s="92">
        <v>25</v>
      </c>
      <c r="C58" s="93" t="s">
        <v>28</v>
      </c>
      <c r="D58" s="92" t="s">
        <v>53</v>
      </c>
      <c r="E58" s="92" t="s">
        <v>41</v>
      </c>
      <c r="F58" s="100">
        <v>0.21806167400881057</v>
      </c>
      <c r="G58" s="98">
        <v>0.127414</v>
      </c>
      <c r="H58" s="98">
        <v>0.10198699999999999</v>
      </c>
      <c r="I58" s="98">
        <v>8.8981000000000005E-2</v>
      </c>
      <c r="J58" s="98">
        <f t="shared" si="4"/>
        <v>0.318382</v>
      </c>
      <c r="K58" s="99">
        <f t="shared" si="3"/>
        <v>6.9426911894273122E-2</v>
      </c>
    </row>
    <row r="59" spans="2:11" x14ac:dyDescent="0.4">
      <c r="B59" s="92">
        <v>26</v>
      </c>
      <c r="C59" s="93" t="s">
        <v>28</v>
      </c>
      <c r="D59" s="92" t="s">
        <v>54</v>
      </c>
      <c r="E59" s="92" t="s">
        <v>41</v>
      </c>
      <c r="F59" s="100">
        <v>0.21365638766519823</v>
      </c>
      <c r="G59" s="98">
        <v>0.14409</v>
      </c>
      <c r="H59" s="98">
        <v>0.10198699999999999</v>
      </c>
      <c r="I59" s="98">
        <v>8.8981000000000005E-2</v>
      </c>
      <c r="J59" s="98">
        <f t="shared" si="4"/>
        <v>0.33505799999999997</v>
      </c>
      <c r="K59" s="99">
        <f t="shared" si="3"/>
        <v>7.1587281938325989E-2</v>
      </c>
    </row>
    <row r="60" spans="2:11" x14ac:dyDescent="0.4">
      <c r="B60" s="92">
        <v>27</v>
      </c>
      <c r="C60" s="93" t="s">
        <v>28</v>
      </c>
      <c r="D60" s="92" t="s">
        <v>55</v>
      </c>
      <c r="E60" s="92" t="s">
        <v>41</v>
      </c>
      <c r="F60" s="100">
        <v>0.18502202643171806</v>
      </c>
      <c r="G60" s="98">
        <v>9.3112E-2</v>
      </c>
      <c r="H60" s="98">
        <v>0.10198699999999999</v>
      </c>
      <c r="I60" s="98">
        <v>8.8981000000000005E-2</v>
      </c>
      <c r="J60" s="98">
        <f t="shared" si="4"/>
        <v>0.28408</v>
      </c>
      <c r="K60" s="99">
        <f t="shared" si="3"/>
        <v>5.2561057268722462E-2</v>
      </c>
    </row>
    <row r="61" spans="2:11" x14ac:dyDescent="0.4">
      <c r="B61" s="92">
        <v>28</v>
      </c>
      <c r="C61" s="93" t="s">
        <v>28</v>
      </c>
      <c r="D61" s="92" t="s">
        <v>56</v>
      </c>
      <c r="E61" s="92" t="s">
        <v>45</v>
      </c>
      <c r="F61" s="100">
        <v>5.2863436123348012E-2</v>
      </c>
      <c r="G61" s="98">
        <v>0.19825000000000001</v>
      </c>
      <c r="H61" s="98">
        <v>9.6673999999999996E-2</v>
      </c>
      <c r="I61" s="98">
        <v>0.20535600000000001</v>
      </c>
      <c r="J61" s="98">
        <f t="shared" si="4"/>
        <v>0.50028000000000006</v>
      </c>
      <c r="K61" s="99">
        <f t="shared" si="3"/>
        <v>2.6446519823788546E-2</v>
      </c>
    </row>
    <row r="62" spans="2:11" x14ac:dyDescent="0.4">
      <c r="B62" s="92">
        <v>29</v>
      </c>
      <c r="C62" s="93" t="s">
        <v>28</v>
      </c>
      <c r="D62" s="92" t="s">
        <v>56</v>
      </c>
      <c r="E62" s="92" t="s">
        <v>57</v>
      </c>
      <c r="F62" s="100">
        <v>6.8281938325991193E-2</v>
      </c>
      <c r="G62" s="98">
        <v>0.156613</v>
      </c>
      <c r="H62" s="98">
        <v>9.6673999999999996E-2</v>
      </c>
      <c r="I62" s="98">
        <v>0.74357899999999999</v>
      </c>
      <c r="J62" s="98">
        <f t="shared" si="4"/>
        <v>0.99686600000000003</v>
      </c>
      <c r="K62" s="99">
        <f t="shared" si="3"/>
        <v>6.8067942731277545E-2</v>
      </c>
    </row>
    <row r="63" spans="2:11" x14ac:dyDescent="0.4">
      <c r="B63" s="92">
        <v>30</v>
      </c>
      <c r="C63" s="93" t="s">
        <v>28</v>
      </c>
      <c r="D63" s="92" t="s">
        <v>56</v>
      </c>
      <c r="E63" s="92" t="s">
        <v>58</v>
      </c>
      <c r="F63" s="100">
        <v>4.405286343612335E-2</v>
      </c>
      <c r="G63" s="98">
        <v>0.196074</v>
      </c>
      <c r="H63" s="98">
        <v>0.10198699999999999</v>
      </c>
      <c r="I63" s="98">
        <v>0.29580099999999998</v>
      </c>
      <c r="J63" s="98">
        <f t="shared" si="4"/>
        <v>0.593862</v>
      </c>
      <c r="K63" s="99">
        <f t="shared" si="3"/>
        <v>2.6161321585903084E-2</v>
      </c>
    </row>
    <row r="64" spans="2:11" x14ac:dyDescent="0.4">
      <c r="B64" s="92">
        <v>31</v>
      </c>
      <c r="C64" s="93" t="s">
        <v>28</v>
      </c>
      <c r="D64" s="92" t="s">
        <v>56</v>
      </c>
      <c r="E64" s="92" t="s">
        <v>59</v>
      </c>
      <c r="F64" s="100">
        <v>3.5242290748898682E-2</v>
      </c>
      <c r="G64" s="98">
        <v>0.18069099999999999</v>
      </c>
      <c r="H64" s="98">
        <v>0.10312</v>
      </c>
      <c r="I64" s="98">
        <v>0.28246100000000002</v>
      </c>
      <c r="J64" s="98">
        <f t="shared" si="4"/>
        <v>0.566272</v>
      </c>
      <c r="K64" s="99">
        <f t="shared" si="3"/>
        <v>1.9956722466960355E-2</v>
      </c>
    </row>
    <row r="65" spans="2:11" x14ac:dyDescent="0.4">
      <c r="B65" s="101">
        <v>32</v>
      </c>
      <c r="C65" s="102" t="s">
        <v>30</v>
      </c>
      <c r="D65" s="101" t="s">
        <v>119</v>
      </c>
      <c r="E65" s="101" t="s">
        <v>153</v>
      </c>
      <c r="F65" s="110">
        <v>0.97</v>
      </c>
      <c r="G65" s="107">
        <v>0.50836139999999996</v>
      </c>
      <c r="H65" s="107">
        <v>0.1616524</v>
      </c>
      <c r="I65" s="107">
        <v>0.16678393333333333</v>
      </c>
      <c r="J65" s="107">
        <f t="shared" si="4"/>
        <v>0.83679773333333329</v>
      </c>
      <c r="K65" s="108">
        <f t="shared" si="3"/>
        <v>0.81169380133333324</v>
      </c>
    </row>
    <row r="66" spans="2:11" x14ac:dyDescent="0.4">
      <c r="B66" s="101">
        <v>33</v>
      </c>
      <c r="C66" s="102" t="s">
        <v>30</v>
      </c>
      <c r="D66" s="101" t="s">
        <v>119</v>
      </c>
      <c r="E66" s="101" t="s">
        <v>50</v>
      </c>
      <c r="F66" s="110">
        <v>0.03</v>
      </c>
      <c r="G66" s="107">
        <v>4.8299000000000002E-2</v>
      </c>
      <c r="H66" s="107">
        <v>0.18532499999999999</v>
      </c>
      <c r="I66" s="107">
        <v>1.2090999999999999E-2</v>
      </c>
      <c r="J66" s="107">
        <f t="shared" si="4"/>
        <v>0.24571499999999999</v>
      </c>
      <c r="K66" s="108">
        <f t="shared" si="3"/>
        <v>7.371449999999999E-3</v>
      </c>
    </row>
    <row r="67" spans="2:11" x14ac:dyDescent="0.4">
      <c r="B67" s="92">
        <v>48</v>
      </c>
      <c r="C67" s="93" t="s">
        <v>32</v>
      </c>
      <c r="D67" s="92" t="s">
        <v>32</v>
      </c>
      <c r="E67" s="92" t="s">
        <v>45</v>
      </c>
      <c r="F67" s="100">
        <v>0.63829787234042556</v>
      </c>
      <c r="G67" s="98">
        <v>0.44561099999999998</v>
      </c>
      <c r="H67" s="98">
        <v>3.3017999999999999E-2</v>
      </c>
      <c r="I67" s="98">
        <v>0.130414</v>
      </c>
      <c r="J67" s="98">
        <f t="shared" si="4"/>
        <v>0.609043</v>
      </c>
      <c r="K67" s="99">
        <f t="shared" si="3"/>
        <v>0.38875085106382978</v>
      </c>
    </row>
    <row r="68" spans="2:11" x14ac:dyDescent="0.4">
      <c r="B68" s="92">
        <v>49</v>
      </c>
      <c r="C68" s="93" t="s">
        <v>32</v>
      </c>
      <c r="D68" s="92" t="s">
        <v>32</v>
      </c>
      <c r="E68" s="92" t="s">
        <v>57</v>
      </c>
      <c r="F68" s="100">
        <v>0.36170212765957449</v>
      </c>
      <c r="G68" s="98">
        <v>0.49074200000000001</v>
      </c>
      <c r="H68" s="98">
        <v>3.2978E-2</v>
      </c>
      <c r="I68" s="98">
        <v>0.399453</v>
      </c>
      <c r="J68" s="98">
        <f t="shared" si="4"/>
        <v>0.92317300000000002</v>
      </c>
      <c r="K68" s="99">
        <f t="shared" si="3"/>
        <v>0.33391363829787235</v>
      </c>
    </row>
    <row r="69" spans="2:11" x14ac:dyDescent="0.4">
      <c r="B69" s="101">
        <v>50</v>
      </c>
      <c r="C69" s="102" t="s">
        <v>31</v>
      </c>
      <c r="D69" s="101" t="s">
        <v>31</v>
      </c>
      <c r="E69" s="101" t="s">
        <v>70</v>
      </c>
      <c r="F69" s="110">
        <v>0.43478260869565222</v>
      </c>
      <c r="G69" s="107">
        <v>2.6889720000000001</v>
      </c>
      <c r="H69" s="107">
        <v>-0.18823500000000001</v>
      </c>
      <c r="I69" s="107">
        <v>3.2605000000000002E-2</v>
      </c>
      <c r="J69" s="107">
        <f t="shared" si="4"/>
        <v>2.5333420000000002</v>
      </c>
      <c r="K69" s="108">
        <f t="shared" si="3"/>
        <v>1.101453043478261</v>
      </c>
    </row>
    <row r="70" spans="2:11" x14ac:dyDescent="0.4">
      <c r="B70" s="101">
        <v>51</v>
      </c>
      <c r="C70" s="102" t="s">
        <v>31</v>
      </c>
      <c r="D70" s="101" t="s">
        <v>31</v>
      </c>
      <c r="E70" s="101" t="s">
        <v>66</v>
      </c>
      <c r="F70" s="110">
        <v>0.31521739130434784</v>
      </c>
      <c r="G70" s="107">
        <v>2.9543300000000001</v>
      </c>
      <c r="H70" s="107">
        <v>-0.33082</v>
      </c>
      <c r="I70" s="107">
        <v>4.8127999999999997E-2</v>
      </c>
      <c r="J70" s="107">
        <f t="shared" si="4"/>
        <v>2.6716380000000002</v>
      </c>
      <c r="K70" s="108">
        <f t="shared" si="3"/>
        <v>0.8421467608695653</v>
      </c>
    </row>
    <row r="71" spans="2:11" x14ac:dyDescent="0.4">
      <c r="B71" s="101">
        <v>52</v>
      </c>
      <c r="C71" s="102" t="s">
        <v>31</v>
      </c>
      <c r="D71" s="101" t="s">
        <v>31</v>
      </c>
      <c r="E71" s="101" t="s">
        <v>71</v>
      </c>
      <c r="F71" s="110">
        <v>0.25000000000000006</v>
      </c>
      <c r="G71" s="107">
        <v>2.6889720000000001</v>
      </c>
      <c r="H71" s="107">
        <v>-0.221641</v>
      </c>
      <c r="I71" s="107">
        <v>5.1152999999999997E-2</v>
      </c>
      <c r="J71" s="107">
        <f t="shared" si="4"/>
        <v>2.5184839999999999</v>
      </c>
      <c r="K71" s="108">
        <f t="shared" si="3"/>
        <v>0.6296210000000001</v>
      </c>
    </row>
    <row r="72" spans="2:11" x14ac:dyDescent="0.4">
      <c r="B72" s="92">
        <v>53</v>
      </c>
      <c r="C72" s="93" t="s">
        <v>125</v>
      </c>
      <c r="D72" s="92" t="s">
        <v>119</v>
      </c>
      <c r="E72" s="92" t="s">
        <v>153</v>
      </c>
      <c r="F72" s="100">
        <v>0.87</v>
      </c>
      <c r="G72" s="98">
        <v>0.23339199999999999</v>
      </c>
      <c r="H72" s="98">
        <v>0.10185740000000001</v>
      </c>
      <c r="I72" s="112">
        <v>7.4941599999999997E-2</v>
      </c>
      <c r="J72" s="98">
        <f t="shared" si="4"/>
        <v>0.41019100000000003</v>
      </c>
      <c r="K72" s="99">
        <f t="shared" si="3"/>
        <v>0.35686617000000004</v>
      </c>
    </row>
    <row r="73" spans="2:11" s="62" customFormat="1" x14ac:dyDescent="0.4">
      <c r="B73" s="92">
        <v>55</v>
      </c>
      <c r="C73" s="93" t="s">
        <v>125</v>
      </c>
      <c r="D73" s="92" t="s">
        <v>119</v>
      </c>
      <c r="E73" s="92" t="s">
        <v>50</v>
      </c>
      <c r="F73" s="100">
        <v>0.13</v>
      </c>
      <c r="G73" s="98">
        <v>0.41837200000000002</v>
      </c>
      <c r="H73" s="98">
        <v>0.10102999999999999</v>
      </c>
      <c r="I73" s="98">
        <v>3.0640000000000003E-3</v>
      </c>
      <c r="J73" s="98">
        <f t="shared" si="4"/>
        <v>0.52246599999999999</v>
      </c>
      <c r="K73" s="99">
        <f t="shared" si="3"/>
        <v>6.7920579999999994E-2</v>
      </c>
    </row>
    <row r="74" spans="2:11" x14ac:dyDescent="0.4">
      <c r="B74" s="101">
        <v>64</v>
      </c>
      <c r="C74" s="102" t="s">
        <v>26</v>
      </c>
      <c r="D74" s="101" t="s">
        <v>119</v>
      </c>
      <c r="E74" s="101" t="s">
        <v>153</v>
      </c>
      <c r="F74" s="110">
        <v>0.95</v>
      </c>
      <c r="G74" s="107">
        <v>3.0364174285714287</v>
      </c>
      <c r="H74" s="107">
        <v>0.69458014285714287</v>
      </c>
      <c r="I74" s="107">
        <v>1.8720051428571429</v>
      </c>
      <c r="J74" s="107">
        <f t="shared" si="4"/>
        <v>5.6030027142857142</v>
      </c>
      <c r="K74" s="108">
        <f t="shared" si="3"/>
        <v>5.3228525785714282</v>
      </c>
    </row>
    <row r="75" spans="2:11" s="62" customFormat="1" x14ac:dyDescent="0.4">
      <c r="B75" s="101">
        <v>72</v>
      </c>
      <c r="C75" s="102" t="s">
        <v>26</v>
      </c>
      <c r="D75" s="101" t="s">
        <v>119</v>
      </c>
      <c r="E75" s="101" t="s">
        <v>50</v>
      </c>
      <c r="F75" s="110">
        <v>0.05</v>
      </c>
      <c r="G75" s="107">
        <v>3.1400224999999997</v>
      </c>
      <c r="H75" s="107">
        <v>0.84133849999999999</v>
      </c>
      <c r="I75" s="107">
        <v>1.5105500000000001E-2</v>
      </c>
      <c r="J75" s="107">
        <f t="shared" si="4"/>
        <v>3.9964664999999999</v>
      </c>
      <c r="K75" s="108">
        <f t="shared" si="3"/>
        <v>0.199823325</v>
      </c>
    </row>
    <row r="76" spans="2:11" x14ac:dyDescent="0.4">
      <c r="B76" s="92">
        <v>73</v>
      </c>
      <c r="C76" s="93" t="s">
        <v>27</v>
      </c>
      <c r="D76" s="92" t="s">
        <v>119</v>
      </c>
      <c r="E76" s="92" t="s">
        <v>153</v>
      </c>
      <c r="F76" s="100">
        <v>0.98</v>
      </c>
      <c r="G76" s="98">
        <v>4.2625649156249992</v>
      </c>
      <c r="H76" s="98">
        <v>0.84579806062499996</v>
      </c>
      <c r="I76" s="98">
        <v>0.15519991187499996</v>
      </c>
      <c r="J76" s="98">
        <f t="shared" si="4"/>
        <v>5.2635628881249996</v>
      </c>
      <c r="K76" s="99">
        <f t="shared" si="3"/>
        <v>5.1582916303624993</v>
      </c>
    </row>
    <row r="77" spans="2:11" s="62" customFormat="1" x14ac:dyDescent="0.4">
      <c r="B77" s="92">
        <v>77</v>
      </c>
      <c r="C77" s="93" t="s">
        <v>27</v>
      </c>
      <c r="D77" s="92" t="s">
        <v>119</v>
      </c>
      <c r="E77" s="92" t="s">
        <v>50</v>
      </c>
      <c r="F77" s="100">
        <v>0.02</v>
      </c>
      <c r="G77" s="98">
        <v>4.5079172600000001</v>
      </c>
      <c r="H77" s="98">
        <v>0.61092601000000002</v>
      </c>
      <c r="I77" s="98">
        <v>1.9781150000000001E-2</v>
      </c>
      <c r="J77" s="98">
        <f t="shared" si="4"/>
        <v>5.1386244200000002</v>
      </c>
      <c r="K77" s="99">
        <f t="shared" si="3"/>
        <v>0.1027724884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457a6cd-c97f-4f82-aec5-566b3b247afa" xsi:nil="true"/>
    <lcf76f155ced4ddcb4097134ff3c332f xmlns="1083238f-a5ee-4568-a42f-97b52089eb1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5E0B515972444A956F384051891B77" ma:contentTypeVersion="11" ma:contentTypeDescription="Create a new document." ma:contentTypeScope="" ma:versionID="0e226f9468eb9c7ff8d538ae5f9efe52">
  <xsd:schema xmlns:xsd="http://www.w3.org/2001/XMLSchema" xmlns:xs="http://www.w3.org/2001/XMLSchema" xmlns:p="http://schemas.microsoft.com/office/2006/metadata/properties" xmlns:ns2="1083238f-a5ee-4568-a42f-97b52089eb1c" xmlns:ns3="3457a6cd-c97f-4f82-aec5-566b3b247afa" targetNamespace="http://schemas.microsoft.com/office/2006/metadata/properties" ma:root="true" ma:fieldsID="98fd101ad58de752fe77e257927cce2d" ns2:_="" ns3:_="">
    <xsd:import namespace="1083238f-a5ee-4568-a42f-97b52089eb1c"/>
    <xsd:import namespace="3457a6cd-c97f-4f82-aec5-566b3b247a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83238f-a5ee-4568-a42f-97b52089eb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eec61d7-21c4-46ea-8069-5c692c33a4c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57a6cd-c97f-4f82-aec5-566b3b247af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2d57a86-bdac-4359-9325-73acd8641b82}" ma:internalName="TaxCatchAll" ma:showField="CatchAllData" ma:web="3457a6cd-c97f-4f82-aec5-566b3b247a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31F5B0-404C-49A0-AC93-129877D531B3}">
  <ds:schemaRefs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3457a6cd-c97f-4f82-aec5-566b3b247afa"/>
    <ds:schemaRef ds:uri="1083238f-a5ee-4568-a42f-97b52089eb1c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CC6D2D8-8480-4D0C-85A3-84818A57F8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100CCE-7825-48C7-8D98-DA7EEBC425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Base Model (backup)</vt:lpstr>
      <vt:lpstr>Base Model (2018) - backup</vt:lpstr>
      <vt:lpstr>Transportation (backup)</vt:lpstr>
      <vt:lpstr>2019 (whole list)</vt:lpstr>
      <vt:lpstr>2019 (average GHG per kg)</vt:lpstr>
      <vt:lpstr>2018 (food consumption)</vt:lpstr>
      <vt:lpstr>GHG_Breakdown_By_Source</vt:lpstr>
      <vt:lpstr>Input_Model</vt:lpstr>
      <vt:lpstr>Baseline_Model_Optimal_Health</vt:lpstr>
      <vt:lpstr>Feasibility Report 1</vt:lpstr>
      <vt:lpstr>Feasibility Report 2</vt:lpstr>
      <vt:lpstr>Scenario1_Optimal+30by30</vt:lpstr>
      <vt:lpstr>Scenario2_Scenario1+MeatSub</vt:lpstr>
      <vt:lpstr>Sensitivity 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Hui Wen Tan</dc:creator>
  <cp:keywords/>
  <dc:description/>
  <cp:lastModifiedBy>Anne Lim</cp:lastModifiedBy>
  <cp:revision/>
  <dcterms:created xsi:type="dcterms:W3CDTF">2022-10-04T13:07:50Z</dcterms:created>
  <dcterms:modified xsi:type="dcterms:W3CDTF">2022-10-28T07:09:29Z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0x0101002F5E0B515972444A956F384051891B77</vt:lpwstr>
  </property>
  <property fmtid="{D5CDD505-2E9C-101B-9397-08002B2CF9AE}" pid="3" name="MediaServiceImageTags">
    <vt:lpwstr/>
  </property>
</Properties>
</file>